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0" windowWidth="17820" windowHeight="11370"/>
  </bookViews>
  <sheets>
    <sheet name="Sheet0" sheetId="1" r:id="rId1"/>
    <sheet name="Лист1" sheetId="2" r:id="rId2"/>
    <sheet name="Лист2" sheetId="3" r:id="rId3"/>
  </sheets>
  <definedNames>
    <definedName name="_xlnm._FilterDatabase" localSheetId="0" hidden="1">Sheet0!$A$31:$GH$3911</definedName>
    <definedName name="_xlnm.Print_Area" localSheetId="1">Лист1!#REF!</definedName>
  </definedNames>
  <calcPr calcId="145621"/>
</workbook>
</file>

<file path=xl/calcChain.xml><?xml version="1.0" encoding="utf-8"?>
<calcChain xmlns="http://schemas.openxmlformats.org/spreadsheetml/2006/main">
  <c r="V3911" i="1" l="1"/>
  <c r="S1779" i="1" l="1"/>
  <c r="S2216" i="1" l="1"/>
  <c r="U3556" i="1" l="1"/>
  <c r="V3556" i="1" s="1"/>
  <c r="U3555" i="1"/>
  <c r="V3555" i="1" s="1"/>
  <c r="U3562" i="1" l="1"/>
  <c r="S2339" i="1" l="1"/>
  <c r="U2339" i="1" s="1"/>
  <c r="S2333" i="1"/>
  <c r="U2333" i="1" s="1"/>
  <c r="S2261" i="1"/>
  <c r="S2247" i="1"/>
  <c r="U2247" i="1" s="1"/>
  <c r="S2233" i="1"/>
  <c r="U2233" i="1" s="1"/>
  <c r="S2227" i="1"/>
  <c r="U2227" i="1" s="1"/>
  <c r="S2225" i="1"/>
  <c r="U2225" i="1" s="1"/>
  <c r="S2223" i="1"/>
  <c r="U2223" i="1" s="1"/>
  <c r="S2221" i="1"/>
  <c r="U2221" i="1" s="1"/>
  <c r="S2219" i="1"/>
  <c r="U2219" i="1" s="1"/>
  <c r="U2216" i="1"/>
  <c r="S2209" i="1"/>
  <c r="U2209" i="1" s="1"/>
  <c r="S2203" i="1"/>
  <c r="U2203" i="1" s="1"/>
  <c r="S2193" i="1"/>
  <c r="U2193" i="1" s="1"/>
  <c r="S2191" i="1"/>
  <c r="U2191" i="1" s="1"/>
  <c r="S1885" i="1"/>
  <c r="S1865" i="1"/>
  <c r="U1865" i="1" s="1"/>
  <c r="S1855" i="1"/>
  <c r="U1855" i="1" s="1"/>
  <c r="S1830" i="1"/>
  <c r="S1821" i="1"/>
  <c r="S1769" i="1"/>
  <c r="U1769" i="1" s="1"/>
  <c r="S1766" i="1"/>
  <c r="U1766" i="1" s="1"/>
  <c r="S1758" i="1"/>
  <c r="U1758" i="1"/>
  <c r="S1748" i="1"/>
  <c r="S1745" i="1"/>
  <c r="U1745" i="1" s="1"/>
  <c r="S1742" i="1"/>
  <c r="U1742" i="1"/>
  <c r="S1731" i="1"/>
  <c r="S1729" i="1"/>
  <c r="U3552" i="1"/>
  <c r="V3552" i="1" s="1"/>
  <c r="U3553" i="1"/>
  <c r="V3553" i="1" s="1"/>
  <c r="U3554" i="1"/>
  <c r="V3554" i="1" s="1"/>
  <c r="V3643" i="1"/>
  <c r="V2339" i="1" l="1"/>
  <c r="V2333" i="1"/>
  <c r="V2247" i="1"/>
  <c r="V2233" i="1"/>
  <c r="V2227" i="1"/>
  <c r="V2225" i="1"/>
  <c r="V2223" i="1"/>
  <c r="V2221" i="1"/>
  <c r="V2219" i="1"/>
  <c r="V2216" i="1"/>
  <c r="V2209" i="1"/>
  <c r="V2203" i="1"/>
  <c r="V2193" i="1"/>
  <c r="V2191" i="1"/>
  <c r="V1865" i="1"/>
  <c r="V1855" i="1"/>
  <c r="V1769" i="1"/>
  <c r="V1766" i="1"/>
  <c r="V1758" i="1"/>
  <c r="V1745" i="1"/>
  <c r="V1742" i="1"/>
  <c r="U3551" i="1"/>
  <c r="V3551" i="1" s="1"/>
  <c r="U3557" i="1"/>
  <c r="V3557" i="1" s="1"/>
  <c r="V3642" i="1"/>
  <c r="U2492" i="1"/>
  <c r="V2492" i="1" s="1"/>
  <c r="U2489" i="1"/>
  <c r="V2489" i="1" s="1"/>
  <c r="U2486" i="1"/>
  <c r="V2486" i="1" s="1"/>
  <c r="U2483" i="1"/>
  <c r="V2483" i="1" s="1"/>
  <c r="S2337" i="1" l="1"/>
  <c r="U2337" i="1" s="1"/>
  <c r="S2330" i="1"/>
  <c r="U2330" i="1" s="1"/>
  <c r="S2328" i="1"/>
  <c r="U2328" i="1" s="1"/>
  <c r="S2271" i="1"/>
  <c r="U2271" i="1"/>
  <c r="V2271" i="1" s="1"/>
  <c r="S2268" i="1"/>
  <c r="U2268" i="1"/>
  <c r="V2337" i="1" l="1"/>
  <c r="V2330" i="1"/>
  <c r="V2328" i="1"/>
  <c r="V2268" i="1"/>
  <c r="U2261" i="1"/>
  <c r="S1894" i="1"/>
  <c r="U1894" i="1"/>
  <c r="S1891" i="1"/>
  <c r="U1891" i="1" s="1"/>
  <c r="S1888" i="1"/>
  <c r="U1888" i="1" s="1"/>
  <c r="U1885" i="1"/>
  <c r="S1882" i="1"/>
  <c r="U1882" i="1" s="1"/>
  <c r="S1862" i="1"/>
  <c r="U1862" i="1" s="1"/>
  <c r="S1850" i="1"/>
  <c r="U1850" i="1"/>
  <c r="S1847" i="1"/>
  <c r="U1847" i="1" s="1"/>
  <c r="U1830" i="1"/>
  <c r="S1827" i="1"/>
  <c r="U1827" i="1" s="1"/>
  <c r="S1824" i="1"/>
  <c r="U1824" i="1" s="1"/>
  <c r="U1821" i="1"/>
  <c r="S1818" i="1"/>
  <c r="U1818" i="1" s="1"/>
  <c r="S1815" i="1"/>
  <c r="U1815" i="1" s="1"/>
  <c r="S1800" i="1"/>
  <c r="U1800" i="1" s="1"/>
  <c r="U1779" i="1"/>
  <c r="V1779" i="1" s="1"/>
  <c r="S1774" i="1"/>
  <c r="U1774" i="1" s="1"/>
  <c r="S1761" i="1"/>
  <c r="U1761" i="1" s="1"/>
  <c r="U1748" i="1"/>
  <c r="U1731" i="1"/>
  <c r="S1726" i="1"/>
  <c r="U1726" i="1" s="1"/>
  <c r="V2261" i="1" l="1"/>
  <c r="V1894" i="1"/>
  <c r="V1891" i="1"/>
  <c r="V1888" i="1"/>
  <c r="V1885" i="1"/>
  <c r="V1882" i="1"/>
  <c r="V1862" i="1"/>
  <c r="V1850" i="1"/>
  <c r="V1847" i="1"/>
  <c r="V1830" i="1"/>
  <c r="V1827" i="1"/>
  <c r="V1824" i="1"/>
  <c r="V1821" i="1"/>
  <c r="V1818" i="1"/>
  <c r="V1815" i="1"/>
  <c r="V1800" i="1"/>
  <c r="V1774" i="1"/>
  <c r="V1761" i="1"/>
  <c r="V1748" i="1"/>
  <c r="V1731" i="1"/>
  <c r="V1726" i="1"/>
  <c r="S3430" i="1"/>
  <c r="U3430" i="1" s="1"/>
  <c r="V3430" i="1" s="1"/>
  <c r="V3644" i="1" l="1"/>
  <c r="U336" i="1"/>
  <c r="V336" i="1" s="1"/>
  <c r="U3518" i="1" l="1"/>
  <c r="V3518" i="1" s="1"/>
  <c r="U3516" i="1"/>
  <c r="V3516" i="1" s="1"/>
  <c r="U3514" i="1"/>
  <c r="V3514" i="1" s="1"/>
  <c r="U3509" i="1"/>
  <c r="V3509" i="1" s="1"/>
  <c r="U3507" i="1"/>
  <c r="V3507" i="1" s="1"/>
  <c r="U3505" i="1"/>
  <c r="V3505" i="1" s="1"/>
  <c r="U3503" i="1"/>
  <c r="V3503" i="1" s="1"/>
  <c r="U3501" i="1"/>
  <c r="V3501" i="1" s="1"/>
  <c r="V3754" i="1"/>
  <c r="S2788" i="1" l="1"/>
  <c r="U2788" i="1" s="1"/>
  <c r="V2788" i="1" s="1"/>
  <c r="U3550" i="1" l="1"/>
  <c r="V3550" i="1" s="1"/>
  <c r="V3810" i="1" l="1"/>
  <c r="V3758" i="1" l="1"/>
  <c r="V3685" i="1" l="1"/>
  <c r="V3684" i="1"/>
  <c r="V3908" i="1" l="1"/>
  <c r="V3907" i="1"/>
  <c r="T3445" i="1" l="1"/>
  <c r="U3445" i="1" s="1"/>
  <c r="V3445" i="1" s="1"/>
  <c r="U3452" i="1" l="1"/>
  <c r="V3639" i="1" l="1"/>
  <c r="V3638" i="1"/>
  <c r="U3539" i="1" l="1"/>
  <c r="V3539" i="1" s="1"/>
  <c r="U3544" i="1"/>
  <c r="V3544" i="1" s="1"/>
  <c r="U3543" i="1"/>
  <c r="V3543" i="1" s="1"/>
  <c r="U3542" i="1"/>
  <c r="V3542" i="1" s="1"/>
  <c r="U3545" i="1" l="1"/>
  <c r="V3545" i="1" s="1"/>
  <c r="U3546" i="1"/>
  <c r="V3546" i="1" s="1"/>
  <c r="U3547" i="1"/>
  <c r="V3547" i="1" s="1"/>
  <c r="U3548" i="1"/>
  <c r="V3548" i="1" s="1"/>
  <c r="U3549" i="1"/>
  <c r="V3549" i="1" s="1"/>
  <c r="T3535" i="1" l="1"/>
  <c r="U3535" i="1" s="1"/>
  <c r="T3534" i="1"/>
  <c r="U3534" i="1" s="1"/>
  <c r="T3533" i="1"/>
  <c r="U3533" i="1" s="1"/>
  <c r="T3532" i="1"/>
  <c r="U3532" i="1" s="1"/>
  <c r="U3450" i="1"/>
  <c r="V3450" i="1" s="1"/>
  <c r="V3452" i="1"/>
  <c r="U3451" i="1"/>
  <c r="V3451" i="1" s="1"/>
  <c r="T3443" i="1"/>
  <c r="T3444" i="1"/>
  <c r="U3536" i="1"/>
  <c r="V3536" i="1" s="1"/>
  <c r="U3537" i="1"/>
  <c r="V3537" i="1" s="1"/>
  <c r="U3467" i="1"/>
  <c r="V3467" i="1" s="1"/>
  <c r="U3528" i="1"/>
  <c r="U3529" i="1"/>
  <c r="U3530" i="1"/>
  <c r="U3527" i="1"/>
  <c r="U3531" i="1"/>
  <c r="U3541" i="1"/>
  <c r="V3541" i="1" s="1"/>
  <c r="U3627" i="1"/>
  <c r="V3627" i="1" s="1"/>
  <c r="V3528" i="1" l="1"/>
  <c r="V3530" i="1"/>
  <c r="V3529" i="1"/>
  <c r="V3527" i="1"/>
  <c r="V3532" i="1"/>
  <c r="V3533" i="1"/>
  <c r="V3534" i="1"/>
  <c r="V3535" i="1"/>
  <c r="U3428" i="1"/>
  <c r="V3428" i="1" s="1"/>
  <c r="V3427" i="1"/>
  <c r="V3615" i="1" l="1"/>
  <c r="U3640" i="1" l="1"/>
  <c r="V3906" i="1"/>
  <c r="U2906" i="1" l="1"/>
  <c r="V3637" i="1" l="1"/>
  <c r="V3413" i="1" l="1"/>
  <c r="V993" i="1"/>
  <c r="V3125" i="1"/>
  <c r="V3444" i="1" l="1"/>
  <c r="V335" i="1"/>
  <c r="U3540" i="1" l="1"/>
  <c r="V3540" i="1" s="1"/>
  <c r="V3538" i="1" l="1"/>
  <c r="V3641" i="1" l="1"/>
  <c r="U3414" i="1" l="1"/>
  <c r="V3414" i="1" s="1"/>
  <c r="U1316" i="1"/>
  <c r="V1316" i="1" s="1"/>
  <c r="V3905" i="1" l="1"/>
  <c r="U3525" i="1"/>
  <c r="V3525" i="1" s="1"/>
  <c r="U3526" i="1"/>
  <c r="V3526" i="1" s="1"/>
  <c r="U3512" i="1"/>
  <c r="V3512" i="1" s="1"/>
  <c r="V3513" i="1"/>
  <c r="V3515" i="1"/>
  <c r="V3517" i="1"/>
  <c r="U3519" i="1"/>
  <c r="V3519" i="1" s="1"/>
  <c r="U3520" i="1"/>
  <c r="V3520" i="1" s="1"/>
  <c r="U3521" i="1"/>
  <c r="V3521" i="1" s="1"/>
  <c r="U3522" i="1"/>
  <c r="V3522" i="1" s="1"/>
  <c r="U3523" i="1"/>
  <c r="V3523" i="1" s="1"/>
  <c r="U3524" i="1"/>
  <c r="V3524" i="1" s="1"/>
  <c r="U3510" i="1"/>
  <c r="V3510" i="1" s="1"/>
  <c r="U3511" i="1"/>
  <c r="V3511" i="1" s="1"/>
  <c r="V3508" i="1" l="1"/>
  <c r="V3506" i="1"/>
  <c r="V3504" i="1"/>
  <c r="V3502" i="1"/>
  <c r="V3500" i="1"/>
  <c r="U3499" i="1"/>
  <c r="V3499" i="1" s="1"/>
  <c r="U3498" i="1"/>
  <c r="V3498" i="1" s="1"/>
  <c r="U3497" i="1"/>
  <c r="V3497" i="1" s="1"/>
  <c r="U3496" i="1"/>
  <c r="V3496" i="1" s="1"/>
  <c r="U3495" i="1"/>
  <c r="V3495" i="1" s="1"/>
  <c r="U3494" i="1"/>
  <c r="V3494" i="1" s="1"/>
  <c r="U3493" i="1"/>
  <c r="V3493" i="1" s="1"/>
  <c r="U3482" i="1"/>
  <c r="V3482" i="1" s="1"/>
  <c r="U3492" i="1"/>
  <c r="V3492" i="1" s="1"/>
  <c r="U3491" i="1"/>
  <c r="V3491" i="1" s="1"/>
  <c r="U3490" i="1"/>
  <c r="V3490" i="1" s="1"/>
  <c r="U3489" i="1"/>
  <c r="V3489" i="1" s="1"/>
  <c r="U3488" i="1"/>
  <c r="V3488" i="1" s="1"/>
  <c r="U3472" i="1"/>
  <c r="V3472" i="1" s="1"/>
  <c r="U3487" i="1"/>
  <c r="V3487" i="1" s="1"/>
  <c r="U3486" i="1"/>
  <c r="V3486" i="1" s="1"/>
  <c r="U3485" i="1"/>
  <c r="V3485" i="1" s="1"/>
  <c r="U3484" i="1"/>
  <c r="V3484" i="1" s="1"/>
  <c r="U3483" i="1"/>
  <c r="V3483" i="1" s="1"/>
  <c r="U3481" i="1"/>
  <c r="V3481" i="1" s="1"/>
  <c r="U3480" i="1"/>
  <c r="V3480" i="1" s="1"/>
  <c r="U3479" i="1"/>
  <c r="V3479" i="1" s="1"/>
  <c r="U3478" i="1"/>
  <c r="V3478" i="1" s="1"/>
  <c r="U3477" i="1"/>
  <c r="V3477" i="1" s="1"/>
  <c r="U3476" i="1"/>
  <c r="V3476" i="1" s="1"/>
  <c r="U3475" i="1"/>
  <c r="V3475" i="1" s="1"/>
  <c r="U3474" i="1"/>
  <c r="V3474" i="1" s="1"/>
  <c r="U3473" i="1"/>
  <c r="V3473" i="1" s="1"/>
  <c r="U3469" i="1"/>
  <c r="V3469" i="1" s="1"/>
  <c r="U3470" i="1"/>
  <c r="V3470" i="1" s="1"/>
  <c r="U3471" i="1"/>
  <c r="V3471" i="1" s="1"/>
  <c r="U3466" i="1"/>
  <c r="V3466" i="1" s="1"/>
  <c r="U3468" i="1"/>
  <c r="V3468" i="1" s="1"/>
  <c r="U3465" i="1"/>
  <c r="V3465" i="1" s="1"/>
  <c r="U3456" i="1"/>
  <c r="V3456" i="1" s="1"/>
  <c r="U3457" i="1"/>
  <c r="V3457" i="1" s="1"/>
  <c r="U3458" i="1"/>
  <c r="V3458" i="1" s="1"/>
  <c r="U3459" i="1"/>
  <c r="V3459" i="1" s="1"/>
  <c r="U3460" i="1"/>
  <c r="V3460" i="1" s="1"/>
  <c r="U3461" i="1"/>
  <c r="V3461" i="1" s="1"/>
  <c r="U3462" i="1"/>
  <c r="V3462" i="1" s="1"/>
  <c r="U3463" i="1"/>
  <c r="V3463" i="1" s="1"/>
  <c r="U3464" i="1"/>
  <c r="V3464" i="1" s="1"/>
  <c r="U3455" i="1"/>
  <c r="V3455" i="1" s="1"/>
  <c r="U3454" i="1"/>
  <c r="V3454" i="1" s="1"/>
  <c r="U3453" i="1"/>
  <c r="V3453" i="1" s="1"/>
  <c r="V3596" i="1" l="1"/>
  <c r="S3126" i="1"/>
  <c r="U3126" i="1" s="1"/>
  <c r="V3126" i="1" s="1"/>
  <c r="U3449" i="1" l="1"/>
  <c r="V3449" i="1" s="1"/>
  <c r="S3272" i="1" l="1"/>
  <c r="U3272" i="1" s="1"/>
  <c r="V3272" i="1" s="1"/>
  <c r="S3270" i="1"/>
  <c r="U3270" i="1" s="1"/>
  <c r="V3270" i="1" s="1"/>
  <c r="S3198" i="1" l="1"/>
  <c r="U3198" i="1" s="1"/>
  <c r="S3196" i="1"/>
  <c r="U3196" i="1" s="1"/>
  <c r="S3194" i="1"/>
  <c r="U3194" i="1" s="1"/>
  <c r="U3205" i="1"/>
  <c r="U3203" i="1"/>
  <c r="U3201" i="1"/>
  <c r="V3205" i="1" l="1"/>
  <c r="V3203" i="1"/>
  <c r="V3201" i="1"/>
  <c r="V3196" i="1"/>
  <c r="V3194" i="1"/>
  <c r="V3198" i="1"/>
  <c r="V3902" i="1"/>
  <c r="V3636" i="1"/>
  <c r="U3448" i="1"/>
  <c r="V3448" i="1" l="1"/>
  <c r="V321" i="1"/>
  <c r="U3442" i="1" l="1"/>
  <c r="V3442" i="1" s="1"/>
  <c r="V3443" i="1"/>
  <c r="T322" i="1"/>
  <c r="U3435" i="1" l="1"/>
  <c r="V3435" i="1" s="1"/>
  <c r="U3434" i="1"/>
  <c r="V3434" i="1" s="1"/>
  <c r="U3433" i="1"/>
  <c r="V3433" i="1" s="1"/>
  <c r="U3432" i="1"/>
  <c r="V3432" i="1" s="1"/>
  <c r="U3438" i="1"/>
  <c r="V3438" i="1" s="1"/>
  <c r="U3437" i="1"/>
  <c r="V3437" i="1" s="1"/>
  <c r="U3436" i="1"/>
  <c r="V3436" i="1" s="1"/>
  <c r="U3439" i="1"/>
  <c r="V3439" i="1" s="1"/>
  <c r="U3440" i="1"/>
  <c r="V3440" i="1" s="1"/>
  <c r="U3441" i="1"/>
  <c r="V3441" i="1" s="1"/>
  <c r="V3632" i="1" l="1"/>
  <c r="V3633" i="1" l="1"/>
  <c r="S51" i="1" l="1"/>
  <c r="U51" i="1" s="1"/>
  <c r="S262" i="1"/>
  <c r="U262" i="1" s="1"/>
  <c r="V262" i="1" s="1"/>
  <c r="V51" i="1" l="1"/>
  <c r="V3634" i="1"/>
  <c r="V3631" i="1" l="1"/>
  <c r="U3446" i="1" l="1"/>
  <c r="V3446" i="1" s="1"/>
  <c r="U3431" i="1"/>
  <c r="V3431" i="1" s="1"/>
  <c r="V3904" i="1" l="1"/>
  <c r="U3842" i="1" l="1"/>
  <c r="V3842" i="1" s="1"/>
  <c r="V3903" i="1" l="1"/>
  <c r="V3901" i="1"/>
  <c r="V3630" i="1" l="1"/>
  <c r="V3429" i="1" l="1"/>
  <c r="V3426" i="1"/>
  <c r="U3419" i="1"/>
  <c r="U3408" i="1"/>
  <c r="V3408" i="1" s="1"/>
  <c r="V3419" i="1" l="1"/>
  <c r="U804" i="1"/>
  <c r="S3413" i="1"/>
  <c r="V3675" i="1"/>
  <c r="V804" i="1" l="1"/>
  <c r="V3635" i="1"/>
  <c r="V3629" i="1"/>
  <c r="U3589" i="1"/>
  <c r="V3682" i="1"/>
  <c r="U3447" i="1"/>
  <c r="V3447" i="1" s="1"/>
  <c r="S2520" i="1"/>
  <c r="V3628" i="1"/>
  <c r="V3589" i="1" l="1"/>
  <c r="V3900" i="1"/>
  <c r="V3899" i="1"/>
  <c r="V3898" i="1"/>
  <c r="U3425" i="1"/>
  <c r="V3425" i="1" s="1"/>
  <c r="U3424" i="1"/>
  <c r="V3424" i="1" s="1"/>
  <c r="S2235" i="1"/>
  <c r="U2235" i="1" s="1"/>
  <c r="U322" i="1"/>
  <c r="V322" i="1" s="1"/>
  <c r="U325" i="1"/>
  <c r="V325" i="1" s="1"/>
  <c r="S2387" i="1"/>
  <c r="U2387" i="1" s="1"/>
  <c r="S2385" i="1"/>
  <c r="U2385" i="1" s="1"/>
  <c r="U2363" i="1"/>
  <c r="V3885" i="1"/>
  <c r="V3733" i="1"/>
  <c r="V3729" i="1"/>
  <c r="U3423" i="1"/>
  <c r="V3377" i="1"/>
  <c r="U3376" i="1"/>
  <c r="V3376" i="1" s="1"/>
  <c r="U3374" i="1"/>
  <c r="V3374" i="1" s="1"/>
  <c r="U3372" i="1"/>
  <c r="V3372" i="1" s="1"/>
  <c r="S2267" i="1"/>
  <c r="S2266" i="1"/>
  <c r="S2265" i="1"/>
  <c r="U2265" i="1" s="1"/>
  <c r="S2263" i="1"/>
  <c r="U2263" i="1" s="1"/>
  <c r="S2246" i="1"/>
  <c r="S2251" i="1"/>
  <c r="U2251" i="1" s="1"/>
  <c r="S2249" i="1"/>
  <c r="U2249" i="1" s="1"/>
  <c r="S2205" i="1"/>
  <c r="U2205" i="1" s="1"/>
  <c r="S2254" i="1"/>
  <c r="U2254" i="1" s="1"/>
  <c r="S2240" i="1"/>
  <c r="V2239" i="1"/>
  <c r="S2239" i="1"/>
  <c r="S2238" i="1"/>
  <c r="U2238" i="1" s="1"/>
  <c r="S2212" i="1"/>
  <c r="U2212" i="1" s="1"/>
  <c r="S2207" i="1"/>
  <c r="U2207" i="1" s="1"/>
  <c r="S2186" i="1"/>
  <c r="U2186" i="1" s="1"/>
  <c r="S2188" i="1"/>
  <c r="U2188" i="1" s="1"/>
  <c r="S2215" i="1"/>
  <c r="S1797" i="1"/>
  <c r="U1797" i="1" s="1"/>
  <c r="S1794" i="1"/>
  <c r="U1794" i="1" s="1"/>
  <c r="S1791" i="1"/>
  <c r="U1791" i="1" s="1"/>
  <c r="S1788" i="1"/>
  <c r="U1788" i="1" s="1"/>
  <c r="S1755" i="1"/>
  <c r="U1755" i="1" s="1"/>
  <c r="S1782" i="1"/>
  <c r="U1782" i="1" s="1"/>
  <c r="S1699" i="1"/>
  <c r="V1698" i="1"/>
  <c r="S1785" i="1"/>
  <c r="U1785" i="1" s="1"/>
  <c r="S3356" i="1"/>
  <c r="U3356" i="1" s="1"/>
  <c r="V1797" i="1" l="1"/>
  <c r="V1788" i="1"/>
  <c r="V1791" i="1"/>
  <c r="V1785" i="1"/>
  <c r="V1794" i="1"/>
  <c r="V1755" i="1"/>
  <c r="V1782" i="1"/>
  <c r="V3423" i="1"/>
  <c r="V2238" i="1"/>
  <c r="V2246" i="1"/>
  <c r="V2207" i="1"/>
  <c r="V2249" i="1"/>
  <c r="V2235" i="1"/>
  <c r="V2254" i="1"/>
  <c r="V2205" i="1"/>
  <c r="V2215" i="1"/>
  <c r="V2212" i="1"/>
  <c r="V2251" i="1"/>
  <c r="V2188" i="1"/>
  <c r="V2186" i="1"/>
  <c r="V2265" i="1"/>
  <c r="V2267" i="1"/>
  <c r="V2263" i="1"/>
  <c r="V3356" i="1"/>
  <c r="V2385" i="1"/>
  <c r="V2387" i="1"/>
  <c r="U3422" i="1"/>
  <c r="V3422" i="1" s="1"/>
  <c r="S2620" i="1"/>
  <c r="U2620" i="1" s="1"/>
  <c r="V2620" i="1" s="1"/>
  <c r="U3340" i="1"/>
  <c r="V3340" i="1" s="1"/>
  <c r="V3339" i="1"/>
  <c r="U3338" i="1"/>
  <c r="V3338" i="1" s="1"/>
  <c r="V3337" i="1"/>
  <c r="U3335" i="1"/>
  <c r="V3335" i="1" s="1"/>
  <c r="V3334" i="1"/>
  <c r="U3332" i="1"/>
  <c r="V3332" i="1" s="1"/>
  <c r="V3331" i="1"/>
  <c r="U3327" i="1"/>
  <c r="V3327" i="1" s="1"/>
  <c r="V3326" i="1"/>
  <c r="U3324" i="1"/>
  <c r="V3324" i="1" s="1"/>
  <c r="V3323" i="1"/>
  <c r="U3322" i="1"/>
  <c r="V3322" i="1" s="1"/>
  <c r="V3321" i="1"/>
  <c r="U3320" i="1"/>
  <c r="V3320" i="1" s="1"/>
  <c r="V3319" i="1"/>
  <c r="U3318" i="1"/>
  <c r="V3318" i="1" s="1"/>
  <c r="U3317" i="1"/>
  <c r="V3317" i="1" s="1"/>
  <c r="U3316" i="1"/>
  <c r="V3316" i="1" s="1"/>
  <c r="U3315" i="1"/>
  <c r="V3315" i="1" s="1"/>
  <c r="U1027" i="1"/>
  <c r="U1024" i="1"/>
  <c r="U1021" i="1"/>
  <c r="U1018" i="1"/>
  <c r="U1015" i="1"/>
  <c r="V1011" i="1"/>
  <c r="U1009" i="1"/>
  <c r="U1006" i="1"/>
  <c r="U1003" i="1"/>
  <c r="U1000" i="1"/>
  <c r="U997" i="1"/>
  <c r="U994" i="1"/>
  <c r="V994" i="1" s="1"/>
  <c r="U991" i="1"/>
  <c r="V991" i="1" s="1"/>
  <c r="U988" i="1"/>
  <c r="V988" i="1" s="1"/>
  <c r="U985" i="1"/>
  <c r="V981" i="1"/>
  <c r="U979" i="1"/>
  <c r="U976" i="1"/>
  <c r="V976" i="1" s="1"/>
  <c r="U973" i="1"/>
  <c r="U970" i="1"/>
  <c r="U967" i="1"/>
  <c r="U964" i="1"/>
  <c r="U961" i="1"/>
  <c r="U958" i="1"/>
  <c r="U955" i="1"/>
  <c r="U952" i="1"/>
  <c r="U949" i="1"/>
  <c r="V949" i="1" s="1"/>
  <c r="U946" i="1"/>
  <c r="V946" i="1" s="1"/>
  <c r="U943" i="1"/>
  <c r="U940" i="1"/>
  <c r="V940" i="1" s="1"/>
  <c r="U937" i="1"/>
  <c r="V937" i="1" s="1"/>
  <c r="U933" i="1"/>
  <c r="V933" i="1" s="1"/>
  <c r="U929" i="1"/>
  <c r="S926" i="1"/>
  <c r="U926" i="1" s="1"/>
  <c r="U923" i="1"/>
  <c r="S920" i="1"/>
  <c r="U920" i="1" s="1"/>
  <c r="S917" i="1"/>
  <c r="U917" i="1" s="1"/>
  <c r="U914" i="1"/>
  <c r="U911" i="1"/>
  <c r="V911" i="1" s="1"/>
  <c r="V907" i="1"/>
  <c r="U905" i="1"/>
  <c r="U902" i="1"/>
  <c r="S899" i="1"/>
  <c r="U899" i="1" s="1"/>
  <c r="V899" i="1" s="1"/>
  <c r="S873" i="1"/>
  <c r="U873" i="1" s="1"/>
  <c r="S894" i="1"/>
  <c r="U894" i="1" s="1"/>
  <c r="U891" i="1"/>
  <c r="S887" i="1"/>
  <c r="U887" i="1" s="1"/>
  <c r="U884" i="1"/>
  <c r="V884" i="1" s="1"/>
  <c r="S881" i="1"/>
  <c r="U881" i="1" s="1"/>
  <c r="S876" i="1"/>
  <c r="V876" i="1" s="1"/>
  <c r="U870" i="1"/>
  <c r="S867" i="1"/>
  <c r="U867" i="1" s="1"/>
  <c r="V867" i="1" s="1"/>
  <c r="S864" i="1"/>
  <c r="U864" i="1" s="1"/>
  <c r="V864" i="1" s="1"/>
  <c r="S861" i="1"/>
  <c r="V861" i="1" s="1"/>
  <c r="S857" i="1"/>
  <c r="U857" i="1" s="1"/>
  <c r="U854" i="1"/>
  <c r="S851" i="1"/>
  <c r="V851" i="1" s="1"/>
  <c r="V847" i="1"/>
  <c r="S847" i="1"/>
  <c r="U845" i="1"/>
  <c r="U842" i="1"/>
  <c r="S839" i="1"/>
  <c r="U839" i="1" s="1"/>
  <c r="U836" i="1"/>
  <c r="S833" i="1"/>
  <c r="U833" i="1" s="1"/>
  <c r="V827" i="1"/>
  <c r="S827" i="1"/>
  <c r="U825" i="1"/>
  <c r="V825" i="1" s="1"/>
  <c r="U822" i="1"/>
  <c r="V822" i="1" s="1"/>
  <c r="S819" i="1"/>
  <c r="U819" i="1" s="1"/>
  <c r="V819" i="1" s="1"/>
  <c r="S816" i="1"/>
  <c r="U816" i="1" s="1"/>
  <c r="V816" i="1" s="1"/>
  <c r="U813" i="1"/>
  <c r="S811" i="1"/>
  <c r="U810" i="1"/>
  <c r="V807" i="1"/>
  <c r="S803" i="1"/>
  <c r="V803" i="1" s="1"/>
  <c r="S798" i="1"/>
  <c r="V799" i="1"/>
  <c r="U796" i="1"/>
  <c r="U793" i="1"/>
  <c r="U790" i="1"/>
  <c r="S786" i="1"/>
  <c r="U786" i="1" s="1"/>
  <c r="S783" i="1"/>
  <c r="U783" i="1" s="1"/>
  <c r="U779" i="1"/>
  <c r="V779" i="1" s="1"/>
  <c r="U776" i="1"/>
  <c r="V776" i="1" s="1"/>
  <c r="U773" i="1"/>
  <c r="V773" i="1" s="1"/>
  <c r="S770" i="1"/>
  <c r="U770" i="1" s="1"/>
  <c r="V770" i="1" s="1"/>
  <c r="U765" i="1"/>
  <c r="V765" i="1" s="1"/>
  <c r="V833" i="1" l="1"/>
  <c r="V845" i="1"/>
  <c r="V854" i="1"/>
  <c r="V873" i="1"/>
  <c r="V920" i="1"/>
  <c r="V958" i="1"/>
  <c r="V970" i="1"/>
  <c r="V1006" i="1"/>
  <c r="V1018" i="1"/>
  <c r="V793" i="1"/>
  <c r="V813" i="1"/>
  <c r="V836" i="1"/>
  <c r="V857" i="1"/>
  <c r="V870" i="1"/>
  <c r="V887" i="1"/>
  <c r="V923" i="1"/>
  <c r="V961" i="1"/>
  <c r="V973" i="1"/>
  <c r="V985" i="1"/>
  <c r="V997" i="1"/>
  <c r="V1009" i="1"/>
  <c r="V1021" i="1"/>
  <c r="V790" i="1"/>
  <c r="V783" i="1"/>
  <c r="V796" i="1"/>
  <c r="V839" i="1"/>
  <c r="V891" i="1"/>
  <c r="V902" i="1"/>
  <c r="V914" i="1"/>
  <c r="V926" i="1"/>
  <c r="V952" i="1"/>
  <c r="V964" i="1"/>
  <c r="V1000" i="1"/>
  <c r="V1024" i="1"/>
  <c r="V786" i="1"/>
  <c r="V810" i="1"/>
  <c r="V842" i="1"/>
  <c r="V881" i="1"/>
  <c r="V894" i="1"/>
  <c r="V905" i="1"/>
  <c r="V917" i="1"/>
  <c r="V929" i="1"/>
  <c r="V943" i="1"/>
  <c r="V955" i="1"/>
  <c r="V967" i="1"/>
  <c r="V979" i="1"/>
  <c r="V1003" i="1"/>
  <c r="V1015" i="1"/>
  <c r="V1027" i="1"/>
  <c r="V3602" i="1"/>
  <c r="U3329" i="1"/>
  <c r="V3329" i="1" s="1"/>
  <c r="U3312" i="1"/>
  <c r="V3312" i="1" s="1"/>
  <c r="U3310" i="1"/>
  <c r="U3309" i="1"/>
  <c r="V3309" i="1" s="1"/>
  <c r="U3307" i="1"/>
  <c r="V3307" i="1" s="1"/>
  <c r="U2520" i="1"/>
  <c r="V2520" i="1" l="1"/>
  <c r="U3314" i="1"/>
  <c r="V3314" i="1" s="1"/>
  <c r="U3421" i="1"/>
  <c r="V3421" i="1" s="1"/>
  <c r="S2526" i="1"/>
  <c r="U2526" i="1" s="1"/>
  <c r="S2524" i="1"/>
  <c r="U2524" i="1" s="1"/>
  <c r="U3420" i="1"/>
  <c r="V3420" i="1" s="1"/>
  <c r="V2524" i="1" l="1"/>
  <c r="V2526" i="1"/>
  <c r="U3263" i="1"/>
  <c r="U3417" i="1"/>
  <c r="V3417" i="1" s="1"/>
  <c r="U3416" i="1"/>
  <c r="V3416" i="1" s="1"/>
  <c r="U3415" i="1"/>
  <c r="V3415" i="1" s="1"/>
  <c r="V3412" i="1"/>
  <c r="U3411" i="1"/>
  <c r="V3411" i="1" s="1"/>
  <c r="U3410" i="1"/>
  <c r="V3410" i="1" s="1"/>
  <c r="U3409" i="1"/>
  <c r="V3409" i="1" s="1"/>
  <c r="V3418" i="1"/>
  <c r="V3407" i="1"/>
  <c r="V3263" i="1" l="1"/>
  <c r="U3406" i="1"/>
  <c r="V3406" i="1" s="1"/>
  <c r="U3405" i="1"/>
  <c r="V3405" i="1" s="1"/>
  <c r="U3404" i="1"/>
  <c r="V3404" i="1" s="1"/>
  <c r="U3403" i="1"/>
  <c r="V3403" i="1" s="1"/>
  <c r="U3402" i="1"/>
  <c r="V3402" i="1" s="1"/>
  <c r="U3401" i="1"/>
  <c r="V3401" i="1" s="1"/>
  <c r="U3400" i="1"/>
  <c r="V3400" i="1" s="1"/>
  <c r="U3399" i="1"/>
  <c r="V3399" i="1" s="1"/>
  <c r="U3397" i="1"/>
  <c r="V3397" i="1" s="1"/>
  <c r="U3398" i="1"/>
  <c r="V3398" i="1" s="1"/>
  <c r="U3396" i="1"/>
  <c r="V3396" i="1" s="1"/>
  <c r="V3626" i="1" l="1"/>
  <c r="U3566" i="1" l="1"/>
  <c r="V3566" i="1" s="1"/>
  <c r="V3562" i="1" l="1"/>
  <c r="V3598" i="1"/>
  <c r="U3367" i="1" l="1"/>
  <c r="V3367" i="1" s="1"/>
  <c r="U3365" i="1" l="1"/>
  <c r="V3365" i="1" s="1"/>
  <c r="U3395" i="1" l="1"/>
  <c r="V3395" i="1" s="1"/>
  <c r="U3394" i="1"/>
  <c r="V3394" i="1" s="1"/>
  <c r="U3393" i="1"/>
  <c r="V3393" i="1" s="1"/>
  <c r="U3392" i="1"/>
  <c r="V3392" i="1" s="1"/>
  <c r="U3391" i="1" l="1"/>
  <c r="V3391" i="1" s="1"/>
  <c r="U3390" i="1"/>
  <c r="V3390" i="1" s="1"/>
  <c r="U3389" i="1" l="1"/>
  <c r="V3389" i="1" s="1"/>
  <c r="U3388" i="1"/>
  <c r="V3388" i="1" s="1"/>
  <c r="U3387" i="1"/>
  <c r="V3387" i="1" s="1"/>
  <c r="U3386" i="1"/>
  <c r="V3386" i="1" s="1"/>
  <c r="U3384" i="1"/>
  <c r="V3384" i="1" s="1"/>
  <c r="U3385" i="1"/>
  <c r="V3385" i="1" s="1"/>
  <c r="U3614" i="1" l="1"/>
  <c r="V3897" i="1"/>
  <c r="V3896" i="1"/>
  <c r="V3895" i="1"/>
  <c r="V3894" i="1"/>
  <c r="V3893" i="1"/>
  <c r="V3892" i="1"/>
  <c r="V3891" i="1"/>
  <c r="V3890" i="1"/>
  <c r="V3614" i="1" l="1"/>
  <c r="U3380" i="1"/>
  <c r="V3380" i="1" s="1"/>
  <c r="U3383" i="1"/>
  <c r="V3383" i="1" s="1"/>
  <c r="U3382" i="1"/>
  <c r="V3382" i="1" s="1"/>
  <c r="U3364" i="1"/>
  <c r="U3381" i="1" l="1"/>
  <c r="V3381" i="1" s="1"/>
  <c r="U3379" i="1"/>
  <c r="U3378" i="1"/>
  <c r="V3378" i="1" s="1"/>
  <c r="V3375" i="1"/>
  <c r="V3373" i="1"/>
  <c r="V3371" i="1"/>
  <c r="U3370" i="1"/>
  <c r="U3369" i="1"/>
  <c r="U3368" i="1"/>
  <c r="V3368" i="1" s="1"/>
  <c r="U3366" i="1"/>
  <c r="V3366" i="1" s="1"/>
  <c r="V3379" i="1" l="1"/>
  <c r="V3369" i="1"/>
  <c r="V3370" i="1"/>
  <c r="V3364" i="1"/>
  <c r="U3829" i="1"/>
  <c r="V2431" i="1"/>
  <c r="V2434" i="1"/>
  <c r="U3363" i="1"/>
  <c r="U3361" i="1"/>
  <c r="U3362" i="1"/>
  <c r="V3839" i="1"/>
  <c r="S2371" i="1"/>
  <c r="U2371" i="1" s="1"/>
  <c r="V2371" i="1" s="1"/>
  <c r="U3353" i="1"/>
  <c r="V3353" i="1" s="1"/>
  <c r="U3351" i="1"/>
  <c r="V3351" i="1" s="1"/>
  <c r="U3349" i="1"/>
  <c r="V3349" i="1" s="1"/>
  <c r="U3347" i="1"/>
  <c r="V3347" i="1" s="1"/>
  <c r="U3345" i="1"/>
  <c r="V3345" i="1" s="1"/>
  <c r="U3343" i="1"/>
  <c r="V3343" i="1" s="1"/>
  <c r="S2365" i="1"/>
  <c r="U2365" i="1" s="1"/>
  <c r="V2365" i="1" s="1"/>
  <c r="S2362" i="1"/>
  <c r="U2362" i="1" s="1"/>
  <c r="V2362" i="1" s="1"/>
  <c r="S2355" i="1"/>
  <c r="U2355" i="1" s="1"/>
  <c r="V2355" i="1" s="1"/>
  <c r="V3829" i="1" l="1"/>
  <c r="V3361" i="1"/>
  <c r="V3363" i="1"/>
  <c r="V3362" i="1"/>
  <c r="U3360" i="1"/>
  <c r="V3360" i="1" s="1"/>
  <c r="U3359" i="1"/>
  <c r="V3359" i="1" s="1"/>
  <c r="U3052" i="1" l="1"/>
  <c r="V2769" i="1" l="1"/>
  <c r="V3814" i="1" l="1"/>
  <c r="U2767" i="1" l="1"/>
  <c r="V2767" i="1" s="1"/>
  <c r="U2765" i="1"/>
  <c r="V2765" i="1" s="1"/>
  <c r="U2763" i="1"/>
  <c r="V2763" i="1" s="1"/>
  <c r="U2761" i="1"/>
  <c r="V2761" i="1" s="1"/>
  <c r="U2759" i="1"/>
  <c r="V2759" i="1" s="1"/>
  <c r="U2757" i="1"/>
  <c r="V2757" i="1" s="1"/>
  <c r="U2755" i="1"/>
  <c r="V2755" i="1" s="1"/>
  <c r="U2753" i="1"/>
  <c r="V2753" i="1" s="1"/>
  <c r="U2751" i="1"/>
  <c r="V2751" i="1" s="1"/>
  <c r="U2749" i="1"/>
  <c r="V2749" i="1" s="1"/>
  <c r="U2747" i="1"/>
  <c r="V2747" i="1" s="1"/>
  <c r="U2745" i="1"/>
  <c r="V2745" i="1" s="1"/>
  <c r="U2743" i="1"/>
  <c r="V2743" i="1" s="1"/>
  <c r="U2741" i="1"/>
  <c r="V2741" i="1" s="1"/>
  <c r="U2739" i="1"/>
  <c r="V2739" i="1" s="1"/>
  <c r="U2737" i="1"/>
  <c r="V2737" i="1" s="1"/>
  <c r="U2735" i="1"/>
  <c r="V2735" i="1" s="1"/>
  <c r="U2733" i="1"/>
  <c r="V2733" i="1" s="1"/>
  <c r="U2731" i="1"/>
  <c r="V2731" i="1" s="1"/>
  <c r="U2729" i="1"/>
  <c r="V2729" i="1" s="1"/>
  <c r="U2727" i="1"/>
  <c r="V2727" i="1" s="1"/>
  <c r="U2725" i="1"/>
  <c r="V2725" i="1" s="1"/>
  <c r="U2723" i="1"/>
  <c r="V2723" i="1" s="1"/>
  <c r="U2721" i="1"/>
  <c r="V2721" i="1" s="1"/>
  <c r="U2719" i="1"/>
  <c r="V2719" i="1" s="1"/>
  <c r="U2717" i="1"/>
  <c r="V2717" i="1" s="1"/>
  <c r="U2715" i="1"/>
  <c r="V2715" i="1" s="1"/>
  <c r="V3358" i="1" l="1"/>
  <c r="V3357" i="1"/>
  <c r="V3882" i="1" l="1"/>
  <c r="V3793" i="1"/>
  <c r="V3790" i="1"/>
  <c r="U3294" i="1" l="1"/>
  <c r="V3294" i="1" s="1"/>
  <c r="U2904" i="1" l="1"/>
  <c r="V2904" i="1" s="1"/>
  <c r="U2902" i="1"/>
  <c r="V2902" i="1" s="1"/>
  <c r="U2900" i="1"/>
  <c r="V2900" i="1" s="1"/>
  <c r="U2898" i="1"/>
  <c r="V2898" i="1" s="1"/>
  <c r="U2896" i="1"/>
  <c r="V2896" i="1" s="1"/>
  <c r="U2894" i="1"/>
  <c r="V2894" i="1" s="1"/>
  <c r="U2892" i="1"/>
  <c r="V2892" i="1" s="1"/>
  <c r="U2890" i="1"/>
  <c r="V2890" i="1" s="1"/>
  <c r="U2888" i="1"/>
  <c r="V2888" i="1" s="1"/>
  <c r="U2886" i="1"/>
  <c r="V2886" i="1" s="1"/>
  <c r="U2884" i="1"/>
  <c r="V2884" i="1" s="1"/>
  <c r="U2882" i="1"/>
  <c r="V2882" i="1" s="1"/>
  <c r="U2880" i="1"/>
  <c r="V2880" i="1" s="1"/>
  <c r="U2878" i="1"/>
  <c r="V2878" i="1" s="1"/>
  <c r="U2874" i="1"/>
  <c r="V2874" i="1" s="1"/>
  <c r="U2872" i="1"/>
  <c r="V2872" i="1" s="1"/>
  <c r="U2870" i="1"/>
  <c r="V2870" i="1" s="1"/>
  <c r="U2868" i="1"/>
  <c r="V2868" i="1" s="1"/>
  <c r="S2866" i="1"/>
  <c r="U2866" i="1" s="1"/>
  <c r="V2866" i="1" s="1"/>
  <c r="S2864" i="1"/>
  <c r="U2864" i="1" s="1"/>
  <c r="V2864" i="1" s="1"/>
  <c r="U2862" i="1"/>
  <c r="V2862" i="1" s="1"/>
  <c r="U2860" i="1"/>
  <c r="V2860" i="1" s="1"/>
  <c r="U2856" i="1"/>
  <c r="V2856" i="1" s="1"/>
  <c r="U2854" i="1"/>
  <c r="V2854" i="1" s="1"/>
  <c r="U2852" i="1"/>
  <c r="V2852" i="1" s="1"/>
  <c r="U2850" i="1"/>
  <c r="V2850" i="1" s="1"/>
  <c r="U2848" i="1"/>
  <c r="V2848" i="1" s="1"/>
  <c r="U2846" i="1"/>
  <c r="V2846" i="1" s="1"/>
  <c r="U2844" i="1"/>
  <c r="V2844" i="1" s="1"/>
  <c r="U2842" i="1"/>
  <c r="V2842" i="1" s="1"/>
  <c r="U2840" i="1"/>
  <c r="V2840" i="1" s="1"/>
  <c r="U2838" i="1"/>
  <c r="V2838" i="1" s="1"/>
  <c r="U2836" i="1"/>
  <c r="V2836" i="1" s="1"/>
  <c r="U2834" i="1"/>
  <c r="V2834" i="1" s="1"/>
  <c r="U2832" i="1"/>
  <c r="V2832" i="1" s="1"/>
  <c r="U2830" i="1"/>
  <c r="V2830" i="1" s="1"/>
  <c r="U2827" i="1"/>
  <c r="V2827" i="1" s="1"/>
  <c r="U2824" i="1"/>
  <c r="V2824" i="1" s="1"/>
  <c r="U2821" i="1"/>
  <c r="V2821" i="1" s="1"/>
  <c r="U2818" i="1"/>
  <c r="V2818" i="1" s="1"/>
  <c r="S2816" i="1"/>
  <c r="U2816" i="1" s="1"/>
  <c r="V2816" i="1" s="1"/>
  <c r="S2814" i="1"/>
  <c r="U2814" i="1" s="1"/>
  <c r="V2814" i="1" s="1"/>
  <c r="S2812" i="1"/>
  <c r="U2812" i="1" s="1"/>
  <c r="V2812" i="1" s="1"/>
  <c r="S2810" i="1"/>
  <c r="U2810" i="1" s="1"/>
  <c r="V2810" i="1" s="1"/>
  <c r="S2808" i="1"/>
  <c r="U2808" i="1" s="1"/>
  <c r="V2808" i="1" s="1"/>
  <c r="S2806" i="1"/>
  <c r="U2806" i="1" s="1"/>
  <c r="V2806" i="1" s="1"/>
  <c r="S2804" i="1"/>
  <c r="U2804" i="1" s="1"/>
  <c r="V2804" i="1" s="1"/>
  <c r="S2802" i="1"/>
  <c r="U2802" i="1" s="1"/>
  <c r="V2802" i="1" s="1"/>
  <c r="S2800" i="1"/>
  <c r="U2800" i="1" s="1"/>
  <c r="V2800" i="1" s="1"/>
  <c r="U2798" i="1"/>
  <c r="V2798" i="1" s="1"/>
  <c r="U2796" i="1"/>
  <c r="V2796" i="1" s="1"/>
  <c r="S2794" i="1"/>
  <c r="U2794" i="1" s="1"/>
  <c r="V2794" i="1" s="1"/>
  <c r="S2792" i="1"/>
  <c r="U2792" i="1" s="1"/>
  <c r="V2792" i="1" s="1"/>
  <c r="S2790" i="1"/>
  <c r="U2790" i="1" s="1"/>
  <c r="V2790" i="1" s="1"/>
  <c r="S2787" i="1"/>
  <c r="V2787" i="1" s="1"/>
  <c r="S2785" i="1"/>
  <c r="U2785" i="1" s="1"/>
  <c r="V2785" i="1" s="1"/>
  <c r="S2783" i="1"/>
  <c r="U2783" i="1" s="1"/>
  <c r="V2783" i="1" s="1"/>
  <c r="S2781" i="1"/>
  <c r="U2781" i="1" s="1"/>
  <c r="V2781" i="1" s="1"/>
  <c r="U2778" i="1"/>
  <c r="V2778" i="1" s="1"/>
  <c r="S2774" i="1"/>
  <c r="U2774" i="1" s="1"/>
  <c r="V2774" i="1" s="1"/>
  <c r="S2776" i="1"/>
  <c r="U2776" i="1" s="1"/>
  <c r="V2776" i="1" s="1"/>
  <c r="V2773" i="1"/>
  <c r="S2773" i="1"/>
  <c r="U2565" i="1"/>
  <c r="V2565" i="1" s="1"/>
  <c r="U2562" i="1"/>
  <c r="V2562" i="1" s="1"/>
  <c r="U2559" i="1"/>
  <c r="V2559" i="1" s="1"/>
  <c r="U2556" i="1"/>
  <c r="V2556" i="1" s="1"/>
  <c r="U2553" i="1"/>
  <c r="V2553" i="1" s="1"/>
  <c r="V3681" i="1" l="1"/>
  <c r="V3721" i="1"/>
  <c r="U3718" i="1"/>
  <c r="V3718" i="1" s="1"/>
  <c r="V3715" i="1"/>
  <c r="U3712" i="1"/>
  <c r="V3712" i="1" s="1"/>
  <c r="U2876" i="1"/>
  <c r="V2876" i="1" s="1"/>
  <c r="U3354" i="1"/>
  <c r="V3354" i="1" s="1"/>
  <c r="V3355" i="1"/>
  <c r="V3692" i="1"/>
  <c r="V3617" i="1"/>
  <c r="V3608" i="1" l="1"/>
  <c r="V3889" i="1"/>
  <c r="V3624" i="1" l="1"/>
  <c r="S2370" i="1" l="1"/>
  <c r="V2370" i="1" s="1"/>
  <c r="S2354" i="1"/>
  <c r="V2354" i="1" s="1"/>
  <c r="V3352" i="1"/>
  <c r="V3350" i="1"/>
  <c r="V3348" i="1"/>
  <c r="V3344" i="1"/>
  <c r="V3346" i="1" l="1"/>
  <c r="V3342" i="1" l="1"/>
  <c r="U3124" i="1" l="1"/>
  <c r="V3124" i="1" s="1"/>
  <c r="U3122" i="1"/>
  <c r="U3120" i="1"/>
  <c r="V3120" i="1" s="1"/>
  <c r="U3118" i="1"/>
  <c r="V3118" i="1" s="1"/>
  <c r="U3116" i="1"/>
  <c r="V3116" i="1" s="1"/>
  <c r="U3110" i="1"/>
  <c r="U3108" i="1"/>
  <c r="U3106" i="1"/>
  <c r="U3104" i="1"/>
  <c r="U3102" i="1"/>
  <c r="U3100" i="1"/>
  <c r="U3098" i="1"/>
  <c r="U3096" i="1"/>
  <c r="U3094" i="1"/>
  <c r="U3092" i="1"/>
  <c r="U3090" i="1"/>
  <c r="U3088" i="1"/>
  <c r="U3086" i="1"/>
  <c r="U3084" i="1"/>
  <c r="U3082" i="1"/>
  <c r="U3080" i="1"/>
  <c r="U3078" i="1"/>
  <c r="U3076" i="1"/>
  <c r="U3074" i="1"/>
  <c r="U3072" i="1"/>
  <c r="U3070" i="1"/>
  <c r="U3068" i="1"/>
  <c r="U3066" i="1"/>
  <c r="U3064" i="1"/>
  <c r="U3062" i="1"/>
  <c r="U3060" i="1"/>
  <c r="U3058" i="1"/>
  <c r="U3056" i="1"/>
  <c r="U3054" i="1"/>
  <c r="V3052" i="1"/>
  <c r="U3050" i="1"/>
  <c r="U3048" i="1"/>
  <c r="U3046" i="1"/>
  <c r="U3044" i="1"/>
  <c r="U3042" i="1"/>
  <c r="U3040" i="1"/>
  <c r="U3038" i="1"/>
  <c r="U3036" i="1"/>
  <c r="U3034" i="1"/>
  <c r="U3032" i="1"/>
  <c r="U3030" i="1"/>
  <c r="U3028" i="1"/>
  <c r="U3026" i="1"/>
  <c r="U3024" i="1"/>
  <c r="U3022" i="1"/>
  <c r="U3020" i="1"/>
  <c r="U3018" i="1"/>
  <c r="U3016" i="1"/>
  <c r="U3014" i="1"/>
  <c r="U3012" i="1"/>
  <c r="U3010" i="1"/>
  <c r="U3008" i="1"/>
  <c r="U3006" i="1"/>
  <c r="U3004" i="1"/>
  <c r="U3002" i="1"/>
  <c r="U3000" i="1"/>
  <c r="U2998" i="1"/>
  <c r="U2996" i="1"/>
  <c r="U2994" i="1"/>
  <c r="U2992" i="1"/>
  <c r="U2990" i="1"/>
  <c r="U2988" i="1"/>
  <c r="U2986" i="1"/>
  <c r="V2986" i="1" s="1"/>
  <c r="U2984" i="1"/>
  <c r="U2982" i="1"/>
  <c r="U2980" i="1"/>
  <c r="U2978" i="1"/>
  <c r="U2976" i="1"/>
  <c r="U2974" i="1"/>
  <c r="U2972" i="1"/>
  <c r="U2970" i="1"/>
  <c r="U2968" i="1"/>
  <c r="U2966" i="1"/>
  <c r="U2964" i="1"/>
  <c r="U2962" i="1"/>
  <c r="U2960" i="1"/>
  <c r="U2958" i="1"/>
  <c r="U2956" i="1"/>
  <c r="U2954" i="1"/>
  <c r="U2952" i="1"/>
  <c r="U2950" i="1"/>
  <c r="U2948" i="1"/>
  <c r="U2946" i="1"/>
  <c r="U2944" i="1"/>
  <c r="U2942" i="1"/>
  <c r="U2940" i="1"/>
  <c r="V2937" i="1"/>
  <c r="U2938" i="1"/>
  <c r="V2938" i="1" s="1"/>
  <c r="U2936" i="1"/>
  <c r="U2934" i="1"/>
  <c r="U2932" i="1"/>
  <c r="U2930" i="1"/>
  <c r="U2928" i="1"/>
  <c r="U2926" i="1"/>
  <c r="U2924" i="1"/>
  <c r="U2922" i="1"/>
  <c r="U2920" i="1"/>
  <c r="U2918" i="1"/>
  <c r="U2916" i="1"/>
  <c r="U2914" i="1"/>
  <c r="U2912" i="1"/>
  <c r="U2910" i="1"/>
  <c r="U2908" i="1"/>
  <c r="V2906" i="1"/>
  <c r="U3341" i="1"/>
  <c r="V3341" i="1" s="1"/>
  <c r="V2988" i="1" l="1"/>
  <c r="V2908" i="1"/>
  <c r="V2924" i="1"/>
  <c r="V2954" i="1"/>
  <c r="V3002" i="1"/>
  <c r="V3018" i="1"/>
  <c r="V3034" i="1"/>
  <c r="V3058" i="1"/>
  <c r="V3074" i="1"/>
  <c r="V3090" i="1"/>
  <c r="V3106" i="1"/>
  <c r="V2918" i="1"/>
  <c r="V2934" i="1"/>
  <c r="V2948" i="1"/>
  <c r="V2956" i="1"/>
  <c r="V2972" i="1"/>
  <c r="V2980" i="1"/>
  <c r="V2996" i="1"/>
  <c r="V3004" i="1"/>
  <c r="V3020" i="1"/>
  <c r="V3036" i="1"/>
  <c r="V3068" i="1"/>
  <c r="V3084" i="1"/>
  <c r="V2912" i="1"/>
  <c r="V2920" i="1"/>
  <c r="V2928" i="1"/>
  <c r="V2936" i="1"/>
  <c r="V2942" i="1"/>
  <c r="V2950" i="1"/>
  <c r="V2958" i="1"/>
  <c r="V2966" i="1"/>
  <c r="V2974" i="1"/>
  <c r="V2982" i="1"/>
  <c r="V2990" i="1"/>
  <c r="V2998" i="1"/>
  <c r="V3006" i="1"/>
  <c r="V3014" i="1"/>
  <c r="V3022" i="1"/>
  <c r="V3030" i="1"/>
  <c r="V3038" i="1"/>
  <c r="V3046" i="1"/>
  <c r="V3054" i="1"/>
  <c r="V3062" i="1"/>
  <c r="V3070" i="1"/>
  <c r="V3078" i="1"/>
  <c r="V3086" i="1"/>
  <c r="V3094" i="1"/>
  <c r="V3102" i="1"/>
  <c r="V3110" i="1"/>
  <c r="V3122" i="1"/>
  <c r="V2916" i="1"/>
  <c r="V2932" i="1"/>
  <c r="V2946" i="1"/>
  <c r="V2962" i="1"/>
  <c r="V2970" i="1"/>
  <c r="V2978" i="1"/>
  <c r="V2994" i="1"/>
  <c r="V3010" i="1"/>
  <c r="V3026" i="1"/>
  <c r="V3042" i="1"/>
  <c r="V3050" i="1"/>
  <c r="V3066" i="1"/>
  <c r="V3082" i="1"/>
  <c r="V3098" i="1"/>
  <c r="V2910" i="1"/>
  <c r="V2926" i="1"/>
  <c r="V2940" i="1"/>
  <c r="V2964" i="1"/>
  <c r="V3012" i="1"/>
  <c r="V3028" i="1"/>
  <c r="V3044" i="1"/>
  <c r="V3060" i="1"/>
  <c r="V3076" i="1"/>
  <c r="V3092" i="1"/>
  <c r="V3100" i="1"/>
  <c r="V3108" i="1"/>
  <c r="V2914" i="1"/>
  <c r="V2922" i="1"/>
  <c r="V2930" i="1"/>
  <c r="V2944" i="1"/>
  <c r="V2952" i="1"/>
  <c r="V2960" i="1"/>
  <c r="V2968" i="1"/>
  <c r="V2976" i="1"/>
  <c r="V2984" i="1"/>
  <c r="V2992" i="1"/>
  <c r="V3000" i="1"/>
  <c r="V3008" i="1"/>
  <c r="V3016" i="1"/>
  <c r="V3024" i="1"/>
  <c r="V3032" i="1"/>
  <c r="V3040" i="1"/>
  <c r="V3048" i="1"/>
  <c r="V3056" i="1"/>
  <c r="V3064" i="1"/>
  <c r="V3072" i="1"/>
  <c r="V3080" i="1"/>
  <c r="V3088" i="1"/>
  <c r="V3096" i="1"/>
  <c r="V3104" i="1"/>
  <c r="V3625" i="1"/>
  <c r="V3336" i="1" l="1"/>
  <c r="V3333" i="1"/>
  <c r="V3330" i="1"/>
  <c r="V3328" i="1"/>
  <c r="V3325" i="1"/>
  <c r="V3313" i="1"/>
  <c r="V3311" i="1"/>
  <c r="V3310" i="1"/>
  <c r="V3308" i="1"/>
  <c r="V3306" i="1"/>
  <c r="U3305" i="1"/>
  <c r="V3305" i="1" s="1"/>
  <c r="U3304" i="1"/>
  <c r="V3304" i="1" s="1"/>
  <c r="U364" i="1" l="1"/>
  <c r="V364" i="1" s="1"/>
  <c r="U360" i="1"/>
  <c r="V360" i="1" s="1"/>
  <c r="U356" i="1"/>
  <c r="V356" i="1" s="1"/>
  <c r="U352" i="1"/>
  <c r="V352" i="1" s="1"/>
  <c r="V3623" i="1" l="1"/>
  <c r="V3622" i="1" l="1"/>
  <c r="V3621" i="1"/>
  <c r="V3584" i="1"/>
  <c r="V3620" i="1"/>
  <c r="U3303" i="1" l="1"/>
  <c r="V3303" i="1" s="1"/>
  <c r="U3302" i="1"/>
  <c r="V3302" i="1" s="1"/>
  <c r="V3888" i="1"/>
  <c r="U3301" i="1"/>
  <c r="V3301" i="1" s="1"/>
  <c r="U3300" i="1"/>
  <c r="V3300" i="1" s="1"/>
  <c r="U3299" i="1" l="1"/>
  <c r="V3299" i="1" s="1"/>
  <c r="U3298" i="1"/>
  <c r="V3298" i="1" s="1"/>
  <c r="U3297" i="1"/>
  <c r="V3297" i="1" s="1"/>
  <c r="V3887" i="1"/>
  <c r="V3851" i="1"/>
  <c r="U3112" i="1"/>
  <c r="V3112" i="1" s="1"/>
  <c r="U3579" i="1" l="1"/>
  <c r="V3886" i="1" l="1"/>
  <c r="V3619" i="1" l="1"/>
  <c r="V3618" i="1"/>
  <c r="V3579" i="1"/>
  <c r="U3296" i="1" l="1"/>
  <c r="V3296" i="1" s="1"/>
  <c r="V1576" i="1"/>
  <c r="S1298" i="1"/>
  <c r="U1298" i="1" s="1"/>
  <c r="V1298" i="1" s="1"/>
  <c r="S1303" i="1"/>
  <c r="U1303" i="1" s="1"/>
  <c r="V1303" i="1" s="1"/>
  <c r="U3114" i="1" l="1"/>
  <c r="V3114" i="1" l="1"/>
  <c r="V3680" i="1"/>
  <c r="V3850" i="1"/>
  <c r="U3129" i="1"/>
  <c r="U3295" i="1"/>
  <c r="V3295" i="1" s="1"/>
  <c r="V3293" i="1"/>
  <c r="V3129" i="1" l="1"/>
  <c r="U2517" i="1"/>
  <c r="V2517" i="1" s="1"/>
  <c r="V2519" i="1"/>
  <c r="V2513" i="1"/>
  <c r="U2511" i="1"/>
  <c r="V2511" i="1" s="1"/>
  <c r="U2500" i="1"/>
  <c r="V2500" i="1" s="1"/>
  <c r="U2506" i="1"/>
  <c r="V2506" i="1" s="1"/>
  <c r="U2504" i="1"/>
  <c r="V2504" i="1" s="1"/>
  <c r="U3291" i="1"/>
  <c r="V2440" i="1"/>
  <c r="V2438" i="1"/>
  <c r="V2436" i="1"/>
  <c r="V2433" i="1"/>
  <c r="V2430" i="1"/>
  <c r="V3291" i="1" l="1"/>
  <c r="S333" i="1"/>
  <c r="U302" i="1"/>
  <c r="V302" i="1" s="1"/>
  <c r="V763" i="1" l="1"/>
  <c r="S764" i="1"/>
  <c r="V764" i="1" s="1"/>
  <c r="U2012" i="1" l="1"/>
  <c r="V2012" i="1" s="1"/>
  <c r="U2010" i="1"/>
  <c r="V2010" i="1" s="1"/>
  <c r="U2008" i="1"/>
  <c r="V2008" i="1" s="1"/>
  <c r="U2006" i="1"/>
  <c r="V2006" i="1" s="1"/>
  <c r="U2004" i="1"/>
  <c r="V2004" i="1" s="1"/>
  <c r="U2002" i="1"/>
  <c r="V2002" i="1" s="1"/>
  <c r="U2000" i="1"/>
  <c r="V2000" i="1" s="1"/>
  <c r="U1998" i="1"/>
  <c r="V1998" i="1" s="1"/>
  <c r="U1996" i="1"/>
  <c r="V1996" i="1" s="1"/>
  <c r="U1994" i="1"/>
  <c r="V1994" i="1" s="1"/>
  <c r="U1992" i="1"/>
  <c r="V1992" i="1" s="1"/>
  <c r="U1990" i="1"/>
  <c r="V1990" i="1" s="1"/>
  <c r="U1988" i="1"/>
  <c r="V1988" i="1" s="1"/>
  <c r="U1986" i="1"/>
  <c r="V1986" i="1" s="1"/>
  <c r="U1984" i="1"/>
  <c r="V1984" i="1" s="1"/>
  <c r="U1982" i="1"/>
  <c r="V1982" i="1" s="1"/>
  <c r="U1980" i="1"/>
  <c r="V1980" i="1" s="1"/>
  <c r="U1978" i="1"/>
  <c r="V1978" i="1" s="1"/>
  <c r="U1976" i="1"/>
  <c r="V1976" i="1" s="1"/>
  <c r="U1974" i="1"/>
  <c r="V1974" i="1" s="1"/>
  <c r="U1972" i="1"/>
  <c r="V1972" i="1" s="1"/>
  <c r="U1970" i="1"/>
  <c r="V1970" i="1" s="1"/>
  <c r="U1968" i="1"/>
  <c r="V1968" i="1" s="1"/>
  <c r="U1966" i="1"/>
  <c r="V1966" i="1" s="1"/>
  <c r="U1964" i="1"/>
  <c r="V1964" i="1" s="1"/>
  <c r="U1962" i="1"/>
  <c r="V1962" i="1" s="1"/>
  <c r="U1960" i="1"/>
  <c r="V1960" i="1" s="1"/>
  <c r="U1958" i="1"/>
  <c r="V1958" i="1" s="1"/>
  <c r="U1956" i="1"/>
  <c r="V1956" i="1" s="1"/>
  <c r="U1954" i="1"/>
  <c r="U1952" i="1"/>
  <c r="U1950" i="1"/>
  <c r="U1948" i="1"/>
  <c r="U1946" i="1"/>
  <c r="U1944" i="1"/>
  <c r="U1942" i="1"/>
  <c r="U1940" i="1"/>
  <c r="U1938" i="1"/>
  <c r="U1936" i="1"/>
  <c r="U1934" i="1"/>
  <c r="U1932" i="1"/>
  <c r="U1930" i="1"/>
  <c r="U1928" i="1"/>
  <c r="U1926" i="1"/>
  <c r="U1924" i="1"/>
  <c r="U1922" i="1"/>
  <c r="U1920" i="1"/>
  <c r="U1918" i="1"/>
  <c r="S1916" i="1"/>
  <c r="U1916" i="1" s="1"/>
  <c r="U1914" i="1"/>
  <c r="U1912" i="1"/>
  <c r="U1910" i="1"/>
  <c r="U1908" i="1"/>
  <c r="U1906" i="1"/>
  <c r="U1904" i="1"/>
  <c r="U1902" i="1"/>
  <c r="U1900" i="1"/>
  <c r="U1898" i="1"/>
  <c r="S1896" i="1"/>
  <c r="U1896" i="1" s="1"/>
  <c r="S1893" i="1"/>
  <c r="S1890" i="1"/>
  <c r="S1887" i="1"/>
  <c r="S1884" i="1"/>
  <c r="S1881" i="1"/>
  <c r="S1879" i="1"/>
  <c r="U1879" i="1" s="1"/>
  <c r="U1877" i="1"/>
  <c r="U1875" i="1"/>
  <c r="S1873" i="1"/>
  <c r="U1873" i="1" s="1"/>
  <c r="S1871" i="1"/>
  <c r="U1871" i="1" s="1"/>
  <c r="S1869" i="1"/>
  <c r="U1869" i="1" s="1"/>
  <c r="S1867" i="1"/>
  <c r="U1867" i="1" s="1"/>
  <c r="S1864" i="1"/>
  <c r="S1861" i="1"/>
  <c r="S1859" i="1"/>
  <c r="U1859" i="1" s="1"/>
  <c r="S1857" i="1"/>
  <c r="U1857" i="1" s="1"/>
  <c r="S1852" i="1"/>
  <c r="U1852" i="1" s="1"/>
  <c r="S1849" i="1"/>
  <c r="S1846" i="1"/>
  <c r="S1848" i="1"/>
  <c r="V1848" i="1"/>
  <c r="U1844" i="1"/>
  <c r="S1842" i="1"/>
  <c r="U1842" i="1" s="1"/>
  <c r="S1840" i="1"/>
  <c r="U1840" i="1" s="1"/>
  <c r="S1838" i="1"/>
  <c r="U1838" i="1" s="1"/>
  <c r="U1836" i="1"/>
  <c r="S1834" i="1"/>
  <c r="U1834" i="1" s="1"/>
  <c r="U1832" i="1"/>
  <c r="S1829" i="1"/>
  <c r="S1826" i="1"/>
  <c r="S1823" i="1"/>
  <c r="S1820" i="1"/>
  <c r="S1817" i="1"/>
  <c r="U1812" i="1"/>
  <c r="S1810" i="1"/>
  <c r="U1810" i="1" s="1"/>
  <c r="U1808" i="1"/>
  <c r="U1806" i="1"/>
  <c r="U1804" i="1"/>
  <c r="S1802" i="1"/>
  <c r="U1802" i="1" s="1"/>
  <c r="S1799" i="1"/>
  <c r="V1796" i="1"/>
  <c r="V1793" i="1"/>
  <c r="V1790" i="1"/>
  <c r="S1787" i="1"/>
  <c r="V1787" i="1" s="1"/>
  <c r="S1784" i="1"/>
  <c r="V1784" i="1" s="1"/>
  <c r="S1781" i="1"/>
  <c r="V1781" i="1" s="1"/>
  <c r="S1776" i="1"/>
  <c r="U1776" i="1" s="1"/>
  <c r="V1776" i="1" s="1"/>
  <c r="U1771" i="1"/>
  <c r="S1765" i="1"/>
  <c r="S1763" i="1"/>
  <c r="U1763" i="1" s="1"/>
  <c r="S1760" i="1"/>
  <c r="S1757" i="1"/>
  <c r="V1753" i="1"/>
  <c r="S1754" i="1"/>
  <c r="V1754" i="1" s="1"/>
  <c r="S1752" i="1"/>
  <c r="U1752" i="1" s="1"/>
  <c r="S1750" i="1"/>
  <c r="U1750" i="1" s="1"/>
  <c r="S1747" i="1"/>
  <c r="S1744" i="1"/>
  <c r="S1741" i="1"/>
  <c r="S1739" i="1"/>
  <c r="U1739" i="1" s="1"/>
  <c r="U1737" i="1"/>
  <c r="S1735" i="1"/>
  <c r="U1735" i="1" s="1"/>
  <c r="S1733" i="1"/>
  <c r="U1733" i="1" s="1"/>
  <c r="S1730" i="1"/>
  <c r="S1728" i="1"/>
  <c r="U1728" i="1" s="1"/>
  <c r="S1723" i="1"/>
  <c r="U1723" i="1" s="1"/>
  <c r="U1721" i="1"/>
  <c r="U1719" i="1"/>
  <c r="S1717" i="1"/>
  <c r="U1717" i="1" s="1"/>
  <c r="U1715" i="1"/>
  <c r="U1713" i="1"/>
  <c r="S1711" i="1"/>
  <c r="U1711" i="1" s="1"/>
  <c r="V1711" i="1" s="1"/>
  <c r="S1709" i="1"/>
  <c r="U1709" i="1" s="1"/>
  <c r="S1707" i="1"/>
  <c r="U1707" i="1" s="1"/>
  <c r="U1705" i="1"/>
  <c r="S1703" i="1"/>
  <c r="U1703" i="1" s="1"/>
  <c r="S1701" i="1"/>
  <c r="U1701" i="1" s="1"/>
  <c r="U1699" i="1"/>
  <c r="U1696" i="1"/>
  <c r="V1696" i="1" s="1"/>
  <c r="U1694" i="1"/>
  <c r="V1694" i="1" s="1"/>
  <c r="U1692" i="1"/>
  <c r="V1692" i="1" s="1"/>
  <c r="U1690" i="1"/>
  <c r="V1690" i="1" s="1"/>
  <c r="U1688" i="1"/>
  <c r="V1688" i="1" s="1"/>
  <c r="U1686" i="1"/>
  <c r="V1686" i="1" s="1"/>
  <c r="U1684" i="1"/>
  <c r="V1684" i="1" s="1"/>
  <c r="U1682" i="1"/>
  <c r="V1682" i="1" s="1"/>
  <c r="U1680" i="1"/>
  <c r="V1680" i="1" s="1"/>
  <c r="U1678" i="1"/>
  <c r="V1678" i="1" s="1"/>
  <c r="U1676" i="1"/>
  <c r="V1676" i="1" s="1"/>
  <c r="U1674" i="1"/>
  <c r="V1674" i="1" s="1"/>
  <c r="U1672" i="1"/>
  <c r="V1672" i="1" s="1"/>
  <c r="U1670" i="1"/>
  <c r="V1670" i="1" s="1"/>
  <c r="U1668" i="1"/>
  <c r="V1668" i="1" s="1"/>
  <c r="U1666" i="1"/>
  <c r="V1666" i="1" s="1"/>
  <c r="U1664" i="1"/>
  <c r="V1664" i="1" s="1"/>
  <c r="U1662" i="1"/>
  <c r="V1662" i="1" s="1"/>
  <c r="U1660" i="1"/>
  <c r="V1660" i="1" s="1"/>
  <c r="U1658" i="1"/>
  <c r="V1658" i="1" s="1"/>
  <c r="U1656" i="1"/>
  <c r="V1656" i="1" s="1"/>
  <c r="U1654" i="1"/>
  <c r="V1654" i="1" s="1"/>
  <c r="U1652" i="1"/>
  <c r="V1652" i="1" s="1"/>
  <c r="U1650" i="1"/>
  <c r="V1650" i="1" s="1"/>
  <c r="U1648" i="1"/>
  <c r="V1648" i="1" s="1"/>
  <c r="U1646" i="1"/>
  <c r="V1646" i="1" s="1"/>
  <c r="U1644" i="1"/>
  <c r="V1644" i="1" s="1"/>
  <c r="U1642" i="1"/>
  <c r="V1642" i="1" s="1"/>
  <c r="U1640" i="1"/>
  <c r="V1640" i="1" s="1"/>
  <c r="U1638" i="1"/>
  <c r="V1638" i="1" s="1"/>
  <c r="U1636" i="1"/>
  <c r="V1636" i="1" s="1"/>
  <c r="U1634" i="1"/>
  <c r="V1634" i="1" s="1"/>
  <c r="U1632" i="1"/>
  <c r="V1632" i="1" s="1"/>
  <c r="U1630" i="1"/>
  <c r="V1630" i="1" s="1"/>
  <c r="V1628" i="1"/>
  <c r="U1626" i="1"/>
  <c r="V1626" i="1" s="1"/>
  <c r="U1624" i="1"/>
  <c r="V1624" i="1" s="1"/>
  <c r="S1622" i="1"/>
  <c r="U1622" i="1" s="1"/>
  <c r="V1622" i="1" s="1"/>
  <c r="V1623" i="1"/>
  <c r="S1620" i="1"/>
  <c r="U1620" i="1" s="1"/>
  <c r="V1620" i="1" s="1"/>
  <c r="S1618" i="1"/>
  <c r="U1618" i="1" s="1"/>
  <c r="V1618" i="1" s="1"/>
  <c r="S1616" i="1"/>
  <c r="U1616" i="1" s="1"/>
  <c r="V1616" i="1" s="1"/>
  <c r="U1614" i="1"/>
  <c r="V1614" i="1" s="1"/>
  <c r="U1612" i="1"/>
  <c r="V1612" i="1" s="1"/>
  <c r="U1610" i="1"/>
  <c r="V1610" i="1" s="1"/>
  <c r="U1608" i="1"/>
  <c r="V1608" i="1" s="1"/>
  <c r="U1606" i="1"/>
  <c r="V1606" i="1" s="1"/>
  <c r="U1604" i="1"/>
  <c r="V1604" i="1" s="1"/>
  <c r="S1602" i="1"/>
  <c r="U1602" i="1" s="1"/>
  <c r="V1602" i="1" s="1"/>
  <c r="S1600" i="1"/>
  <c r="U1600" i="1" s="1"/>
  <c r="V1600" i="1" s="1"/>
  <c r="U1598" i="1"/>
  <c r="V1598" i="1" s="1"/>
  <c r="U1596" i="1"/>
  <c r="V1596" i="1" s="1"/>
  <c r="U1594" i="1"/>
  <c r="V1594" i="1" s="1"/>
  <c r="U1592" i="1"/>
  <c r="V1592" i="1" s="1"/>
  <c r="U1590" i="1"/>
  <c r="V1590" i="1" s="1"/>
  <c r="U1588" i="1"/>
  <c r="V1588" i="1" s="1"/>
  <c r="U1586" i="1"/>
  <c r="V1586" i="1" s="1"/>
  <c r="U1584" i="1"/>
  <c r="V1584" i="1" s="1"/>
  <c r="U1582" i="1"/>
  <c r="V1582" i="1" s="1"/>
  <c r="U1580" i="1"/>
  <c r="V1580" i="1" s="1"/>
  <c r="U1578" i="1"/>
  <c r="V1578" i="1" s="1"/>
  <c r="U1574" i="1"/>
  <c r="V1574" i="1" s="1"/>
  <c r="U1572" i="1"/>
  <c r="V1572" i="1" s="1"/>
  <c r="U1570" i="1"/>
  <c r="V1570" i="1" s="1"/>
  <c r="U1568" i="1"/>
  <c r="V1568" i="1" s="1"/>
  <c r="U1566" i="1"/>
  <c r="V1566" i="1" s="1"/>
  <c r="U1564" i="1"/>
  <c r="V1564" i="1" s="1"/>
  <c r="U1562" i="1"/>
  <c r="V1562" i="1" s="1"/>
  <c r="U1560" i="1"/>
  <c r="V1560" i="1" s="1"/>
  <c r="U1558" i="1"/>
  <c r="V1558" i="1" s="1"/>
  <c r="U1556" i="1"/>
  <c r="V1556" i="1" s="1"/>
  <c r="U1554" i="1"/>
  <c r="V1554" i="1" s="1"/>
  <c r="U1552" i="1"/>
  <c r="V1552" i="1" s="1"/>
  <c r="U1550" i="1"/>
  <c r="V1550" i="1" s="1"/>
  <c r="U1548" i="1"/>
  <c r="V1548" i="1" s="1"/>
  <c r="U1546" i="1"/>
  <c r="V1546" i="1" s="1"/>
  <c r="U1544" i="1"/>
  <c r="V1544" i="1" s="1"/>
  <c r="U1542" i="1"/>
  <c r="V1542" i="1" s="1"/>
  <c r="U1540" i="1"/>
  <c r="V1540" i="1" s="1"/>
  <c r="U1538" i="1"/>
  <c r="V1538" i="1" s="1"/>
  <c r="U1536" i="1"/>
  <c r="V1536" i="1" s="1"/>
  <c r="U1534" i="1"/>
  <c r="V1534" i="1" s="1"/>
  <c r="U1532" i="1"/>
  <c r="V1532" i="1" s="1"/>
  <c r="U1530" i="1"/>
  <c r="V1530" i="1" s="1"/>
  <c r="U1528" i="1"/>
  <c r="V1528" i="1" s="1"/>
  <c r="V1526" i="1"/>
  <c r="V1524" i="1"/>
  <c r="V1522" i="1"/>
  <c r="U1520" i="1"/>
  <c r="V1520" i="1" s="1"/>
  <c r="U1518" i="1"/>
  <c r="V1518" i="1" s="1"/>
  <c r="U1516" i="1"/>
  <c r="V1516" i="1" s="1"/>
  <c r="S1514" i="1"/>
  <c r="U1514" i="1" s="1"/>
  <c r="V1514" i="1" s="1"/>
  <c r="S1512" i="1"/>
  <c r="U1512" i="1" s="1"/>
  <c r="V1512" i="1" s="1"/>
  <c r="U1510" i="1"/>
  <c r="V1510" i="1" s="1"/>
  <c r="U1508" i="1"/>
  <c r="V1508" i="1" s="1"/>
  <c r="U1506" i="1"/>
  <c r="V1506" i="1" s="1"/>
  <c r="U1504" i="1"/>
  <c r="V1504" i="1" s="1"/>
  <c r="V1502" i="1"/>
  <c r="U1500" i="1"/>
  <c r="V1500" i="1" s="1"/>
  <c r="S1498" i="1"/>
  <c r="U1498" i="1" s="1"/>
  <c r="V1498" i="1" s="1"/>
  <c r="U1496" i="1"/>
  <c r="V1496" i="1" s="1"/>
  <c r="S1497" i="1"/>
  <c r="V1497" i="1"/>
  <c r="U1494" i="1"/>
  <c r="V1494" i="1" s="1"/>
  <c r="U1492" i="1"/>
  <c r="V1492" i="1" s="1"/>
  <c r="S1490" i="1"/>
  <c r="U1490" i="1" s="1"/>
  <c r="V1490" i="1" s="1"/>
  <c r="U1488" i="1"/>
  <c r="V1488" i="1" s="1"/>
  <c r="S1486" i="1"/>
  <c r="U1486" i="1" s="1"/>
  <c r="V1486" i="1" s="1"/>
  <c r="S1484" i="1"/>
  <c r="U1484" i="1" s="1"/>
  <c r="V1484" i="1" s="1"/>
  <c r="S1482" i="1"/>
  <c r="U1482" i="1" s="1"/>
  <c r="V1482" i="1" s="1"/>
  <c r="U1480" i="1"/>
  <c r="V1480" i="1" s="1"/>
  <c r="S1478" i="1"/>
  <c r="U1478" i="1" s="1"/>
  <c r="V1478" i="1" s="1"/>
  <c r="S1476" i="1"/>
  <c r="U1476" i="1" s="1"/>
  <c r="V1476" i="1" s="1"/>
  <c r="V1752" i="1" l="1"/>
  <c r="V1699" i="1"/>
  <c r="V1715" i="1"/>
  <c r="V1741" i="1"/>
  <c r="V1771" i="1"/>
  <c r="V1812" i="1"/>
  <c r="V1842" i="1"/>
  <c r="V1857" i="1"/>
  <c r="V1875" i="1"/>
  <c r="V1896" i="1"/>
  <c r="V1912" i="1"/>
  <c r="V1928" i="1"/>
  <c r="V1944" i="1"/>
  <c r="V1952" i="1"/>
  <c r="V1725" i="1"/>
  <c r="V1744" i="1"/>
  <c r="V1763" i="1"/>
  <c r="V1806" i="1"/>
  <c r="V1826" i="1"/>
  <c r="V1844" i="1"/>
  <c r="V1859" i="1"/>
  <c r="V1887" i="1"/>
  <c r="V1898" i="1"/>
  <c r="V1914" i="1"/>
  <c r="V1930" i="1"/>
  <c r="V1946" i="1"/>
  <c r="V1954" i="1"/>
  <c r="V1705" i="1"/>
  <c r="V1713" i="1"/>
  <c r="V1721" i="1"/>
  <c r="V1730" i="1"/>
  <c r="V1739" i="1"/>
  <c r="V1750" i="1"/>
  <c r="V1757" i="1"/>
  <c r="V1768" i="1"/>
  <c r="V1802" i="1"/>
  <c r="V1810" i="1"/>
  <c r="V1820" i="1"/>
  <c r="V1832" i="1"/>
  <c r="V1840" i="1"/>
  <c r="V1854" i="1"/>
  <c r="V1864" i="1"/>
  <c r="V1873" i="1"/>
  <c r="V1881" i="1"/>
  <c r="V1893" i="1"/>
  <c r="V1902" i="1"/>
  <c r="V1910" i="1"/>
  <c r="V1918" i="1"/>
  <c r="V1926" i="1"/>
  <c r="V1934" i="1"/>
  <c r="V1942" i="1"/>
  <c r="V1950" i="1"/>
  <c r="V1723" i="1"/>
  <c r="V1760" i="1"/>
  <c r="V1804" i="1"/>
  <c r="V1823" i="1"/>
  <c r="V1834" i="1"/>
  <c r="V1846" i="1"/>
  <c r="V1867" i="1"/>
  <c r="V1884" i="1"/>
  <c r="V1904" i="1"/>
  <c r="V1920" i="1"/>
  <c r="V1936" i="1"/>
  <c r="V1701" i="1"/>
  <c r="V1717" i="1"/>
  <c r="V1773" i="1"/>
  <c r="V1814" i="1"/>
  <c r="V1836" i="1"/>
  <c r="V1849" i="1"/>
  <c r="V1869" i="1"/>
  <c r="V1877" i="1"/>
  <c r="V1906" i="1"/>
  <c r="V1922" i="1"/>
  <c r="V1938" i="1"/>
  <c r="V1719" i="1"/>
  <c r="V1728" i="1"/>
  <c r="V1737" i="1"/>
  <c r="V1747" i="1"/>
  <c r="V1765" i="1"/>
  <c r="V1799" i="1"/>
  <c r="V1808" i="1"/>
  <c r="V1817" i="1"/>
  <c r="V1829" i="1"/>
  <c r="V1838" i="1"/>
  <c r="V1852" i="1"/>
  <c r="V1861" i="1"/>
  <c r="V1871" i="1"/>
  <c r="V1879" i="1"/>
  <c r="V1890" i="1"/>
  <c r="V1900" i="1"/>
  <c r="V1908" i="1"/>
  <c r="V1916" i="1"/>
  <c r="V1924" i="1"/>
  <c r="V1932" i="1"/>
  <c r="V1940" i="1"/>
  <c r="V1948" i="1"/>
  <c r="V1778" i="1"/>
  <c r="V1707" i="1"/>
  <c r="V1733" i="1"/>
  <c r="V1735" i="1"/>
  <c r="V1703" i="1"/>
  <c r="V1709" i="1"/>
  <c r="U1474" i="1"/>
  <c r="V1474" i="1" s="1"/>
  <c r="S1472" i="1"/>
  <c r="U1472" i="1" s="1"/>
  <c r="V1472" i="1" s="1"/>
  <c r="U1470" i="1"/>
  <c r="V1470" i="1" s="1"/>
  <c r="U1468" i="1"/>
  <c r="V1468" i="1" s="1"/>
  <c r="U1466" i="1"/>
  <c r="V1466" i="1" s="1"/>
  <c r="S1464" i="1"/>
  <c r="U1464" i="1" s="1"/>
  <c r="V1464" i="1" s="1"/>
  <c r="U1462" i="1"/>
  <c r="V1462" i="1" s="1"/>
  <c r="U1460" i="1"/>
  <c r="V1460" i="1" s="1"/>
  <c r="U1458" i="1"/>
  <c r="V1458" i="1" s="1"/>
  <c r="U1456" i="1"/>
  <c r="V1456" i="1" s="1"/>
  <c r="S1454" i="1"/>
  <c r="U1454" i="1" s="1"/>
  <c r="V1454" i="1" s="1"/>
  <c r="S1452" i="1"/>
  <c r="U1452" i="1" s="1"/>
  <c r="V1452" i="1" s="1"/>
  <c r="U1450" i="1"/>
  <c r="V1450" i="1" s="1"/>
  <c r="V1448" i="1"/>
  <c r="S1446" i="1"/>
  <c r="U1446" i="1" s="1"/>
  <c r="V1446" i="1" s="1"/>
  <c r="V1444" i="1"/>
  <c r="V1442" i="1"/>
  <c r="U1440" i="1"/>
  <c r="V1440" i="1" s="1"/>
  <c r="U1438" i="1"/>
  <c r="V1438" i="1" s="1"/>
  <c r="U1436" i="1"/>
  <c r="V1436" i="1" s="1"/>
  <c r="U1434" i="1"/>
  <c r="V1434" i="1" s="1"/>
  <c r="U1432" i="1"/>
  <c r="V1432" i="1" s="1"/>
  <c r="U1430" i="1"/>
  <c r="V1430" i="1" s="1"/>
  <c r="U1428" i="1"/>
  <c r="V1428" i="1" s="1"/>
  <c r="S1426" i="1"/>
  <c r="U1426" i="1" s="1"/>
  <c r="V1426" i="1" s="1"/>
  <c r="S1424" i="1"/>
  <c r="U1424" i="1" s="1"/>
  <c r="V1424" i="1" s="1"/>
  <c r="U1422" i="1"/>
  <c r="V1422" i="1" s="1"/>
  <c r="U1420" i="1"/>
  <c r="V1420" i="1" s="1"/>
  <c r="U1418" i="1"/>
  <c r="V1418" i="1" s="1"/>
  <c r="U1416" i="1"/>
  <c r="V1416" i="1" s="1"/>
  <c r="V1413" i="1"/>
  <c r="U1414" i="1"/>
  <c r="V1414" i="1" s="1"/>
  <c r="U1412" i="1"/>
  <c r="V1412" i="1" s="1"/>
  <c r="U1410" i="1"/>
  <c r="V1410" i="1" s="1"/>
  <c r="U1408" i="1"/>
  <c r="V1408" i="1" s="1"/>
  <c r="U1406" i="1"/>
  <c r="V1406" i="1" s="1"/>
  <c r="U1404" i="1"/>
  <c r="V1404" i="1" s="1"/>
  <c r="U1402" i="1"/>
  <c r="V1402" i="1" s="1"/>
  <c r="U1400" i="1"/>
  <c r="V1400" i="1" s="1"/>
  <c r="U1398" i="1"/>
  <c r="V1398" i="1" s="1"/>
  <c r="U1396" i="1"/>
  <c r="V1396" i="1" s="1"/>
  <c r="U1394" i="1"/>
  <c r="V1394" i="1" s="1"/>
  <c r="U1392" i="1"/>
  <c r="V1392" i="1" s="1"/>
  <c r="U1390" i="1"/>
  <c r="V1390" i="1" s="1"/>
  <c r="U1388" i="1"/>
  <c r="V1388" i="1" s="1"/>
  <c r="U1386" i="1"/>
  <c r="V1386" i="1" s="1"/>
  <c r="U1384" i="1" l="1"/>
  <c r="V1384" i="1" s="1"/>
  <c r="U1382" i="1"/>
  <c r="V1382" i="1" s="1"/>
  <c r="U1380" i="1"/>
  <c r="V1380" i="1" s="1"/>
  <c r="S1378" i="1"/>
  <c r="U1378" i="1" s="1"/>
  <c r="V1378" i="1" s="1"/>
  <c r="S1376" i="1"/>
  <c r="U1376" i="1" s="1"/>
  <c r="V1376" i="1" s="1"/>
  <c r="S1374" i="1"/>
  <c r="U1374" i="1" s="1"/>
  <c r="V1374" i="1" s="1"/>
  <c r="S1372" i="1"/>
  <c r="U1372" i="1" s="1"/>
  <c r="V1372" i="1" s="1"/>
  <c r="S1370" i="1"/>
  <c r="U1370" i="1" s="1"/>
  <c r="V1370" i="1" s="1"/>
  <c r="S1368" i="1"/>
  <c r="U1368" i="1" s="1"/>
  <c r="V1368" i="1" s="1"/>
  <c r="S1366" i="1"/>
  <c r="U1366" i="1" s="1"/>
  <c r="V1366" i="1" s="1"/>
  <c r="S1364" i="1"/>
  <c r="U1364" i="1" s="1"/>
  <c r="V1364" i="1" s="1"/>
  <c r="S1362" i="1"/>
  <c r="U1362" i="1" s="1"/>
  <c r="V1362" i="1" s="1"/>
  <c r="U1360" i="1"/>
  <c r="V1360" i="1" s="1"/>
  <c r="U1358" i="1"/>
  <c r="V1358" i="1" s="1"/>
  <c r="U1356" i="1"/>
  <c r="V1356" i="1" s="1"/>
  <c r="U1354" i="1"/>
  <c r="V1354" i="1" s="1"/>
  <c r="U1352" i="1"/>
  <c r="V1352" i="1" s="1"/>
  <c r="U1350" i="1"/>
  <c r="V1350" i="1" s="1"/>
  <c r="S1348" i="1"/>
  <c r="U1348" i="1" s="1"/>
  <c r="V1348" i="1" s="1"/>
  <c r="S1346" i="1"/>
  <c r="U1346" i="1" s="1"/>
  <c r="V1346" i="1" s="1"/>
  <c r="S1344" i="1"/>
  <c r="U1344" i="1" s="1"/>
  <c r="V1344" i="1" s="1"/>
  <c r="U1342" i="1"/>
  <c r="V1342" i="1" s="1"/>
  <c r="U1340" i="1"/>
  <c r="V1340" i="1" s="1"/>
  <c r="S1338" i="1"/>
  <c r="U1338" i="1" s="1"/>
  <c r="V1338" i="1" s="1"/>
  <c r="S1336" i="1"/>
  <c r="U1336" i="1" s="1"/>
  <c r="V1336" i="1" s="1"/>
  <c r="U1334" i="1"/>
  <c r="V1334" i="1" s="1"/>
  <c r="U1332" i="1"/>
  <c r="V1332" i="1" s="1"/>
  <c r="U1330" i="1"/>
  <c r="V1330" i="1" s="1"/>
  <c r="U1328" i="1"/>
  <c r="V1328" i="1" s="1"/>
  <c r="U1326" i="1"/>
  <c r="V1326" i="1" s="1"/>
  <c r="U1324" i="1"/>
  <c r="V1324" i="1" s="1"/>
  <c r="S1322" i="1"/>
  <c r="U1322" i="1" s="1"/>
  <c r="V1322" i="1" s="1"/>
  <c r="U1320" i="1"/>
  <c r="V1320" i="1" s="1"/>
  <c r="S1318" i="1"/>
  <c r="U1318" i="1" s="1"/>
  <c r="V1318" i="1" s="1"/>
  <c r="V1315" i="1"/>
  <c r="S1313" i="1"/>
  <c r="U1313" i="1" s="1"/>
  <c r="V1313" i="1" s="1"/>
  <c r="S1311" i="1"/>
  <c r="U1311" i="1" s="1"/>
  <c r="V1311" i="1" s="1"/>
  <c r="U1309" i="1"/>
  <c r="V1309" i="1" s="1"/>
  <c r="S1307" i="1"/>
  <c r="U1307" i="1" s="1"/>
  <c r="V1307" i="1" s="1"/>
  <c r="U1305" i="1"/>
  <c r="V1305" i="1" s="1"/>
  <c r="V1302" i="1"/>
  <c r="S1300" i="1"/>
  <c r="U1300" i="1" s="1"/>
  <c r="V1300" i="1" s="1"/>
  <c r="V1297" i="1"/>
  <c r="V1295" i="1"/>
  <c r="U1293" i="1"/>
  <c r="V1293" i="1" s="1"/>
  <c r="U1291" i="1"/>
  <c r="V1291" i="1" s="1"/>
  <c r="S1289" i="1"/>
  <c r="U1289" i="1" s="1"/>
  <c r="V1289" i="1" s="1"/>
  <c r="S1287" i="1"/>
  <c r="U1287" i="1" s="1"/>
  <c r="V1287" i="1" s="1"/>
  <c r="S1285" i="1"/>
  <c r="U1285" i="1" s="1"/>
  <c r="V1285" i="1" s="1"/>
  <c r="S1283" i="1"/>
  <c r="U1283" i="1" s="1"/>
  <c r="V1283" i="1" s="1"/>
  <c r="S1281" i="1"/>
  <c r="U1281" i="1" s="1"/>
  <c r="V1281" i="1" s="1"/>
  <c r="U1279" i="1"/>
  <c r="V1279" i="1" s="1"/>
  <c r="S1277" i="1"/>
  <c r="U1277" i="1" s="1"/>
  <c r="V1277" i="1" s="1"/>
  <c r="S1275" i="1"/>
  <c r="U1275" i="1" s="1"/>
  <c r="V1275" i="1" s="1"/>
  <c r="U1273" i="1"/>
  <c r="V1273" i="1" s="1"/>
  <c r="U1271" i="1"/>
  <c r="V1271" i="1" s="1"/>
  <c r="U1269" i="1"/>
  <c r="V1269" i="1" s="1"/>
  <c r="S1267" i="1"/>
  <c r="V1267" i="1" s="1"/>
  <c r="U1262" i="1"/>
  <c r="V1262" i="1" s="1"/>
  <c r="S1260" i="1"/>
  <c r="U1260" i="1" s="1"/>
  <c r="V1260" i="1" s="1"/>
  <c r="U1258" i="1"/>
  <c r="V1258" i="1" s="1"/>
  <c r="U1256" i="1"/>
  <c r="V1256" i="1" s="1"/>
  <c r="U1254" i="1"/>
  <c r="V1254" i="1" s="1"/>
  <c r="U1252" i="1"/>
  <c r="V1252" i="1" s="1"/>
  <c r="U1250" i="1"/>
  <c r="V1250" i="1" s="1"/>
  <c r="U1248" i="1"/>
  <c r="V1248" i="1" s="1"/>
  <c r="U1246" i="1"/>
  <c r="V1246" i="1" s="1"/>
  <c r="U1244" i="1"/>
  <c r="V1244" i="1" s="1"/>
  <c r="U1242" i="1"/>
  <c r="V1242" i="1" s="1"/>
  <c r="U1240" i="1"/>
  <c r="V1240" i="1" s="1"/>
  <c r="U1238" i="1"/>
  <c r="V1238" i="1" s="1"/>
  <c r="U1236" i="1"/>
  <c r="V1236" i="1" s="1"/>
  <c r="U1234" i="1"/>
  <c r="V1234" i="1" s="1"/>
  <c r="U1232" i="1"/>
  <c r="V1232" i="1" s="1"/>
  <c r="U1230" i="1"/>
  <c r="V1230" i="1" s="1"/>
  <c r="U1228" i="1"/>
  <c r="V1228" i="1" s="1"/>
  <c r="U1226" i="1"/>
  <c r="V1226" i="1" s="1"/>
  <c r="U1224" i="1"/>
  <c r="V1224" i="1" s="1"/>
  <c r="U1222" i="1"/>
  <c r="V1222" i="1" s="1"/>
  <c r="U1220" i="1"/>
  <c r="V1220" i="1" s="1"/>
  <c r="U1217" i="1"/>
  <c r="V1217" i="1" s="1"/>
  <c r="U1215" i="1"/>
  <c r="V1215" i="1" s="1"/>
  <c r="U1213" i="1"/>
  <c r="V1213" i="1" s="1"/>
  <c r="U1211" i="1"/>
  <c r="V1211" i="1" s="1"/>
  <c r="U1209" i="1"/>
  <c r="V1209" i="1" s="1"/>
  <c r="U1207" i="1"/>
  <c r="V1207" i="1" s="1"/>
  <c r="U1202" i="1"/>
  <c r="V1202" i="1" s="1"/>
  <c r="S1200" i="1"/>
  <c r="U1200" i="1" s="1"/>
  <c r="V1200" i="1" s="1"/>
  <c r="U1198" i="1"/>
  <c r="V1198" i="1" s="1"/>
  <c r="U1196" i="1"/>
  <c r="V1196" i="1" s="1"/>
  <c r="U1194" i="1"/>
  <c r="V1194" i="1" s="1"/>
  <c r="U1192" i="1"/>
  <c r="V1192" i="1" s="1"/>
  <c r="U1190" i="1"/>
  <c r="V1190" i="1" s="1"/>
  <c r="U1188" i="1"/>
  <c r="V1188" i="1" s="1"/>
  <c r="U1186" i="1"/>
  <c r="V1186" i="1" s="1"/>
  <c r="U1184" i="1"/>
  <c r="V1184" i="1" s="1"/>
  <c r="U1182" i="1"/>
  <c r="V1182" i="1" s="1"/>
  <c r="U1180" i="1"/>
  <c r="V1180" i="1" s="1"/>
  <c r="U1178" i="1"/>
  <c r="V1178" i="1" s="1"/>
  <c r="U1176" i="1"/>
  <c r="V1176" i="1" s="1"/>
  <c r="U1174" i="1"/>
  <c r="V1174" i="1" s="1"/>
  <c r="U1172" i="1"/>
  <c r="V1172" i="1" s="1"/>
  <c r="U1170" i="1"/>
  <c r="V1170" i="1" s="1"/>
  <c r="U1168" i="1"/>
  <c r="V1168" i="1" s="1"/>
  <c r="U1166" i="1"/>
  <c r="V1166" i="1" s="1"/>
  <c r="U1164" i="1"/>
  <c r="V1164" i="1" s="1"/>
  <c r="U1162" i="1"/>
  <c r="V1162" i="1" s="1"/>
  <c r="U1160" i="1"/>
  <c r="V1160" i="1" s="1"/>
  <c r="U1158" i="1"/>
  <c r="V1158" i="1" s="1"/>
  <c r="U1156" i="1"/>
  <c r="V1156" i="1" s="1"/>
  <c r="U1154" i="1"/>
  <c r="V1154" i="1" s="1"/>
  <c r="U1152" i="1"/>
  <c r="V1152" i="1" s="1"/>
  <c r="U1150" i="1"/>
  <c r="V1150" i="1" s="1"/>
  <c r="U1148" i="1"/>
  <c r="V1148" i="1" s="1"/>
  <c r="U1146" i="1"/>
  <c r="V1146" i="1" s="1"/>
  <c r="U1143" i="1"/>
  <c r="V1143" i="1" s="1"/>
  <c r="U1141" i="1"/>
  <c r="V1141" i="1" s="1"/>
  <c r="U1139" i="1"/>
  <c r="V1139" i="1" s="1"/>
  <c r="U1137" i="1"/>
  <c r="V1137" i="1" s="1"/>
  <c r="U1135" i="1"/>
  <c r="V1135" i="1" s="1"/>
  <c r="U1133" i="1"/>
  <c r="V1133" i="1" s="1"/>
  <c r="U1131" i="1"/>
  <c r="V1131" i="1" s="1"/>
  <c r="U1129" i="1"/>
  <c r="V1129" i="1" s="1"/>
  <c r="U1127" i="1" l="1"/>
  <c r="V1127" i="1" s="1"/>
  <c r="U1125" i="1"/>
  <c r="V1125" i="1" s="1"/>
  <c r="U1123" i="1"/>
  <c r="V1123" i="1" s="1"/>
  <c r="U1121" i="1"/>
  <c r="V1121" i="1" s="1"/>
  <c r="U1119" i="1" l="1"/>
  <c r="V1119" i="1" s="1"/>
  <c r="U1117" i="1"/>
  <c r="V1117" i="1" s="1"/>
  <c r="U1115" i="1"/>
  <c r="V1115" i="1" s="1"/>
  <c r="U1113" i="1"/>
  <c r="V1113" i="1" s="1"/>
  <c r="U1111" i="1"/>
  <c r="V1111" i="1" s="1"/>
  <c r="U1109" i="1"/>
  <c r="V1109" i="1" s="1"/>
  <c r="U1106" i="1"/>
  <c r="V1106" i="1" s="1"/>
  <c r="U1104" i="1"/>
  <c r="V1104" i="1" s="1"/>
  <c r="U1102" i="1"/>
  <c r="V1102" i="1" s="1"/>
  <c r="U1100" i="1"/>
  <c r="V1100" i="1" s="1"/>
  <c r="U1098" i="1"/>
  <c r="V1098" i="1" s="1"/>
  <c r="U1096" i="1"/>
  <c r="V1096" i="1" s="1"/>
  <c r="U1094" i="1"/>
  <c r="V1094" i="1" s="1"/>
  <c r="U1092" i="1"/>
  <c r="V1092" i="1" s="1"/>
  <c r="U1089" i="1"/>
  <c r="V1089" i="1" s="1"/>
  <c r="U1087" i="1"/>
  <c r="V1087" i="1" s="1"/>
  <c r="U1085" i="1"/>
  <c r="V1085" i="1" s="1"/>
  <c r="U1083" i="1"/>
  <c r="V1083" i="1" s="1"/>
  <c r="U1080" i="1"/>
  <c r="V1080" i="1" s="1"/>
  <c r="U1077" i="1"/>
  <c r="V1077" i="1" s="1"/>
  <c r="U1075" i="1"/>
  <c r="V1075" i="1" s="1"/>
  <c r="U1073" i="1"/>
  <c r="V1073" i="1" s="1"/>
  <c r="U1071" i="1"/>
  <c r="V1071" i="1" s="1"/>
  <c r="U1069" i="1"/>
  <c r="V1069" i="1" s="1"/>
  <c r="U1067" i="1"/>
  <c r="V1067" i="1" s="1"/>
  <c r="U1065" i="1"/>
  <c r="V1065" i="1" s="1"/>
  <c r="U1063" i="1"/>
  <c r="V1063" i="1" s="1"/>
  <c r="S1061" i="1"/>
  <c r="U1061" i="1" s="1"/>
  <c r="V1061" i="1" s="1"/>
  <c r="U1059" i="1"/>
  <c r="V1059" i="1" s="1"/>
  <c r="U1057" i="1"/>
  <c r="V1057" i="1" s="1"/>
  <c r="U1055" i="1"/>
  <c r="V1055" i="1" s="1"/>
  <c r="U1051" i="1"/>
  <c r="V1051" i="1" s="1"/>
  <c r="U1053" i="1"/>
  <c r="V1053" i="1" s="1"/>
  <c r="U1049" i="1"/>
  <c r="V1049" i="1" s="1"/>
  <c r="U1047" i="1"/>
  <c r="V1047" i="1" s="1"/>
  <c r="U1045" i="1"/>
  <c r="V1045" i="1" s="1"/>
  <c r="U1043" i="1"/>
  <c r="V1043" i="1" s="1"/>
  <c r="U1041" i="1"/>
  <c r="V1041" i="1" s="1"/>
  <c r="U1039" i="1"/>
  <c r="V1039" i="1" s="1"/>
  <c r="U1037" i="1"/>
  <c r="V1037" i="1" s="1"/>
  <c r="U1035" i="1"/>
  <c r="V1035" i="1" s="1"/>
  <c r="U1033" i="1"/>
  <c r="V1033" i="1" s="1"/>
  <c r="U1031" i="1"/>
  <c r="V1031" i="1" s="1"/>
  <c r="U1029" i="1"/>
  <c r="V1029" i="1" s="1"/>
  <c r="V1026" i="1" l="1"/>
  <c r="V1023" i="1"/>
  <c r="V1020" i="1"/>
  <c r="V1017" i="1"/>
  <c r="V1014" i="1" l="1"/>
  <c r="U1012" i="1"/>
  <c r="V1008" i="1"/>
  <c r="V1012" i="1" l="1"/>
  <c r="V1005" i="1"/>
  <c r="V1002" i="1"/>
  <c r="V999" i="1"/>
  <c r="V1001" i="1"/>
  <c r="V996" i="1"/>
  <c r="V990" i="1"/>
  <c r="V987" i="1"/>
  <c r="V984" i="1"/>
  <c r="U982" i="1"/>
  <c r="V978" i="1"/>
  <c r="V975" i="1"/>
  <c r="V972" i="1"/>
  <c r="V969" i="1"/>
  <c r="V966" i="1"/>
  <c r="V963" i="1"/>
  <c r="V960" i="1"/>
  <c r="V957" i="1"/>
  <c r="V954" i="1"/>
  <c r="V951" i="1"/>
  <c r="V948" i="1"/>
  <c r="V945" i="1"/>
  <c r="V942" i="1"/>
  <c r="V982" i="1" l="1"/>
  <c r="V939" i="1"/>
  <c r="V936" i="1"/>
  <c r="V932" i="1"/>
  <c r="V928" i="1"/>
  <c r="S925" i="1"/>
  <c r="V925" i="1" s="1"/>
  <c r="V922" i="1"/>
  <c r="S919" i="1"/>
  <c r="V919" i="1" s="1"/>
  <c r="S916" i="1"/>
  <c r="V916" i="1" s="1"/>
  <c r="V913" i="1"/>
  <c r="V910" i="1"/>
  <c r="U908" i="1"/>
  <c r="V904" i="1"/>
  <c r="V901" i="1"/>
  <c r="V897" i="1"/>
  <c r="S898" i="1"/>
  <c r="V898" i="1" s="1"/>
  <c r="S896" i="1"/>
  <c r="V896" i="1" s="1"/>
  <c r="S893" i="1"/>
  <c r="V893" i="1" s="1"/>
  <c r="S890" i="1"/>
  <c r="S886" i="1"/>
  <c r="V886" i="1" s="1"/>
  <c r="V3578" i="1"/>
  <c r="V908" i="1" l="1"/>
  <c r="V890" i="1"/>
  <c r="S883" i="1"/>
  <c r="V883" i="1" s="1"/>
  <c r="S880" i="1"/>
  <c r="V880" i="1" s="1"/>
  <c r="U878" i="1"/>
  <c r="V878" i="1" s="1"/>
  <c r="S875" i="1"/>
  <c r="V875" i="1" s="1"/>
  <c r="V872" i="1"/>
  <c r="S869" i="1"/>
  <c r="V869" i="1" s="1"/>
  <c r="S866" i="1"/>
  <c r="V866" i="1" s="1"/>
  <c r="S863" i="1"/>
  <c r="V863" i="1" s="1"/>
  <c r="S860" i="1"/>
  <c r="V860" i="1" s="1"/>
  <c r="S856" i="1"/>
  <c r="V856" i="1" s="1"/>
  <c r="V853" i="1"/>
  <c r="S850" i="1"/>
  <c r="V850" i="1" s="1"/>
  <c r="S848" i="1"/>
  <c r="U848" i="1" s="1"/>
  <c r="V848" i="1" s="1"/>
  <c r="S844" i="1"/>
  <c r="V844" i="1" s="1"/>
  <c r="S841" i="1"/>
  <c r="V841" i="1" s="1"/>
  <c r="S838" i="1"/>
  <c r="V838" i="1" s="1"/>
  <c r="S835" i="1"/>
  <c r="V835" i="1" s="1"/>
  <c r="S832" i="1"/>
  <c r="V832" i="1" s="1"/>
  <c r="S830" i="1"/>
  <c r="U830" i="1" s="1"/>
  <c r="V830" i="1" s="1"/>
  <c r="S828" i="1"/>
  <c r="U828" i="1" s="1"/>
  <c r="S824" i="1"/>
  <c r="V824" i="1" s="1"/>
  <c r="S821" i="1"/>
  <c r="V821" i="1" s="1"/>
  <c r="S818" i="1"/>
  <c r="V818" i="1" s="1"/>
  <c r="S815" i="1"/>
  <c r="V815" i="1" s="1"/>
  <c r="S812" i="1"/>
  <c r="V812" i="1" s="1"/>
  <c r="S809" i="1"/>
  <c r="V809" i="1" s="1"/>
  <c r="S806" i="1"/>
  <c r="V806" i="1" s="1"/>
  <c r="S802" i="1"/>
  <c r="V802" i="1" s="1"/>
  <c r="V798" i="1"/>
  <c r="V795" i="1"/>
  <c r="V792" i="1"/>
  <c r="V789" i="1"/>
  <c r="S785" i="1"/>
  <c r="V785" i="1" s="1"/>
  <c r="S782" i="1"/>
  <c r="V782" i="1" s="1"/>
  <c r="S778" i="1"/>
  <c r="V778" i="1" s="1"/>
  <c r="S775" i="1"/>
  <c r="V775" i="1" s="1"/>
  <c r="S772" i="1"/>
  <c r="V772" i="1" s="1"/>
  <c r="S769" i="1"/>
  <c r="V769" i="1" s="1"/>
  <c r="S762" i="1"/>
  <c r="U762" i="1" s="1"/>
  <c r="V762" i="1" s="1"/>
  <c r="V828" i="1" l="1"/>
  <c r="V3679" i="1"/>
  <c r="V3616" i="1" l="1"/>
  <c r="V2491" i="1" l="1"/>
  <c r="V2488" i="1"/>
  <c r="V2485" i="1"/>
  <c r="V2482" i="1"/>
  <c r="V363" i="1"/>
  <c r="V359" i="1"/>
  <c r="V355" i="1"/>
  <c r="V351" i="1"/>
  <c r="U348" i="1"/>
  <c r="V348" i="1" s="1"/>
  <c r="U345" i="1"/>
  <c r="V345" i="1" s="1"/>
  <c r="U342" i="1"/>
  <c r="V342" i="1" s="1"/>
  <c r="U339" i="1"/>
  <c r="V339" i="1" s="1"/>
  <c r="V2564" i="1"/>
  <c r="V2561" i="1"/>
  <c r="V2558" i="1"/>
  <c r="V2555" i="1"/>
  <c r="V2552" i="1"/>
  <c r="U333" i="1"/>
  <c r="V333" i="1" s="1"/>
  <c r="U3292" i="1"/>
  <c r="V3292" i="1" s="1"/>
  <c r="U3290" i="1"/>
  <c r="U3289" i="1"/>
  <c r="U3288" i="1"/>
  <c r="U3287" i="1"/>
  <c r="V3287" i="1" s="1"/>
  <c r="U3286" i="1"/>
  <c r="V3286" i="1" s="1"/>
  <c r="U3285" i="1"/>
  <c r="V3285" i="1" s="1"/>
  <c r="U3284" i="1"/>
  <c r="V3284" i="1" s="1"/>
  <c r="U3283" i="1"/>
  <c r="V3283" i="1" s="1"/>
  <c r="U3282" i="1"/>
  <c r="V3282" i="1" s="1"/>
  <c r="V3290" i="1" l="1"/>
  <c r="V3288" i="1"/>
  <c r="V3289" i="1"/>
  <c r="U3281" i="1"/>
  <c r="V3281" i="1" s="1"/>
  <c r="U3280" i="1"/>
  <c r="V3280" i="1" s="1"/>
  <c r="V3279" i="1"/>
  <c r="V3613" i="1" l="1"/>
  <c r="U3582" i="1"/>
  <c r="V3582" i="1" l="1"/>
  <c r="V3884" i="1"/>
  <c r="V3728" i="1"/>
  <c r="V3726" i="1"/>
  <c r="V3588" i="1" l="1"/>
  <c r="V3795" i="1" l="1"/>
  <c r="V3792" i="1"/>
  <c r="V3802" i="1"/>
  <c r="V3883" i="1"/>
  <c r="V3881" i="1" l="1"/>
  <c r="U3278" i="1"/>
  <c r="V3278" i="1" s="1"/>
  <c r="U3277" i="1"/>
  <c r="V3277" i="1" s="1"/>
  <c r="U3276" i="1"/>
  <c r="V3276" i="1" s="1"/>
  <c r="U3569" i="1"/>
  <c r="V3880" i="1"/>
  <c r="U3645" i="1" l="1"/>
  <c r="V3569" i="1"/>
  <c r="U3275" i="1"/>
  <c r="V3275" i="1" s="1"/>
  <c r="V3789" i="1"/>
  <c r="V3720" i="1" l="1"/>
  <c r="V3752" i="1"/>
  <c r="V3665" i="1"/>
  <c r="V3662" i="1"/>
  <c r="V3678" i="1" l="1"/>
  <c r="V3869" i="1" l="1"/>
  <c r="V3879" i="1" l="1"/>
  <c r="U3844" i="1"/>
  <c r="U3846" i="1" l="1"/>
  <c r="V3846" i="1" s="1"/>
  <c r="V3841" i="1"/>
  <c r="V3854" i="1"/>
  <c r="V3844" i="1"/>
  <c r="V3709" i="1" l="1"/>
  <c r="V2829" i="1" l="1"/>
  <c r="V2826" i="1"/>
  <c r="V2823" i="1"/>
  <c r="V2820" i="1"/>
  <c r="U300" i="1" l="1"/>
  <c r="V300" i="1" s="1"/>
  <c r="U298" i="1"/>
  <c r="V298" i="1" s="1"/>
  <c r="U296" i="1"/>
  <c r="U294" i="1"/>
  <c r="V294" i="1" s="1"/>
  <c r="U292" i="1"/>
  <c r="V292" i="1" s="1"/>
  <c r="U290" i="1"/>
  <c r="V290" i="1" s="1"/>
  <c r="U288" i="1"/>
  <c r="V288" i="1" s="1"/>
  <c r="U286" i="1"/>
  <c r="V286" i="1" s="1"/>
  <c r="U284" i="1"/>
  <c r="V284" i="1" s="1"/>
  <c r="U282" i="1"/>
  <c r="V282" i="1" s="1"/>
  <c r="U280" i="1"/>
  <c r="V280" i="1" s="1"/>
  <c r="U278" i="1"/>
  <c r="V278" i="1" s="1"/>
  <c r="U274" i="1"/>
  <c r="V274" i="1" s="1"/>
  <c r="U272" i="1"/>
  <c r="V272" i="1" s="1"/>
  <c r="U270" i="1"/>
  <c r="V270" i="1" s="1"/>
  <c r="U268" i="1"/>
  <c r="V268" i="1" s="1"/>
  <c r="U266" i="1"/>
  <c r="V266" i="1" s="1"/>
  <c r="U264" i="1"/>
  <c r="V264" i="1" s="1"/>
  <c r="V261" i="1"/>
  <c r="U259" i="1"/>
  <c r="V259" i="1" s="1"/>
  <c r="U257" i="1"/>
  <c r="V257" i="1" s="1"/>
  <c r="U255" i="1"/>
  <c r="V255" i="1" s="1"/>
  <c r="U253" i="1"/>
  <c r="V253" i="1" s="1"/>
  <c r="U251" i="1"/>
  <c r="V251" i="1" s="1"/>
  <c r="U249" i="1"/>
  <c r="V249" i="1" s="1"/>
  <c r="U247" i="1"/>
  <c r="V247" i="1" s="1"/>
  <c r="U245" i="1"/>
  <c r="V245" i="1" s="1"/>
  <c r="U243" i="1"/>
  <c r="V243" i="1" s="1"/>
  <c r="U241" i="1"/>
  <c r="V241" i="1" s="1"/>
  <c r="U239" i="1"/>
  <c r="V239" i="1" s="1"/>
  <c r="U237" i="1"/>
  <c r="V237" i="1" s="1"/>
  <c r="U235" i="1"/>
  <c r="V235" i="1" s="1"/>
  <c r="U233" i="1"/>
  <c r="V233" i="1" s="1"/>
  <c r="U231" i="1"/>
  <c r="V231" i="1" s="1"/>
  <c r="U229" i="1"/>
  <c r="V229" i="1" s="1"/>
  <c r="U227" i="1"/>
  <c r="V227" i="1" s="1"/>
  <c r="U225" i="1"/>
  <c r="V225" i="1" s="1"/>
  <c r="U223" i="1"/>
  <c r="V223" i="1" s="1"/>
  <c r="U221" i="1"/>
  <c r="V221" i="1" s="1"/>
  <c r="U219" i="1"/>
  <c r="V219" i="1" s="1"/>
  <c r="U217" i="1"/>
  <c r="V217" i="1" s="1"/>
  <c r="U215" i="1"/>
  <c r="V215" i="1" s="1"/>
  <c r="U213" i="1"/>
  <c r="V213" i="1" s="1"/>
  <c r="U211" i="1"/>
  <c r="V211" i="1" s="1"/>
  <c r="U209" i="1"/>
  <c r="V209" i="1" s="1"/>
  <c r="U207" i="1"/>
  <c r="V207" i="1" s="1"/>
  <c r="U205" i="1"/>
  <c r="V205" i="1" s="1"/>
  <c r="U203" i="1"/>
  <c r="V203" i="1" s="1"/>
  <c r="U201" i="1"/>
  <c r="V201" i="1" s="1"/>
  <c r="U199" i="1"/>
  <c r="V199" i="1" s="1"/>
  <c r="U197" i="1"/>
  <c r="V197" i="1" s="1"/>
  <c r="U195" i="1"/>
  <c r="V195" i="1" s="1"/>
  <c r="U193" i="1"/>
  <c r="V193" i="1" s="1"/>
  <c r="U191" i="1"/>
  <c r="V191" i="1" s="1"/>
  <c r="U189" i="1"/>
  <c r="V189" i="1" s="1"/>
  <c r="U187" i="1"/>
  <c r="V187" i="1" s="1"/>
  <c r="U185" i="1"/>
  <c r="V185" i="1" s="1"/>
  <c r="U183" i="1"/>
  <c r="V183" i="1" s="1"/>
  <c r="U181" i="1"/>
  <c r="V181" i="1" s="1"/>
  <c r="U179" i="1"/>
  <c r="V179" i="1" s="1"/>
  <c r="U177" i="1"/>
  <c r="V177" i="1" s="1"/>
  <c r="U175" i="1"/>
  <c r="V175" i="1" s="1"/>
  <c r="U173" i="1"/>
  <c r="V173" i="1" s="1"/>
  <c r="U171" i="1"/>
  <c r="V171" i="1" s="1"/>
  <c r="U169" i="1"/>
  <c r="V169" i="1" s="1"/>
  <c r="U167" i="1"/>
  <c r="V167" i="1" s="1"/>
  <c r="U165" i="1"/>
  <c r="V165" i="1" s="1"/>
  <c r="U163" i="1"/>
  <c r="V163" i="1" s="1"/>
  <c r="U161" i="1"/>
  <c r="V161" i="1" s="1"/>
  <c r="U159" i="1"/>
  <c r="V159" i="1" s="1"/>
  <c r="U157" i="1"/>
  <c r="V157" i="1" s="1"/>
  <c r="U155" i="1"/>
  <c r="V155" i="1" s="1"/>
  <c r="U153" i="1"/>
  <c r="V153" i="1" s="1"/>
  <c r="U151" i="1"/>
  <c r="V151" i="1" s="1"/>
  <c r="U149" i="1"/>
  <c r="V149" i="1" s="1"/>
  <c r="U147" i="1"/>
  <c r="V147" i="1" s="1"/>
  <c r="U145" i="1"/>
  <c r="V145" i="1" s="1"/>
  <c r="U143" i="1"/>
  <c r="V143" i="1" s="1"/>
  <c r="U141" i="1"/>
  <c r="V141" i="1" s="1"/>
  <c r="U139" i="1"/>
  <c r="V139" i="1" s="1"/>
  <c r="U137" i="1"/>
  <c r="V137" i="1" s="1"/>
  <c r="U135" i="1"/>
  <c r="V135" i="1" s="1"/>
  <c r="U133" i="1"/>
  <c r="V133" i="1" s="1"/>
  <c r="U131" i="1"/>
  <c r="V131" i="1" s="1"/>
  <c r="U129" i="1"/>
  <c r="V129" i="1" s="1"/>
  <c r="U127" i="1"/>
  <c r="V127" i="1" s="1"/>
  <c r="U125" i="1"/>
  <c r="V125" i="1" s="1"/>
  <c r="U123" i="1"/>
  <c r="V123" i="1" s="1"/>
  <c r="U121" i="1"/>
  <c r="V121" i="1" s="1"/>
  <c r="U119" i="1"/>
  <c r="V119" i="1" s="1"/>
  <c r="U117" i="1"/>
  <c r="V117" i="1" s="1"/>
  <c r="U115" i="1"/>
  <c r="V115" i="1" s="1"/>
  <c r="U113" i="1"/>
  <c r="V113" i="1" s="1"/>
  <c r="U111" i="1"/>
  <c r="V111" i="1" s="1"/>
  <c r="U109" i="1"/>
  <c r="V109" i="1" s="1"/>
  <c r="U107" i="1"/>
  <c r="V107" i="1" s="1"/>
  <c r="U105" i="1"/>
  <c r="V105" i="1" s="1"/>
  <c r="U103" i="1"/>
  <c r="V103" i="1" s="1"/>
  <c r="U101" i="1"/>
  <c r="V101" i="1" s="1"/>
  <c r="U99" i="1"/>
  <c r="V99" i="1" s="1"/>
  <c r="U97" i="1"/>
  <c r="V97" i="1" s="1"/>
  <c r="V296" i="1" l="1"/>
  <c r="U95" i="1"/>
  <c r="V95" i="1" s="1"/>
  <c r="U93" i="1"/>
  <c r="V93" i="1" s="1"/>
  <c r="V94" i="1"/>
  <c r="U91" i="1"/>
  <c r="V91" i="1" s="1"/>
  <c r="U89" i="1"/>
  <c r="V89" i="1" s="1"/>
  <c r="U87" i="1"/>
  <c r="V87" i="1" s="1"/>
  <c r="U85" i="1"/>
  <c r="V85" i="1" s="1"/>
  <c r="U83" i="1"/>
  <c r="V83" i="1" s="1"/>
  <c r="U81" i="1"/>
  <c r="V81" i="1" s="1"/>
  <c r="U79" i="1"/>
  <c r="V79" i="1" s="1"/>
  <c r="U77" i="1"/>
  <c r="V77" i="1" s="1"/>
  <c r="U75" i="1"/>
  <c r="V75" i="1" s="1"/>
  <c r="U73" i="1"/>
  <c r="V73" i="1" s="1"/>
  <c r="U71" i="1"/>
  <c r="V71" i="1" s="1"/>
  <c r="U69" i="1"/>
  <c r="V69" i="1" s="1"/>
  <c r="U67" i="1"/>
  <c r="V67" i="1" s="1"/>
  <c r="U65" i="1"/>
  <c r="V65" i="1" s="1"/>
  <c r="U63" i="1"/>
  <c r="V63" i="1" s="1"/>
  <c r="U61" i="1"/>
  <c r="V61" i="1" s="1"/>
  <c r="U59" i="1"/>
  <c r="V59" i="1" s="1"/>
  <c r="U57" i="1"/>
  <c r="V57" i="1" s="1"/>
  <c r="U55" i="1"/>
  <c r="U53" i="1"/>
  <c r="V50" i="1"/>
  <c r="U48" i="1"/>
  <c r="V48" i="1" s="1"/>
  <c r="U46" i="1"/>
  <c r="V46" i="1" s="1"/>
  <c r="U44" i="1"/>
  <c r="V44" i="1" s="1"/>
  <c r="U42" i="1"/>
  <c r="V42" i="1" s="1"/>
  <c r="U40" i="1"/>
  <c r="V40" i="1" s="1"/>
  <c r="U38" i="1"/>
  <c r="U36" i="1"/>
  <c r="V36" i="1" s="1"/>
  <c r="U34" i="1"/>
  <c r="U276" i="1"/>
  <c r="V276" i="1" s="1"/>
  <c r="V53" i="1" l="1"/>
  <c r="V38" i="1"/>
  <c r="V55" i="1"/>
  <c r="V34" i="1"/>
  <c r="S2780" i="1"/>
  <c r="V2780" i="1" s="1"/>
  <c r="U3687" i="1" l="1"/>
  <c r="V3687" i="1" s="1"/>
  <c r="U760" i="1"/>
  <c r="V760" i="1" s="1"/>
  <c r="V1957" i="1" l="1"/>
  <c r="V3717" i="1" l="1"/>
  <c r="V3714" i="1"/>
  <c r="V3711" i="1"/>
  <c r="V3611" i="1" l="1"/>
  <c r="U3825" i="1"/>
  <c r="V3825" i="1" s="1"/>
  <c r="U3871" i="1"/>
  <c r="V3871" i="1" s="1"/>
  <c r="V3848" i="1"/>
  <c r="V3838" i="1"/>
  <c r="V3832" i="1"/>
  <c r="V3750" i="1"/>
  <c r="V3748" i="1"/>
  <c r="V3746" i="1"/>
  <c r="V3744" i="1"/>
  <c r="U3739" i="1"/>
  <c r="V3739" i="1" s="1"/>
  <c r="V3737" i="1"/>
  <c r="U3735" i="1"/>
  <c r="V3735" i="1" s="1"/>
  <c r="V3742" i="1"/>
  <c r="V3732" i="1"/>
  <c r="V3727" i="1"/>
  <c r="V3601" i="1" l="1"/>
  <c r="V3592" i="1"/>
  <c r="V3575" i="1"/>
  <c r="V3573" i="1"/>
  <c r="V3571" i="1"/>
  <c r="V3568" i="1"/>
  <c r="V3577" i="1" l="1"/>
  <c r="V3612" i="1"/>
  <c r="V362" i="1" l="1"/>
  <c r="V358" i="1"/>
  <c r="V354" i="1"/>
  <c r="V350" i="1"/>
  <c r="V347" i="1"/>
  <c r="V344" i="1"/>
  <c r="V341" i="1"/>
  <c r="V338" i="1"/>
  <c r="U3836" i="1"/>
  <c r="V3836" i="1" s="1"/>
  <c r="U3834" i="1"/>
  <c r="V3834" i="1" s="1"/>
  <c r="V3819" i="1"/>
  <c r="V3817" i="1"/>
  <c r="S367" i="1"/>
  <c r="U367" i="1" s="1"/>
  <c r="V367" i="1" l="1"/>
  <c r="V3878" i="1"/>
  <c r="T330" i="1" l="1"/>
  <c r="U330" i="1" s="1"/>
  <c r="V330" i="1" s="1"/>
  <c r="T315" i="1"/>
  <c r="U315" i="1" s="1"/>
  <c r="V315" i="1" s="1"/>
  <c r="S3274" i="1" l="1"/>
  <c r="U3274" i="1" s="1"/>
  <c r="V3274" i="1" s="1"/>
  <c r="S3273" i="1"/>
  <c r="U3273" i="1" s="1"/>
  <c r="V3273" i="1" s="1"/>
  <c r="S3271" i="1"/>
  <c r="V3271" i="1" s="1"/>
  <c r="S3269" i="1"/>
  <c r="V3269" i="1" s="1"/>
  <c r="U3268" i="1"/>
  <c r="U3267" i="1"/>
  <c r="U3266" i="1"/>
  <c r="U3265" i="1"/>
  <c r="V3262" i="1"/>
  <c r="U3261" i="1"/>
  <c r="U3260" i="1"/>
  <c r="U3259" i="1"/>
  <c r="S3258" i="1"/>
  <c r="U3258" i="1" s="1"/>
  <c r="U3257" i="1"/>
  <c r="U3256" i="1"/>
  <c r="U3255" i="1"/>
  <c r="U3254" i="1"/>
  <c r="U3253" i="1"/>
  <c r="U3252" i="1"/>
  <c r="U3251" i="1"/>
  <c r="U3250" i="1"/>
  <c r="U3249" i="1"/>
  <c r="U3248" i="1"/>
  <c r="U3247" i="1"/>
  <c r="U3246" i="1"/>
  <c r="U3245" i="1"/>
  <c r="U3244" i="1"/>
  <c r="U3243" i="1"/>
  <c r="U3242" i="1"/>
  <c r="U3241" i="1"/>
  <c r="U3240" i="1"/>
  <c r="U3239" i="1"/>
  <c r="U3238" i="1"/>
  <c r="U3237" i="1"/>
  <c r="U3236" i="1"/>
  <c r="U3235" i="1"/>
  <c r="U3234" i="1"/>
  <c r="U3233" i="1"/>
  <c r="U3232" i="1"/>
  <c r="U3231" i="1"/>
  <c r="U3230" i="1"/>
  <c r="U3229" i="1"/>
  <c r="U3228" i="1"/>
  <c r="U3227" i="1"/>
  <c r="U3226" i="1"/>
  <c r="U3225" i="1"/>
  <c r="U3224" i="1"/>
  <c r="U3223" i="1"/>
  <c r="U3222" i="1"/>
  <c r="U3221" i="1"/>
  <c r="U3220" i="1"/>
  <c r="U3219" i="1"/>
  <c r="U3218" i="1"/>
  <c r="U3217" i="1"/>
  <c r="U3216" i="1"/>
  <c r="U3215" i="1"/>
  <c r="U3214" i="1"/>
  <c r="U3213" i="1"/>
  <c r="U3212" i="1"/>
  <c r="U3211" i="1"/>
  <c r="U3210" i="1"/>
  <c r="U3209" i="1"/>
  <c r="U3208" i="1"/>
  <c r="U3207" i="1"/>
  <c r="S3206" i="1"/>
  <c r="U3206" i="1" s="1"/>
  <c r="V3204" i="1"/>
  <c r="V3202" i="1"/>
  <c r="V3200" i="1"/>
  <c r="U3199" i="1"/>
  <c r="V3199" i="1" s="1"/>
  <c r="V3197" i="1"/>
  <c r="V3195" i="1"/>
  <c r="V3193" i="1"/>
  <c r="U3192" i="1"/>
  <c r="U3191" i="1"/>
  <c r="U3190" i="1"/>
  <c r="U3189" i="1"/>
  <c r="U3188" i="1"/>
  <c r="U3187" i="1"/>
  <c r="U3186" i="1"/>
  <c r="U3185" i="1"/>
  <c r="U3184" i="1"/>
  <c r="S3183" i="1"/>
  <c r="U3183" i="1" s="1"/>
  <c r="V3183" i="1" s="1"/>
  <c r="U3182" i="1"/>
  <c r="U3181" i="1"/>
  <c r="U3180" i="1"/>
  <c r="U3179" i="1"/>
  <c r="V3179" i="1" s="1"/>
  <c r="U3178" i="1"/>
  <c r="V3178" i="1" s="1"/>
  <c r="U3177" i="1"/>
  <c r="U3176" i="1"/>
  <c r="U3175" i="1"/>
  <c r="U3174" i="1"/>
  <c r="U3173" i="1"/>
  <c r="S3172" i="1"/>
  <c r="U3172" i="1" s="1"/>
  <c r="U3171" i="1"/>
  <c r="U3170" i="1"/>
  <c r="U3169" i="1"/>
  <c r="U3168" i="1"/>
  <c r="U3167" i="1"/>
  <c r="U3166" i="1"/>
  <c r="U3165" i="1"/>
  <c r="U3164" i="1"/>
  <c r="U3163" i="1"/>
  <c r="U3162" i="1"/>
  <c r="U3161" i="1"/>
  <c r="U3160" i="1"/>
  <c r="U3159" i="1"/>
  <c r="U3158" i="1"/>
  <c r="U3157" i="1"/>
  <c r="U3156" i="1"/>
  <c r="U3155" i="1"/>
  <c r="U3154" i="1"/>
  <c r="U3153" i="1"/>
  <c r="U3152" i="1"/>
  <c r="U3151" i="1"/>
  <c r="U3150" i="1"/>
  <c r="U3149" i="1"/>
  <c r="U3148" i="1"/>
  <c r="U3147" i="1"/>
  <c r="U3146" i="1"/>
  <c r="U3145" i="1"/>
  <c r="U3144" i="1"/>
  <c r="U3143" i="1"/>
  <c r="U3142" i="1"/>
  <c r="U3141" i="1"/>
  <c r="U3140" i="1"/>
  <c r="U3139" i="1"/>
  <c r="U3138" i="1"/>
  <c r="U3137" i="1"/>
  <c r="U3136" i="1"/>
  <c r="U3135" i="1"/>
  <c r="U3134" i="1"/>
  <c r="U3133" i="1"/>
  <c r="U3132" i="1"/>
  <c r="U3131" i="1"/>
  <c r="U3130" i="1"/>
  <c r="V3128" i="1"/>
  <c r="U3127" i="1"/>
  <c r="V3127" i="1" s="1"/>
  <c r="S3125" i="1"/>
  <c r="V3123" i="1"/>
  <c r="V3121" i="1"/>
  <c r="V3119" i="1"/>
  <c r="V3117" i="1"/>
  <c r="V3115" i="1"/>
  <c r="V3113" i="1"/>
  <c r="V3111" i="1"/>
  <c r="V3109" i="1"/>
  <c r="V3105" i="1"/>
  <c r="V3103" i="1"/>
  <c r="V3101" i="1"/>
  <c r="V3099" i="1"/>
  <c r="V3097" i="1"/>
  <c r="V3095" i="1"/>
  <c r="V3093" i="1"/>
  <c r="V3091" i="1"/>
  <c r="V3089" i="1"/>
  <c r="V3087" i="1"/>
  <c r="V3085" i="1"/>
  <c r="V3083" i="1"/>
  <c r="V3081" i="1"/>
  <c r="V3079" i="1"/>
  <c r="V3077" i="1"/>
  <c r="V3075" i="1"/>
  <c r="V3073" i="1"/>
  <c r="V3071" i="1"/>
  <c r="V3069" i="1"/>
  <c r="V3067" i="1"/>
  <c r="V3065" i="1"/>
  <c r="V3063" i="1"/>
  <c r="V3061" i="1"/>
  <c r="V3059" i="1"/>
  <c r="V3057" i="1"/>
  <c r="V3055" i="1"/>
  <c r="V3053" i="1"/>
  <c r="V3051" i="1"/>
  <c r="V3049" i="1"/>
  <c r="V3047" i="1"/>
  <c r="V3045" i="1"/>
  <c r="V3043" i="1"/>
  <c r="V3041" i="1"/>
  <c r="V3039" i="1"/>
  <c r="V3037" i="1"/>
  <c r="V3035" i="1"/>
  <c r="V3033" i="1"/>
  <c r="V3031" i="1"/>
  <c r="V3029" i="1"/>
  <c r="V3027" i="1"/>
  <c r="V3025" i="1"/>
  <c r="V3023" i="1"/>
  <c r="V3021" i="1"/>
  <c r="V3019" i="1"/>
  <c r="V3017" i="1"/>
  <c r="V3015" i="1"/>
  <c r="V3013" i="1"/>
  <c r="V3011" i="1"/>
  <c r="V3009" i="1"/>
  <c r="V3007" i="1"/>
  <c r="V3005" i="1"/>
  <c r="V3003" i="1"/>
  <c r="V3001" i="1"/>
  <c r="V2999" i="1"/>
  <c r="V2997" i="1"/>
  <c r="V2995" i="1"/>
  <c r="V2993" i="1"/>
  <c r="V2991" i="1"/>
  <c r="V2989" i="1"/>
  <c r="V2987" i="1"/>
  <c r="V2985" i="1"/>
  <c r="V2983" i="1"/>
  <c r="V2981" i="1"/>
  <c r="V2979" i="1"/>
  <c r="V2977" i="1"/>
  <c r="V2975" i="1"/>
  <c r="V2973" i="1"/>
  <c r="V2971" i="1"/>
  <c r="V2969" i="1"/>
  <c r="V2967" i="1"/>
  <c r="V2965" i="1"/>
  <c r="V2963" i="1"/>
  <c r="V2961" i="1"/>
  <c r="V2959" i="1"/>
  <c r="V2957" i="1"/>
  <c r="V2955" i="1"/>
  <c r="V2953" i="1"/>
  <c r="V2951" i="1"/>
  <c r="V2949" i="1"/>
  <c r="V2947" i="1"/>
  <c r="V2945" i="1"/>
  <c r="V2943" i="1"/>
  <c r="V2941" i="1"/>
  <c r="V2939" i="1"/>
  <c r="V2935" i="1"/>
  <c r="V2933" i="1"/>
  <c r="V2931" i="1"/>
  <c r="V2929" i="1"/>
  <c r="V2927" i="1"/>
  <c r="V2925" i="1"/>
  <c r="V2923" i="1"/>
  <c r="V2921" i="1"/>
  <c r="V2919" i="1"/>
  <c r="V2917" i="1"/>
  <c r="V2915" i="1"/>
  <c r="V2913" i="1"/>
  <c r="V2911" i="1"/>
  <c r="V2909" i="1"/>
  <c r="V2907" i="1"/>
  <c r="V2905" i="1"/>
  <c r="V2903" i="1"/>
  <c r="V2901" i="1"/>
  <c r="V2899" i="1"/>
  <c r="V2897" i="1"/>
  <c r="V2895" i="1"/>
  <c r="V2893" i="1"/>
  <c r="V2891" i="1"/>
  <c r="V2889" i="1"/>
  <c r="V2887" i="1"/>
  <c r="V2885" i="1"/>
  <c r="V2883" i="1"/>
  <c r="V2881" i="1"/>
  <c r="V2879" i="1"/>
  <c r="V2877" i="1"/>
  <c r="V2875" i="1"/>
  <c r="V2873" i="1"/>
  <c r="V2871" i="1"/>
  <c r="V2869" i="1"/>
  <c r="V2867" i="1"/>
  <c r="S2865" i="1"/>
  <c r="V2865" i="1" s="1"/>
  <c r="S2863" i="1"/>
  <c r="V2863" i="1" s="1"/>
  <c r="V2861" i="1"/>
  <c r="V2859" i="1"/>
  <c r="U2858" i="1"/>
  <c r="V2858" i="1" s="1"/>
  <c r="U2857" i="1"/>
  <c r="V2857" i="1" s="1"/>
  <c r="V2855" i="1"/>
  <c r="V2853" i="1"/>
  <c r="V2851" i="1"/>
  <c r="V2849" i="1"/>
  <c r="V2847" i="1"/>
  <c r="V2845" i="1"/>
  <c r="V2843" i="1"/>
  <c r="V2841" i="1"/>
  <c r="V2839" i="1"/>
  <c r="V2837" i="1"/>
  <c r="V2835" i="1"/>
  <c r="V2833" i="1"/>
  <c r="V2831" i="1"/>
  <c r="V2828" i="1"/>
  <c r="V2825" i="1"/>
  <c r="V2822" i="1"/>
  <c r="V2819" i="1"/>
  <c r="V2817" i="1"/>
  <c r="S2815" i="1"/>
  <c r="V2815" i="1" s="1"/>
  <c r="S2813" i="1"/>
  <c r="V2813" i="1" s="1"/>
  <c r="S2811" i="1"/>
  <c r="V2811" i="1" s="1"/>
  <c r="S2809" i="1"/>
  <c r="V2809" i="1" s="1"/>
  <c r="S2807" i="1"/>
  <c r="V2807" i="1" s="1"/>
  <c r="S2805" i="1"/>
  <c r="V2805" i="1" s="1"/>
  <c r="S2803" i="1"/>
  <c r="V2803" i="1" s="1"/>
  <c r="S2801" i="1"/>
  <c r="V2801" i="1" s="1"/>
  <c r="S2799" i="1"/>
  <c r="V2799" i="1" s="1"/>
  <c r="V2797" i="1"/>
  <c r="V2795" i="1"/>
  <c r="S2793" i="1"/>
  <c r="V2793" i="1" s="1"/>
  <c r="S2791" i="1"/>
  <c r="V2791" i="1" s="1"/>
  <c r="S2789" i="1"/>
  <c r="V2789" i="1" s="1"/>
  <c r="S2786" i="1"/>
  <c r="V2786" i="1" s="1"/>
  <c r="S2784" i="1"/>
  <c r="V2784" i="1" s="1"/>
  <c r="S2782" i="1"/>
  <c r="V2782" i="1" s="1"/>
  <c r="S2779" i="1"/>
  <c r="V2779" i="1" s="1"/>
  <c r="V2777" i="1"/>
  <c r="S2775" i="1"/>
  <c r="V2775" i="1" s="1"/>
  <c r="S2772" i="1"/>
  <c r="U2772" i="1" s="1"/>
  <c r="S2771" i="1"/>
  <c r="U2771" i="1" s="1"/>
  <c r="S2770" i="1"/>
  <c r="U2770" i="1" s="1"/>
  <c r="V2768" i="1"/>
  <c r="V2766" i="1"/>
  <c r="V2764" i="1"/>
  <c r="V2762" i="1"/>
  <c r="V2760" i="1"/>
  <c r="V2758" i="1"/>
  <c r="V2756" i="1"/>
  <c r="V2754" i="1"/>
  <c r="V2752" i="1"/>
  <c r="V2750" i="1"/>
  <c r="V2748" i="1"/>
  <c r="V2746" i="1"/>
  <c r="V2744" i="1"/>
  <c r="V2742" i="1"/>
  <c r="V2740" i="1"/>
  <c r="V2738" i="1"/>
  <c r="V2736" i="1"/>
  <c r="V2734" i="1"/>
  <c r="V2732" i="1"/>
  <c r="V2730" i="1"/>
  <c r="V2728" i="1"/>
  <c r="V2726" i="1"/>
  <c r="V2724" i="1"/>
  <c r="V2722" i="1"/>
  <c r="V2720" i="1"/>
  <c r="V2718" i="1"/>
  <c r="V2716" i="1"/>
  <c r="V2714" i="1"/>
  <c r="U2713" i="1"/>
  <c r="U2712" i="1"/>
  <c r="U2711" i="1"/>
  <c r="U2710" i="1"/>
  <c r="U2709" i="1"/>
  <c r="U2708" i="1"/>
  <c r="U2707" i="1"/>
  <c r="U2706" i="1"/>
  <c r="U2705" i="1"/>
  <c r="U2704" i="1"/>
  <c r="U2703" i="1"/>
  <c r="U2702" i="1"/>
  <c r="U2701" i="1"/>
  <c r="U2700" i="1"/>
  <c r="U2699" i="1"/>
  <c r="U2698" i="1"/>
  <c r="U2697" i="1"/>
  <c r="U2696" i="1"/>
  <c r="U2695" i="1"/>
  <c r="U2694" i="1"/>
  <c r="U2693" i="1"/>
  <c r="U2692" i="1"/>
  <c r="U2691" i="1"/>
  <c r="U2690" i="1"/>
  <c r="U2689" i="1"/>
  <c r="U2688" i="1"/>
  <c r="U2687" i="1"/>
  <c r="U2686" i="1"/>
  <c r="U2685" i="1"/>
  <c r="U2684" i="1"/>
  <c r="U2683" i="1"/>
  <c r="U2682" i="1"/>
  <c r="U2681" i="1"/>
  <c r="U2680" i="1"/>
  <c r="U2679" i="1"/>
  <c r="U2678" i="1"/>
  <c r="U2677" i="1"/>
  <c r="U2676" i="1"/>
  <c r="U2675" i="1"/>
  <c r="U2674" i="1"/>
  <c r="U2673" i="1"/>
  <c r="U2672" i="1"/>
  <c r="U2671" i="1"/>
  <c r="U2670" i="1"/>
  <c r="U2669" i="1"/>
  <c r="U2668" i="1"/>
  <c r="U2667" i="1"/>
  <c r="U2666" i="1"/>
  <c r="U2665" i="1"/>
  <c r="U2664" i="1"/>
  <c r="U2663" i="1"/>
  <c r="U2662" i="1"/>
  <c r="U2661" i="1"/>
  <c r="U2660" i="1"/>
  <c r="U2659" i="1"/>
  <c r="U2658" i="1"/>
  <c r="U2657" i="1"/>
  <c r="U2656" i="1"/>
  <c r="U2655" i="1"/>
  <c r="U2654" i="1"/>
  <c r="U2653" i="1"/>
  <c r="S2652" i="1"/>
  <c r="U2652" i="1" s="1"/>
  <c r="U2651" i="1"/>
  <c r="U2650" i="1"/>
  <c r="U2649" i="1"/>
  <c r="U2648" i="1"/>
  <c r="V2648" i="1" s="1"/>
  <c r="U2647" i="1"/>
  <c r="V2647" i="1" s="1"/>
  <c r="U2646" i="1"/>
  <c r="V2646" i="1" s="1"/>
  <c r="U2645" i="1"/>
  <c r="V2645" i="1" s="1"/>
  <c r="U2644" i="1"/>
  <c r="V2644" i="1" s="1"/>
  <c r="U2643" i="1"/>
  <c r="V2643" i="1" s="1"/>
  <c r="U2642" i="1"/>
  <c r="V2642" i="1" s="1"/>
  <c r="U2641" i="1"/>
  <c r="V2641" i="1" s="1"/>
  <c r="U2640" i="1"/>
  <c r="V2640" i="1" s="1"/>
  <c r="U2639" i="1"/>
  <c r="V2639" i="1" s="1"/>
  <c r="U2638" i="1"/>
  <c r="V2638" i="1" s="1"/>
  <c r="U2637" i="1"/>
  <c r="V2637" i="1" s="1"/>
  <c r="U2636" i="1"/>
  <c r="V2636" i="1" s="1"/>
  <c r="U2635" i="1"/>
  <c r="V2635" i="1" s="1"/>
  <c r="U2634" i="1"/>
  <c r="V2634" i="1" s="1"/>
  <c r="U2633" i="1"/>
  <c r="V2633" i="1" s="1"/>
  <c r="U2632" i="1"/>
  <c r="V2632" i="1" s="1"/>
  <c r="U2631" i="1"/>
  <c r="V2631" i="1" s="1"/>
  <c r="U2630" i="1"/>
  <c r="V2630" i="1" s="1"/>
  <c r="U2629" i="1"/>
  <c r="V2629" i="1" s="1"/>
  <c r="U2628" i="1"/>
  <c r="V2628" i="1" s="1"/>
  <c r="U2627" i="1"/>
  <c r="V2627" i="1" s="1"/>
  <c r="U2626" i="1"/>
  <c r="V2626" i="1" s="1"/>
  <c r="U2625" i="1"/>
  <c r="V2625" i="1" s="1"/>
  <c r="U2624" i="1"/>
  <c r="V2624" i="1" s="1"/>
  <c r="U2623" i="1"/>
  <c r="V2623" i="1" s="1"/>
  <c r="U2622" i="1"/>
  <c r="V2622" i="1" s="1"/>
  <c r="U2621" i="1"/>
  <c r="V2621" i="1" s="1"/>
  <c r="V2619" i="1"/>
  <c r="U2618" i="1"/>
  <c r="V2618" i="1" s="1"/>
  <c r="U2617" i="1"/>
  <c r="V2617" i="1" s="1"/>
  <c r="U2616" i="1"/>
  <c r="V2616" i="1" s="1"/>
  <c r="U2615" i="1"/>
  <c r="V2615" i="1" s="1"/>
  <c r="U2614" i="1"/>
  <c r="V2614" i="1" s="1"/>
  <c r="U2613" i="1"/>
  <c r="V2613" i="1" s="1"/>
  <c r="U2612" i="1"/>
  <c r="V2612" i="1" s="1"/>
  <c r="U2611" i="1"/>
  <c r="V2611" i="1" s="1"/>
  <c r="U2610" i="1"/>
  <c r="V2610" i="1" s="1"/>
  <c r="U2609" i="1"/>
  <c r="V2609" i="1" s="1"/>
  <c r="U2608" i="1"/>
  <c r="V2608" i="1" s="1"/>
  <c r="U2607" i="1"/>
  <c r="V2607" i="1" s="1"/>
  <c r="S2606" i="1"/>
  <c r="U2606" i="1" s="1"/>
  <c r="V2606" i="1" s="1"/>
  <c r="S2605" i="1"/>
  <c r="U2605" i="1" s="1"/>
  <c r="V2605" i="1" s="1"/>
  <c r="U2604" i="1"/>
  <c r="V2604" i="1" s="1"/>
  <c r="U2603" i="1"/>
  <c r="V2603" i="1" s="1"/>
  <c r="U2602" i="1"/>
  <c r="V2602" i="1" s="1"/>
  <c r="U2601" i="1"/>
  <c r="V2601" i="1" s="1"/>
  <c r="U2600" i="1"/>
  <c r="V2600" i="1" s="1"/>
  <c r="U2599" i="1"/>
  <c r="V2599" i="1" s="1"/>
  <c r="U2598" i="1"/>
  <c r="V2598" i="1" s="1"/>
  <c r="U2597" i="1"/>
  <c r="V2597" i="1" s="1"/>
  <c r="U2596" i="1"/>
  <c r="V2596" i="1" s="1"/>
  <c r="U2595" i="1"/>
  <c r="V2595" i="1" s="1"/>
  <c r="U2594" i="1"/>
  <c r="V2594" i="1" s="1"/>
  <c r="U2593" i="1"/>
  <c r="V2593" i="1" s="1"/>
  <c r="S2592" i="1"/>
  <c r="U2592" i="1" s="1"/>
  <c r="V2592" i="1" s="1"/>
  <c r="U2591" i="1"/>
  <c r="V2591" i="1" s="1"/>
  <c r="U2590" i="1"/>
  <c r="V2590" i="1" s="1"/>
  <c r="U2589" i="1"/>
  <c r="V2589" i="1" s="1"/>
  <c r="U2588" i="1"/>
  <c r="V2588" i="1" s="1"/>
  <c r="U2587" i="1"/>
  <c r="V2587" i="1" s="1"/>
  <c r="U2586" i="1"/>
  <c r="V2586" i="1" s="1"/>
  <c r="U2585" i="1"/>
  <c r="V2585" i="1" s="1"/>
  <c r="U2584" i="1"/>
  <c r="V2584" i="1" s="1"/>
  <c r="U2583" i="1"/>
  <c r="V2583" i="1" s="1"/>
  <c r="U2582" i="1"/>
  <c r="V2582" i="1" s="1"/>
  <c r="U2581" i="1"/>
  <c r="V2581" i="1" s="1"/>
  <c r="U2580" i="1"/>
  <c r="V2580" i="1" s="1"/>
  <c r="U2579" i="1"/>
  <c r="V2579" i="1" s="1"/>
  <c r="U2578" i="1"/>
  <c r="V2578" i="1" s="1"/>
  <c r="U2577" i="1"/>
  <c r="V2577" i="1" s="1"/>
  <c r="U2576" i="1"/>
  <c r="V2576" i="1" s="1"/>
  <c r="U2575" i="1"/>
  <c r="V2575" i="1" s="1"/>
  <c r="U2574" i="1"/>
  <c r="V2574" i="1" s="1"/>
  <c r="S2573" i="1"/>
  <c r="U2573" i="1" s="1"/>
  <c r="V2573" i="1" s="1"/>
  <c r="U2572" i="1"/>
  <c r="V2572" i="1" s="1"/>
  <c r="U2571" i="1"/>
  <c r="V2571" i="1" s="1"/>
  <c r="U2570" i="1"/>
  <c r="V2570" i="1" s="1"/>
  <c r="U2569" i="1"/>
  <c r="V2569" i="1" s="1"/>
  <c r="U2568" i="1"/>
  <c r="V2568" i="1" s="1"/>
  <c r="U2567" i="1"/>
  <c r="V2567" i="1" s="1"/>
  <c r="U2566" i="1"/>
  <c r="V2566" i="1" s="1"/>
  <c r="V2563" i="1"/>
  <c r="V2560" i="1"/>
  <c r="V2557" i="1"/>
  <c r="V2554" i="1"/>
  <c r="V2551" i="1"/>
  <c r="V2550" i="1"/>
  <c r="U2549" i="1"/>
  <c r="V2549" i="1" s="1"/>
  <c r="U2548" i="1"/>
  <c r="V2548" i="1" s="1"/>
  <c r="U2547" i="1"/>
  <c r="V2547" i="1" s="1"/>
  <c r="U2546" i="1"/>
  <c r="V2546" i="1" s="1"/>
  <c r="U2545" i="1"/>
  <c r="V2545" i="1" s="1"/>
  <c r="U2544" i="1"/>
  <c r="V2544" i="1" s="1"/>
  <c r="U2543" i="1"/>
  <c r="V2543" i="1" s="1"/>
  <c r="U2542" i="1"/>
  <c r="V2542" i="1" s="1"/>
  <c r="U2541" i="1"/>
  <c r="V2541" i="1" s="1"/>
  <c r="U2540" i="1"/>
  <c r="V2540" i="1" s="1"/>
  <c r="U2539" i="1"/>
  <c r="V2539" i="1" s="1"/>
  <c r="U2538" i="1"/>
  <c r="V2538" i="1" s="1"/>
  <c r="U2537" i="1"/>
  <c r="V2537" i="1" s="1"/>
  <c r="U2536" i="1"/>
  <c r="V2536" i="1" s="1"/>
  <c r="U2535" i="1"/>
  <c r="V2535" i="1" s="1"/>
  <c r="U2534" i="1"/>
  <c r="V2534" i="1" s="1"/>
  <c r="U2533" i="1"/>
  <c r="V2533" i="1" s="1"/>
  <c r="U2532" i="1"/>
  <c r="V2532" i="1" s="1"/>
  <c r="U2531" i="1"/>
  <c r="V2531" i="1" s="1"/>
  <c r="U2530" i="1"/>
  <c r="V2530" i="1" s="1"/>
  <c r="U2529" i="1"/>
  <c r="V2529" i="1" s="1"/>
  <c r="U2528" i="1"/>
  <c r="V2528" i="1" s="1"/>
  <c r="U2527" i="1"/>
  <c r="V2527" i="1" s="1"/>
  <c r="S2525" i="1"/>
  <c r="V2525" i="1" s="1"/>
  <c r="S2523" i="1"/>
  <c r="V2523" i="1" s="1"/>
  <c r="V2522" i="1"/>
  <c r="V2521" i="1"/>
  <c r="V2518" i="1"/>
  <c r="V2516" i="1"/>
  <c r="U2515" i="1"/>
  <c r="V2515" i="1" s="1"/>
  <c r="V2514" i="1"/>
  <c r="V2512" i="1"/>
  <c r="V2510" i="1"/>
  <c r="U2509" i="1"/>
  <c r="V2509" i="1" s="1"/>
  <c r="U2508" i="1"/>
  <c r="V2508" i="1" s="1"/>
  <c r="U2507" i="1"/>
  <c r="V2507" i="1" s="1"/>
  <c r="V2505" i="1"/>
  <c r="V2503" i="1"/>
  <c r="S2502" i="1"/>
  <c r="U2502" i="1" s="1"/>
  <c r="V2502" i="1" s="1"/>
  <c r="U2501" i="1"/>
  <c r="V2501" i="1" s="1"/>
  <c r="V2499" i="1"/>
  <c r="U2498" i="1"/>
  <c r="V2498" i="1" s="1"/>
  <c r="U2497" i="1"/>
  <c r="V2497" i="1" s="1"/>
  <c r="U2496" i="1"/>
  <c r="V2496" i="1" s="1"/>
  <c r="U2495" i="1"/>
  <c r="V2495" i="1" s="1"/>
  <c r="U2494" i="1"/>
  <c r="V2494" i="1" s="1"/>
  <c r="U2493" i="1"/>
  <c r="V2493" i="1" s="1"/>
  <c r="V2490" i="1"/>
  <c r="V2487" i="1"/>
  <c r="V2484" i="1"/>
  <c r="V2481" i="1"/>
  <c r="U2480" i="1"/>
  <c r="V2480" i="1" s="1"/>
  <c r="U2479" i="1"/>
  <c r="V2479" i="1" s="1"/>
  <c r="S2478" i="1"/>
  <c r="U2478" i="1" s="1"/>
  <c r="V2478" i="1" s="1"/>
  <c r="U2477" i="1"/>
  <c r="U2476" i="1"/>
  <c r="U2475" i="1"/>
  <c r="U2474" i="1"/>
  <c r="U2473" i="1"/>
  <c r="U2472" i="1"/>
  <c r="U2471" i="1"/>
  <c r="U2470" i="1"/>
  <c r="U2469" i="1"/>
  <c r="U2468" i="1"/>
  <c r="U2467" i="1"/>
  <c r="U2466" i="1"/>
  <c r="U2465" i="1"/>
  <c r="U2464" i="1"/>
  <c r="U2463" i="1"/>
  <c r="U2462" i="1"/>
  <c r="U2461" i="1"/>
  <c r="U2460" i="1"/>
  <c r="U2459" i="1"/>
  <c r="U2458" i="1"/>
  <c r="U2457" i="1"/>
  <c r="U2456" i="1"/>
  <c r="U2455" i="1"/>
  <c r="U2454" i="1"/>
  <c r="U2453" i="1"/>
  <c r="U2452" i="1"/>
  <c r="U2451" i="1"/>
  <c r="U2450" i="1"/>
  <c r="U2449" i="1"/>
  <c r="V2449" i="1" s="1"/>
  <c r="U2448" i="1"/>
  <c r="V2448" i="1" s="1"/>
  <c r="U2447" i="1"/>
  <c r="V2447" i="1" s="1"/>
  <c r="U2446" i="1"/>
  <c r="V2446" i="1" s="1"/>
  <c r="U2445" i="1"/>
  <c r="V2445" i="1" s="1"/>
  <c r="U2444" i="1"/>
  <c r="V2444" i="1" s="1"/>
  <c r="S2443" i="1"/>
  <c r="U2443" i="1" s="1"/>
  <c r="V2443" i="1" s="1"/>
  <c r="U2442" i="1"/>
  <c r="V2442" i="1" s="1"/>
  <c r="U2441" i="1"/>
  <c r="V2439" i="1"/>
  <c r="V2437" i="1"/>
  <c r="V2435" i="1"/>
  <c r="V2432" i="1"/>
  <c r="V2429" i="1"/>
  <c r="U2428" i="1"/>
  <c r="U2427" i="1"/>
  <c r="U2426" i="1"/>
  <c r="U2425" i="1"/>
  <c r="U2424" i="1"/>
  <c r="V2424" i="1" s="1"/>
  <c r="U2423" i="1"/>
  <c r="V2423" i="1" s="1"/>
  <c r="S2422" i="1"/>
  <c r="U2422" i="1" s="1"/>
  <c r="V2422" i="1" s="1"/>
  <c r="U2421" i="1"/>
  <c r="U2420" i="1"/>
  <c r="U2419" i="1"/>
  <c r="U2418" i="1"/>
  <c r="U2417" i="1"/>
  <c r="U2416" i="1"/>
  <c r="U2415" i="1"/>
  <c r="U2414" i="1"/>
  <c r="U2413" i="1"/>
  <c r="U2412" i="1"/>
  <c r="U2411" i="1"/>
  <c r="U2410" i="1"/>
  <c r="S2409" i="1"/>
  <c r="U2409" i="1" s="1"/>
  <c r="U2408" i="1"/>
  <c r="U2407" i="1"/>
  <c r="U2406" i="1"/>
  <c r="U2405" i="1"/>
  <c r="U2404" i="1"/>
  <c r="U2403" i="1"/>
  <c r="U2402" i="1"/>
  <c r="U2401" i="1"/>
  <c r="U2400" i="1"/>
  <c r="U2399" i="1"/>
  <c r="S2398" i="1"/>
  <c r="U2398" i="1" s="1"/>
  <c r="V2398" i="1" s="1"/>
  <c r="U2397" i="1"/>
  <c r="V2397" i="1" s="1"/>
  <c r="S2396" i="1"/>
  <c r="U2396" i="1" s="1"/>
  <c r="V2396" i="1" s="1"/>
  <c r="S2395" i="1"/>
  <c r="U2395" i="1" s="1"/>
  <c r="V2395" i="1" s="1"/>
  <c r="U2394" i="1"/>
  <c r="V2394" i="1" s="1"/>
  <c r="S2393" i="1"/>
  <c r="U2393" i="1" s="1"/>
  <c r="V2393" i="1" s="1"/>
  <c r="U2392" i="1"/>
  <c r="V2392" i="1" s="1"/>
  <c r="S2391" i="1"/>
  <c r="U2391" i="1" s="1"/>
  <c r="V2391" i="1" s="1"/>
  <c r="S2390" i="1"/>
  <c r="U2390" i="1" s="1"/>
  <c r="V2390" i="1" s="1"/>
  <c r="U2389" i="1"/>
  <c r="V2389" i="1" s="1"/>
  <c r="S2388" i="1"/>
  <c r="U2388" i="1" s="1"/>
  <c r="V2388" i="1" s="1"/>
  <c r="S2386" i="1"/>
  <c r="V2386" i="1" s="1"/>
  <c r="S2384" i="1"/>
  <c r="V2384" i="1" s="1"/>
  <c r="U2383" i="1"/>
  <c r="V2383" i="1" s="1"/>
  <c r="U2382" i="1"/>
  <c r="V2382" i="1" s="1"/>
  <c r="U2381" i="1"/>
  <c r="V2381" i="1" s="1"/>
  <c r="U2380" i="1"/>
  <c r="V2380" i="1" s="1"/>
  <c r="U2379" i="1"/>
  <c r="V2379" i="1" s="1"/>
  <c r="U2378" i="1"/>
  <c r="V2378" i="1" s="1"/>
  <c r="S2377" i="1"/>
  <c r="U2377" i="1" s="1"/>
  <c r="V2377" i="1" s="1"/>
  <c r="S2376" i="1"/>
  <c r="U2376" i="1" s="1"/>
  <c r="V2376" i="1" s="1"/>
  <c r="U2375" i="1"/>
  <c r="V2375" i="1" s="1"/>
  <c r="U2374" i="1"/>
  <c r="V2374" i="1" s="1"/>
  <c r="U2373" i="1"/>
  <c r="V2373" i="1" s="1"/>
  <c r="U2372" i="1"/>
  <c r="V2372" i="1" s="1"/>
  <c r="S2369" i="1"/>
  <c r="V2369" i="1" s="1"/>
  <c r="U2368" i="1"/>
  <c r="V2368" i="1" s="1"/>
  <c r="U2367" i="1"/>
  <c r="V2367" i="1" s="1"/>
  <c r="S2366" i="1"/>
  <c r="U2366" i="1" s="1"/>
  <c r="V2366" i="1" s="1"/>
  <c r="S2364" i="1"/>
  <c r="V2364" i="1" s="1"/>
  <c r="V2363" i="1"/>
  <c r="S2361" i="1"/>
  <c r="V2361" i="1" s="1"/>
  <c r="U2360" i="1"/>
  <c r="V2360" i="1" s="1"/>
  <c r="S2359" i="1"/>
  <c r="U2359" i="1" s="1"/>
  <c r="V2359" i="1" s="1"/>
  <c r="U2358" i="1"/>
  <c r="V2358" i="1" s="1"/>
  <c r="S2357" i="1"/>
  <c r="U2357" i="1" s="1"/>
  <c r="V2357" i="1" s="1"/>
  <c r="S2356" i="1"/>
  <c r="U2356" i="1" s="1"/>
  <c r="V2356" i="1" s="1"/>
  <c r="S2353" i="1"/>
  <c r="V2353" i="1" s="1"/>
  <c r="U2352" i="1"/>
  <c r="V2352" i="1" s="1"/>
  <c r="S2351" i="1"/>
  <c r="U2351" i="1" s="1"/>
  <c r="V2351" i="1" s="1"/>
  <c r="S2350" i="1"/>
  <c r="U2350" i="1" s="1"/>
  <c r="V2350" i="1" s="1"/>
  <c r="S2349" i="1"/>
  <c r="U2349" i="1" s="1"/>
  <c r="V2349" i="1" s="1"/>
  <c r="S2348" i="1"/>
  <c r="U2348" i="1" s="1"/>
  <c r="V2348" i="1" s="1"/>
  <c r="S2347" i="1"/>
  <c r="U2347" i="1" s="1"/>
  <c r="V2347" i="1" s="1"/>
  <c r="S2346" i="1"/>
  <c r="U2346" i="1" s="1"/>
  <c r="V2346" i="1" s="1"/>
  <c r="U2345" i="1"/>
  <c r="V2345" i="1" s="1"/>
  <c r="U2344" i="1"/>
  <c r="V2344" i="1" s="1"/>
  <c r="U2343" i="1"/>
  <c r="V2343" i="1" s="1"/>
  <c r="S2342" i="1"/>
  <c r="U2342" i="1" s="1"/>
  <c r="S2341" i="1"/>
  <c r="U2341" i="1" s="1"/>
  <c r="S2340" i="1"/>
  <c r="U2340" i="1" s="1"/>
  <c r="S2338" i="1"/>
  <c r="S2336" i="1"/>
  <c r="S2335" i="1"/>
  <c r="U2335" i="1" s="1"/>
  <c r="U2334" i="1"/>
  <c r="S2332" i="1"/>
  <c r="S2331" i="1"/>
  <c r="U2331" i="1" s="1"/>
  <c r="S2329" i="1"/>
  <c r="S2327" i="1"/>
  <c r="S2326" i="1"/>
  <c r="U2326" i="1" s="1"/>
  <c r="S2325" i="1"/>
  <c r="U2325" i="1" s="1"/>
  <c r="U2324" i="1"/>
  <c r="S2323" i="1"/>
  <c r="U2323" i="1" s="1"/>
  <c r="S2322" i="1"/>
  <c r="U2322" i="1" s="1"/>
  <c r="S2321" i="1"/>
  <c r="U2321" i="1" s="1"/>
  <c r="U2320" i="1"/>
  <c r="U2319" i="1"/>
  <c r="S2318" i="1"/>
  <c r="U2318" i="1" s="1"/>
  <c r="S2317" i="1"/>
  <c r="U2317" i="1" s="1"/>
  <c r="S2316" i="1"/>
  <c r="U2316" i="1" s="1"/>
  <c r="U2315" i="1"/>
  <c r="U2314" i="1"/>
  <c r="U2313" i="1"/>
  <c r="U2312" i="1"/>
  <c r="U2311" i="1"/>
  <c r="U2310" i="1"/>
  <c r="U2309" i="1"/>
  <c r="U2308" i="1"/>
  <c r="U2307" i="1"/>
  <c r="U2306" i="1"/>
  <c r="S2305" i="1"/>
  <c r="U2305" i="1" s="1"/>
  <c r="U2304" i="1"/>
  <c r="U2303" i="1"/>
  <c r="U2302" i="1"/>
  <c r="U2301" i="1"/>
  <c r="U2300" i="1"/>
  <c r="U2299" i="1"/>
  <c r="U2298" i="1"/>
  <c r="U2297" i="1"/>
  <c r="U2296" i="1"/>
  <c r="U2295" i="1"/>
  <c r="U2294" i="1"/>
  <c r="U2293" i="1"/>
  <c r="U2292" i="1"/>
  <c r="U2291" i="1"/>
  <c r="U2290" i="1"/>
  <c r="U2289" i="1"/>
  <c r="U2288" i="1"/>
  <c r="U2287" i="1"/>
  <c r="U2286" i="1"/>
  <c r="U2285" i="1"/>
  <c r="U2284" i="1"/>
  <c r="U2283" i="1"/>
  <c r="U2282" i="1"/>
  <c r="U2281" i="1"/>
  <c r="U2280" i="1"/>
  <c r="U2279" i="1"/>
  <c r="U2278" i="1"/>
  <c r="U2277" i="1"/>
  <c r="U2276" i="1"/>
  <c r="U2275" i="1"/>
  <c r="U2274" i="1"/>
  <c r="U2273" i="1"/>
  <c r="U2272" i="1"/>
  <c r="S2269" i="1"/>
  <c r="U2269" i="1" s="1"/>
  <c r="V2266" i="1"/>
  <c r="S2264" i="1"/>
  <c r="V2264" i="1" s="1"/>
  <c r="S2262" i="1"/>
  <c r="V2262" i="1" s="1"/>
  <c r="S2260" i="1"/>
  <c r="U2259" i="1"/>
  <c r="S2258" i="1"/>
  <c r="U2258" i="1" s="1"/>
  <c r="S2257" i="1"/>
  <c r="U2257" i="1" s="1"/>
  <c r="S2256" i="1"/>
  <c r="U2256" i="1" s="1"/>
  <c r="S2255" i="1"/>
  <c r="U2255" i="1" s="1"/>
  <c r="S2253" i="1"/>
  <c r="V2253" i="1" s="1"/>
  <c r="S2252" i="1"/>
  <c r="U2252" i="1" s="1"/>
  <c r="S2250" i="1"/>
  <c r="V2250" i="1" s="1"/>
  <c r="S2248" i="1"/>
  <c r="V2248" i="1" s="1"/>
  <c r="S2245" i="1"/>
  <c r="V2245" i="1" s="1"/>
  <c r="S2244" i="1"/>
  <c r="U2244" i="1" s="1"/>
  <c r="S2243" i="1"/>
  <c r="U2243" i="1" s="1"/>
  <c r="S2242" i="1"/>
  <c r="U2242" i="1" s="1"/>
  <c r="S2241" i="1"/>
  <c r="U2241" i="1" s="1"/>
  <c r="U2240" i="1"/>
  <c r="V2237" i="1"/>
  <c r="S2236" i="1"/>
  <c r="U2236" i="1" s="1"/>
  <c r="V2234" i="1"/>
  <c r="S2232" i="1"/>
  <c r="S2231" i="1"/>
  <c r="U2231" i="1" s="1"/>
  <c r="S2230" i="1"/>
  <c r="U2230" i="1" s="1"/>
  <c r="U2229" i="1"/>
  <c r="S2228" i="1"/>
  <c r="U2228" i="1" s="1"/>
  <c r="S2226" i="1"/>
  <c r="S2224" i="1"/>
  <c r="S2222" i="1"/>
  <c r="S2220" i="1"/>
  <c r="S2217" i="1"/>
  <c r="U2217" i="1" s="1"/>
  <c r="S2214" i="1"/>
  <c r="V2214" i="1" s="1"/>
  <c r="S2213" i="1"/>
  <c r="U2213" i="1" s="1"/>
  <c r="S2211" i="1"/>
  <c r="V2211" i="1" s="1"/>
  <c r="U2210" i="1"/>
  <c r="S2206" i="1"/>
  <c r="V2206" i="1" s="1"/>
  <c r="S2204" i="1"/>
  <c r="V2204" i="1" s="1"/>
  <c r="S2202" i="1"/>
  <c r="S2201" i="1"/>
  <c r="U2201" i="1" s="1"/>
  <c r="S2200" i="1"/>
  <c r="U2200" i="1" s="1"/>
  <c r="S2199" i="1"/>
  <c r="U2199" i="1" s="1"/>
  <c r="S2198" i="1"/>
  <c r="U2198" i="1" s="1"/>
  <c r="S2197" i="1"/>
  <c r="U2197" i="1" s="1"/>
  <c r="S2196" i="1"/>
  <c r="U2196" i="1" s="1"/>
  <c r="S2195" i="1"/>
  <c r="U2195" i="1" s="1"/>
  <c r="S2194" i="1"/>
  <c r="U2194" i="1" s="1"/>
  <c r="S2190" i="1"/>
  <c r="S2189" i="1"/>
  <c r="U2189" i="1" s="1"/>
  <c r="S2187" i="1"/>
  <c r="V2187" i="1" s="1"/>
  <c r="V2185" i="1"/>
  <c r="S2184" i="1"/>
  <c r="U2184" i="1" s="1"/>
  <c r="V2184" i="1" s="1"/>
  <c r="U2183" i="1"/>
  <c r="V2183" i="1" s="1"/>
  <c r="U2182" i="1"/>
  <c r="V2182" i="1" s="1"/>
  <c r="U2181" i="1"/>
  <c r="V2181" i="1" s="1"/>
  <c r="U2180" i="1"/>
  <c r="V2180" i="1" s="1"/>
  <c r="S2179" i="1"/>
  <c r="U2179" i="1" s="1"/>
  <c r="V2179" i="1" s="1"/>
  <c r="U2178" i="1"/>
  <c r="V2178" i="1" s="1"/>
  <c r="U2177" i="1"/>
  <c r="S2176" i="1"/>
  <c r="U2176" i="1" s="1"/>
  <c r="S2175" i="1"/>
  <c r="U2175" i="1" s="1"/>
  <c r="U2174" i="1"/>
  <c r="U2173" i="1"/>
  <c r="U2172" i="1"/>
  <c r="U2171" i="1"/>
  <c r="S2170" i="1"/>
  <c r="U2170" i="1" s="1"/>
  <c r="S2169" i="1"/>
  <c r="U2169" i="1" s="1"/>
  <c r="S2168" i="1"/>
  <c r="U2168" i="1" s="1"/>
  <c r="S2167" i="1"/>
  <c r="U2167" i="1" s="1"/>
  <c r="S2166" i="1"/>
  <c r="U2166" i="1" s="1"/>
  <c r="S2165" i="1"/>
  <c r="U2165" i="1" s="1"/>
  <c r="S2164" i="1"/>
  <c r="U2164" i="1" s="1"/>
  <c r="S2163" i="1"/>
  <c r="U2163" i="1" s="1"/>
  <c r="S2162" i="1"/>
  <c r="U2162" i="1" s="1"/>
  <c r="S2161" i="1"/>
  <c r="U2161" i="1" s="1"/>
  <c r="S2160" i="1"/>
  <c r="U2160" i="1" s="1"/>
  <c r="S2159" i="1"/>
  <c r="U2159" i="1" s="1"/>
  <c r="S2158" i="1"/>
  <c r="U2158" i="1" s="1"/>
  <c r="S2157" i="1"/>
  <c r="U2157" i="1" s="1"/>
  <c r="S2156" i="1"/>
  <c r="U2156" i="1" s="1"/>
  <c r="U2155" i="1"/>
  <c r="U2154" i="1"/>
  <c r="U2153" i="1"/>
  <c r="U2152" i="1"/>
  <c r="U2151" i="1"/>
  <c r="U2150" i="1"/>
  <c r="U2149" i="1"/>
  <c r="U2148" i="1"/>
  <c r="U2147" i="1"/>
  <c r="U2146" i="1"/>
  <c r="U2145" i="1"/>
  <c r="U2144" i="1"/>
  <c r="U2143" i="1"/>
  <c r="U2142" i="1"/>
  <c r="U2141" i="1"/>
  <c r="U2140" i="1"/>
  <c r="U2139" i="1"/>
  <c r="U2138" i="1"/>
  <c r="U2137" i="1"/>
  <c r="U2136" i="1"/>
  <c r="V2136" i="1" s="1"/>
  <c r="S2135" i="1"/>
  <c r="U2135" i="1" s="1"/>
  <c r="V2135" i="1" s="1"/>
  <c r="U2134" i="1"/>
  <c r="V2134" i="1" s="1"/>
  <c r="S2133" i="1"/>
  <c r="U2133" i="1" s="1"/>
  <c r="V2133" i="1" s="1"/>
  <c r="U2132" i="1"/>
  <c r="S2131" i="1"/>
  <c r="U2131" i="1" s="1"/>
  <c r="U2130" i="1"/>
  <c r="S2129" i="1"/>
  <c r="U2129" i="1" s="1"/>
  <c r="S2128" i="1"/>
  <c r="U2128" i="1" s="1"/>
  <c r="U2127" i="1"/>
  <c r="S2126" i="1"/>
  <c r="U2126" i="1" s="1"/>
  <c r="S2125" i="1"/>
  <c r="U2125" i="1" s="1"/>
  <c r="S2124" i="1"/>
  <c r="U2124" i="1" s="1"/>
  <c r="S2123" i="1"/>
  <c r="U2123" i="1" s="1"/>
  <c r="S2122" i="1"/>
  <c r="U2122" i="1" s="1"/>
  <c r="S2121" i="1"/>
  <c r="U2121" i="1" s="1"/>
  <c r="S2120" i="1"/>
  <c r="U2120" i="1" s="1"/>
  <c r="S2119" i="1"/>
  <c r="U2119" i="1" s="1"/>
  <c r="S2118" i="1"/>
  <c r="U2118" i="1" s="1"/>
  <c r="S2117" i="1"/>
  <c r="U2117" i="1" s="1"/>
  <c r="U2116" i="1"/>
  <c r="U2115" i="1"/>
  <c r="U2114" i="1"/>
  <c r="U2113" i="1"/>
  <c r="S2112" i="1"/>
  <c r="U2112" i="1" s="1"/>
  <c r="S2111" i="1"/>
  <c r="U2111" i="1" s="1"/>
  <c r="S2110" i="1"/>
  <c r="U2110" i="1" s="1"/>
  <c r="U2109" i="1"/>
  <c r="S2108" i="1"/>
  <c r="U2108" i="1" s="1"/>
  <c r="S2107" i="1"/>
  <c r="U2107" i="1" s="1"/>
  <c r="U2106" i="1"/>
  <c r="S2105" i="1"/>
  <c r="U2105" i="1" s="1"/>
  <c r="S2104" i="1"/>
  <c r="U2104" i="1" s="1"/>
  <c r="S2103" i="1"/>
  <c r="U2103" i="1" s="1"/>
  <c r="S2102" i="1"/>
  <c r="U2102" i="1" s="1"/>
  <c r="U2101" i="1"/>
  <c r="S2100" i="1"/>
  <c r="U2100" i="1" s="1"/>
  <c r="S2099" i="1"/>
  <c r="U2099" i="1" s="1"/>
  <c r="U2098" i="1"/>
  <c r="S2097" i="1"/>
  <c r="U2097" i="1" s="1"/>
  <c r="S2096" i="1"/>
  <c r="U2096" i="1" s="1"/>
  <c r="S2095" i="1"/>
  <c r="U2095" i="1" s="1"/>
  <c r="S2094" i="1"/>
  <c r="U2094" i="1" s="1"/>
  <c r="S2093" i="1"/>
  <c r="U2093" i="1" s="1"/>
  <c r="S2092" i="1"/>
  <c r="U2092" i="1" s="1"/>
  <c r="S2091" i="1"/>
  <c r="U2091" i="1" s="1"/>
  <c r="S2090" i="1"/>
  <c r="U2090" i="1" s="1"/>
  <c r="S2089" i="1"/>
  <c r="U2089" i="1" s="1"/>
  <c r="S2088" i="1"/>
  <c r="U2088" i="1" s="1"/>
  <c r="U2087" i="1"/>
  <c r="S2086" i="1"/>
  <c r="U2086" i="1" s="1"/>
  <c r="S2085" i="1"/>
  <c r="U2085" i="1" s="1"/>
  <c r="S2084" i="1"/>
  <c r="U2084" i="1" s="1"/>
  <c r="S2083" i="1"/>
  <c r="U2083" i="1" s="1"/>
  <c r="U2082" i="1"/>
  <c r="U2081" i="1"/>
  <c r="S2080" i="1"/>
  <c r="U2080" i="1" s="1"/>
  <c r="S2079" i="1"/>
  <c r="U2079" i="1" s="1"/>
  <c r="S2078" i="1"/>
  <c r="U2078" i="1" s="1"/>
  <c r="S2077" i="1"/>
  <c r="U2077" i="1" s="1"/>
  <c r="S2076" i="1"/>
  <c r="U2076" i="1" s="1"/>
  <c r="U2075" i="1"/>
  <c r="U2074" i="1"/>
  <c r="U2073" i="1"/>
  <c r="U2072" i="1"/>
  <c r="S2071" i="1"/>
  <c r="U2071" i="1" s="1"/>
  <c r="U2070" i="1"/>
  <c r="U2069" i="1"/>
  <c r="U2068" i="1"/>
  <c r="S2067" i="1"/>
  <c r="U2067" i="1" s="1"/>
  <c r="U2066" i="1"/>
  <c r="U2065" i="1"/>
  <c r="S2064" i="1"/>
  <c r="U2064" i="1" s="1"/>
  <c r="S2063" i="1"/>
  <c r="U2063" i="1" s="1"/>
  <c r="U2062" i="1"/>
  <c r="U2061" i="1"/>
  <c r="U2060" i="1"/>
  <c r="U2059" i="1"/>
  <c r="U2058" i="1"/>
  <c r="U2057" i="1"/>
  <c r="U2056" i="1"/>
  <c r="U2055" i="1"/>
  <c r="U2054" i="1"/>
  <c r="U2053" i="1"/>
  <c r="U2052" i="1"/>
  <c r="U2051" i="1"/>
  <c r="U2050" i="1"/>
  <c r="U2049" i="1"/>
  <c r="U2048" i="1"/>
  <c r="U2047" i="1"/>
  <c r="U2046" i="1"/>
  <c r="S2045" i="1"/>
  <c r="U2045" i="1" s="1"/>
  <c r="S2044" i="1"/>
  <c r="U2044" i="1" s="1"/>
  <c r="U2043" i="1"/>
  <c r="U2042" i="1"/>
  <c r="U2041" i="1"/>
  <c r="U2040" i="1"/>
  <c r="S2039" i="1"/>
  <c r="U2039" i="1" s="1"/>
  <c r="U2038" i="1"/>
  <c r="U2037" i="1"/>
  <c r="S2036" i="1"/>
  <c r="U2036" i="1" s="1"/>
  <c r="S2035" i="1"/>
  <c r="U2035" i="1" s="1"/>
  <c r="S2034" i="1"/>
  <c r="U2034" i="1" s="1"/>
  <c r="S2033" i="1"/>
  <c r="U2033" i="1" s="1"/>
  <c r="U2032" i="1"/>
  <c r="S2031" i="1"/>
  <c r="U2031" i="1" s="1"/>
  <c r="S2030" i="1"/>
  <c r="U2030" i="1" s="1"/>
  <c r="U2029" i="1"/>
  <c r="U2028" i="1"/>
  <c r="S2027" i="1"/>
  <c r="U2027" i="1" s="1"/>
  <c r="S2026" i="1"/>
  <c r="U2026" i="1" s="1"/>
  <c r="S2025" i="1"/>
  <c r="U2025" i="1" s="1"/>
  <c r="S2024" i="1"/>
  <c r="U2024" i="1" s="1"/>
  <c r="S2023" i="1"/>
  <c r="U2023" i="1" s="1"/>
  <c r="S2022" i="1"/>
  <c r="U2022" i="1" s="1"/>
  <c r="S2021" i="1"/>
  <c r="U2021" i="1" s="1"/>
  <c r="S2020" i="1"/>
  <c r="U2020" i="1" s="1"/>
  <c r="S2019" i="1"/>
  <c r="U2019" i="1" s="1"/>
  <c r="S2018" i="1"/>
  <c r="U2018" i="1" s="1"/>
  <c r="S2017" i="1"/>
  <c r="U2017" i="1" s="1"/>
  <c r="S2016" i="1"/>
  <c r="U2016" i="1" s="1"/>
  <c r="S2015" i="1"/>
  <c r="U2015" i="1" s="1"/>
  <c r="U2014" i="1"/>
  <c r="S2013" i="1"/>
  <c r="U2013" i="1" s="1"/>
  <c r="V2011" i="1"/>
  <c r="V2009" i="1"/>
  <c r="V2007" i="1"/>
  <c r="V2005" i="1"/>
  <c r="V2003" i="1"/>
  <c r="V2001" i="1"/>
  <c r="V1999" i="1"/>
  <c r="V1997" i="1"/>
  <c r="V1995" i="1"/>
  <c r="V1993" i="1"/>
  <c r="V1991" i="1"/>
  <c r="V1989" i="1"/>
  <c r="V1987" i="1"/>
  <c r="V1985" i="1"/>
  <c r="V1983" i="1"/>
  <c r="V1981" i="1"/>
  <c r="V1979" i="1"/>
  <c r="V1977" i="1"/>
  <c r="V1975" i="1"/>
  <c r="V1973" i="1"/>
  <c r="V1971" i="1"/>
  <c r="V1969" i="1"/>
  <c r="V1967" i="1"/>
  <c r="V1965" i="1"/>
  <c r="V1963" i="1"/>
  <c r="V1961" i="1"/>
  <c r="V1959" i="1"/>
  <c r="V1955" i="1"/>
  <c r="V1953" i="1"/>
  <c r="V1951" i="1"/>
  <c r="V1949" i="1"/>
  <c r="V1947" i="1"/>
  <c r="V1945" i="1"/>
  <c r="V1943" i="1"/>
  <c r="V1941" i="1"/>
  <c r="V1939" i="1"/>
  <c r="V1937" i="1"/>
  <c r="V1935" i="1"/>
  <c r="V1933" i="1"/>
  <c r="V1931" i="1"/>
  <c r="V1929" i="1"/>
  <c r="V1927" i="1"/>
  <c r="V1925" i="1"/>
  <c r="V1923" i="1"/>
  <c r="V1921" i="1"/>
  <c r="V1919" i="1"/>
  <c r="V1917" i="1"/>
  <c r="S1915" i="1"/>
  <c r="V1915" i="1" s="1"/>
  <c r="V1913" i="1"/>
  <c r="V1911" i="1"/>
  <c r="V1909" i="1"/>
  <c r="V1907" i="1"/>
  <c r="V1905" i="1"/>
  <c r="V1903" i="1"/>
  <c r="V1901" i="1"/>
  <c r="V1899" i="1"/>
  <c r="V1897" i="1"/>
  <c r="S1895" i="1"/>
  <c r="V1895" i="1" s="1"/>
  <c r="S1892" i="1"/>
  <c r="V1892" i="1" s="1"/>
  <c r="S1889" i="1"/>
  <c r="V1889" i="1" s="1"/>
  <c r="S1886" i="1"/>
  <c r="V1886" i="1" s="1"/>
  <c r="S1883" i="1"/>
  <c r="V1883" i="1" s="1"/>
  <c r="S1880" i="1"/>
  <c r="V1880" i="1" s="1"/>
  <c r="S1878" i="1"/>
  <c r="V1878" i="1" s="1"/>
  <c r="V1876" i="1"/>
  <c r="V1874" i="1"/>
  <c r="S1872" i="1"/>
  <c r="V1872" i="1" s="1"/>
  <c r="S1870" i="1"/>
  <c r="V1870" i="1" s="1"/>
  <c r="S1868" i="1"/>
  <c r="V1868" i="1" s="1"/>
  <c r="S1866" i="1"/>
  <c r="V1866" i="1" s="1"/>
  <c r="S1863" i="1"/>
  <c r="V1863" i="1" s="1"/>
  <c r="S1860" i="1"/>
  <c r="V1860" i="1" s="1"/>
  <c r="S1858" i="1"/>
  <c r="V1858" i="1" s="1"/>
  <c r="S1856" i="1"/>
  <c r="V1856" i="1" s="1"/>
  <c r="V1853" i="1"/>
  <c r="S1851" i="1"/>
  <c r="V1851" i="1" s="1"/>
  <c r="S1845" i="1"/>
  <c r="V1845" i="1" s="1"/>
  <c r="V1843" i="1"/>
  <c r="S1841" i="1"/>
  <c r="V1841" i="1" s="1"/>
  <c r="S1839" i="1"/>
  <c r="V1839" i="1" s="1"/>
  <c r="S1837" i="1"/>
  <c r="V1837" i="1" s="1"/>
  <c r="V1835" i="1"/>
  <c r="S1833" i="1"/>
  <c r="V1833" i="1" s="1"/>
  <c r="V1831" i="1"/>
  <c r="S1828" i="1"/>
  <c r="V1828" i="1" s="1"/>
  <c r="S1825" i="1"/>
  <c r="V1825" i="1" s="1"/>
  <c r="S1822" i="1"/>
  <c r="V1822" i="1" s="1"/>
  <c r="S1819" i="1"/>
  <c r="V1819" i="1" s="1"/>
  <c r="S1816" i="1"/>
  <c r="V1816" i="1" s="1"/>
  <c r="V1813" i="1"/>
  <c r="V1811" i="1"/>
  <c r="S1809" i="1"/>
  <c r="V1809" i="1" s="1"/>
  <c r="V1807" i="1"/>
  <c r="V1805" i="1"/>
  <c r="V1803" i="1"/>
  <c r="S1801" i="1"/>
  <c r="V1801" i="1" s="1"/>
  <c r="S1798" i="1"/>
  <c r="V1798" i="1" s="1"/>
  <c r="V1795" i="1"/>
  <c r="V1792" i="1"/>
  <c r="V1789" i="1"/>
  <c r="S1786" i="1"/>
  <c r="V1786" i="1" s="1"/>
  <c r="S1783" i="1"/>
  <c r="V1783" i="1" s="1"/>
  <c r="S1780" i="1"/>
  <c r="V1780" i="1" s="1"/>
  <c r="V1777" i="1"/>
  <c r="S1775" i="1"/>
  <c r="V1775" i="1" s="1"/>
  <c r="V1772" i="1"/>
  <c r="V1770" i="1"/>
  <c r="V1767" i="1"/>
  <c r="S1764" i="1"/>
  <c r="V1764" i="1" s="1"/>
  <c r="S1762" i="1"/>
  <c r="V1762" i="1" s="1"/>
  <c r="S1759" i="1"/>
  <c r="V1759" i="1" s="1"/>
  <c r="S1756" i="1"/>
  <c r="V1756" i="1" s="1"/>
  <c r="S1753" i="1"/>
  <c r="S1751" i="1"/>
  <c r="V1751" i="1" s="1"/>
  <c r="S1749" i="1"/>
  <c r="V1749" i="1" s="1"/>
  <c r="S1746" i="1"/>
  <c r="V1746" i="1" s="1"/>
  <c r="S1743" i="1"/>
  <c r="V1743" i="1" s="1"/>
  <c r="S1740" i="1"/>
  <c r="V1740" i="1" s="1"/>
  <c r="S1738" i="1"/>
  <c r="V1738" i="1" s="1"/>
  <c r="V1736" i="1"/>
  <c r="S1734" i="1"/>
  <c r="V1734" i="1" s="1"/>
  <c r="S1732" i="1"/>
  <c r="V1732" i="1" s="1"/>
  <c r="V1729" i="1"/>
  <c r="S1727" i="1"/>
  <c r="V1727" i="1" s="1"/>
  <c r="V1724" i="1"/>
  <c r="S1722" i="1"/>
  <c r="V1722" i="1" s="1"/>
  <c r="V1720" i="1"/>
  <c r="V1718" i="1"/>
  <c r="S1716" i="1"/>
  <c r="V1716" i="1" s="1"/>
  <c r="V1714" i="1"/>
  <c r="V1712" i="1"/>
  <c r="S1710" i="1"/>
  <c r="V1710" i="1" s="1"/>
  <c r="S1708" i="1"/>
  <c r="V1708" i="1" s="1"/>
  <c r="S1706" i="1"/>
  <c r="V1706" i="1" s="1"/>
  <c r="V1704" i="1"/>
  <c r="S1702" i="1"/>
  <c r="V1702" i="1" s="1"/>
  <c r="S1700" i="1"/>
  <c r="V1700" i="1" s="1"/>
  <c r="V1697" i="1"/>
  <c r="V1695" i="1"/>
  <c r="V1693" i="1"/>
  <c r="V1691" i="1"/>
  <c r="V1689" i="1"/>
  <c r="V1687" i="1"/>
  <c r="V1685" i="1"/>
  <c r="V1683" i="1"/>
  <c r="V1681" i="1"/>
  <c r="V1679" i="1"/>
  <c r="V1677" i="1"/>
  <c r="V1675" i="1"/>
  <c r="V1673" i="1"/>
  <c r="V1671" i="1"/>
  <c r="V1669" i="1"/>
  <c r="V1667" i="1"/>
  <c r="V1665" i="1"/>
  <c r="V1663" i="1"/>
  <c r="V1661" i="1"/>
  <c r="V1659" i="1"/>
  <c r="V1657" i="1"/>
  <c r="V1655" i="1"/>
  <c r="V1653" i="1"/>
  <c r="V1651" i="1"/>
  <c r="V1649" i="1"/>
  <c r="V1647" i="1"/>
  <c r="V1645" i="1"/>
  <c r="V1643" i="1"/>
  <c r="V1641" i="1"/>
  <c r="V1639" i="1"/>
  <c r="V1637" i="1"/>
  <c r="V1635" i="1"/>
  <c r="V1633" i="1"/>
  <c r="V1631" i="1"/>
  <c r="V1629" i="1"/>
  <c r="V1627" i="1"/>
  <c r="V1625" i="1"/>
  <c r="S1621" i="1"/>
  <c r="V1621" i="1" s="1"/>
  <c r="S1619" i="1"/>
  <c r="V1619" i="1" s="1"/>
  <c r="S1617" i="1"/>
  <c r="V1617" i="1" s="1"/>
  <c r="S1615" i="1"/>
  <c r="V1615" i="1" s="1"/>
  <c r="V1613" i="1"/>
  <c r="V1611" i="1"/>
  <c r="V1609" i="1"/>
  <c r="V1607" i="1"/>
  <c r="V1605" i="1"/>
  <c r="V1603" i="1"/>
  <c r="S1601" i="1"/>
  <c r="V1601" i="1" s="1"/>
  <c r="S1599" i="1"/>
  <c r="V1599" i="1" s="1"/>
  <c r="V1597" i="1"/>
  <c r="V1595" i="1"/>
  <c r="V1593" i="1"/>
  <c r="V1591" i="1"/>
  <c r="V1589" i="1"/>
  <c r="V1587" i="1"/>
  <c r="V1585" i="1"/>
  <c r="V1583" i="1"/>
  <c r="V1581" i="1"/>
  <c r="V1579" i="1"/>
  <c r="V1577" i="1"/>
  <c r="V1575" i="1"/>
  <c r="V1573" i="1"/>
  <c r="V1571" i="1"/>
  <c r="V1569" i="1"/>
  <c r="V1567" i="1"/>
  <c r="V1565" i="1"/>
  <c r="V1563" i="1"/>
  <c r="V1561" i="1"/>
  <c r="V1559" i="1"/>
  <c r="V1557" i="1"/>
  <c r="V1555" i="1"/>
  <c r="V1553" i="1"/>
  <c r="V1551" i="1"/>
  <c r="V1549" i="1"/>
  <c r="V1547" i="1"/>
  <c r="V1545" i="1"/>
  <c r="V1543" i="1"/>
  <c r="V1541" i="1"/>
  <c r="V1539" i="1"/>
  <c r="V1537" i="1"/>
  <c r="V1535" i="1"/>
  <c r="V1533" i="1"/>
  <c r="V1531" i="1"/>
  <c r="V1529" i="1"/>
  <c r="V1527" i="1"/>
  <c r="V1525" i="1"/>
  <c r="V1523" i="1"/>
  <c r="V1521" i="1"/>
  <c r="V1519" i="1"/>
  <c r="V1517" i="1"/>
  <c r="V1515" i="1"/>
  <c r="S1513" i="1"/>
  <c r="V1513" i="1" s="1"/>
  <c r="S1511" i="1"/>
  <c r="V1511" i="1" s="1"/>
  <c r="V1509" i="1"/>
  <c r="V1507" i="1"/>
  <c r="V1505" i="1"/>
  <c r="V1503" i="1"/>
  <c r="V1501" i="1"/>
  <c r="V1499" i="1"/>
  <c r="V1495" i="1"/>
  <c r="V1493" i="1"/>
  <c r="V1491" i="1"/>
  <c r="S1489" i="1"/>
  <c r="V1489" i="1" s="1"/>
  <c r="V1487" i="1"/>
  <c r="S1485" i="1"/>
  <c r="V1485" i="1" s="1"/>
  <c r="S1483" i="1"/>
  <c r="V1483" i="1" s="1"/>
  <c r="S1481" i="1"/>
  <c r="V1481" i="1" s="1"/>
  <c r="V1479" i="1"/>
  <c r="S1477" i="1"/>
  <c r="V1477" i="1" s="1"/>
  <c r="S1475" i="1"/>
  <c r="V1475" i="1" s="1"/>
  <c r="V1473" i="1"/>
  <c r="S1471" i="1"/>
  <c r="V1471" i="1" s="1"/>
  <c r="V1469" i="1"/>
  <c r="V1467" i="1"/>
  <c r="V1465" i="1"/>
  <c r="S1463" i="1"/>
  <c r="V1463" i="1" s="1"/>
  <c r="V1461" i="1"/>
  <c r="V1459" i="1"/>
  <c r="V1457" i="1"/>
  <c r="V1455" i="1"/>
  <c r="S1453" i="1"/>
  <c r="V1453" i="1" s="1"/>
  <c r="S1451" i="1"/>
  <c r="V1451" i="1" s="1"/>
  <c r="V1449" i="1"/>
  <c r="V1447" i="1"/>
  <c r="S1445" i="1"/>
  <c r="V1445" i="1" s="1"/>
  <c r="V1443" i="1"/>
  <c r="V1441" i="1"/>
  <c r="V1439" i="1"/>
  <c r="V1437" i="1"/>
  <c r="V1435" i="1"/>
  <c r="V1433" i="1"/>
  <c r="V1431" i="1"/>
  <c r="V1429" i="1"/>
  <c r="V1427" i="1"/>
  <c r="S1425" i="1"/>
  <c r="V1425" i="1" s="1"/>
  <c r="S1423" i="1"/>
  <c r="V1423" i="1" s="1"/>
  <c r="V1421" i="1"/>
  <c r="V1419" i="1"/>
  <c r="V1417" i="1"/>
  <c r="V1415" i="1"/>
  <c r="V1411" i="1"/>
  <c r="V1409" i="1"/>
  <c r="V1407" i="1"/>
  <c r="V1405" i="1"/>
  <c r="V1403" i="1"/>
  <c r="V1401" i="1"/>
  <c r="V1399" i="1"/>
  <c r="V1397" i="1"/>
  <c r="V1395" i="1"/>
  <c r="V1393" i="1"/>
  <c r="V1391" i="1"/>
  <c r="V1389" i="1"/>
  <c r="V1387" i="1"/>
  <c r="V1385" i="1"/>
  <c r="V1383" i="1"/>
  <c r="V1381" i="1"/>
  <c r="V1379" i="1"/>
  <c r="S1377" i="1"/>
  <c r="V1377" i="1" s="1"/>
  <c r="S1375" i="1"/>
  <c r="V1375" i="1" s="1"/>
  <c r="S1373" i="1"/>
  <c r="V1373" i="1" s="1"/>
  <c r="S1371" i="1"/>
  <c r="V1371" i="1" s="1"/>
  <c r="S1369" i="1"/>
  <c r="V1369" i="1" s="1"/>
  <c r="S1367" i="1"/>
  <c r="V1367" i="1" s="1"/>
  <c r="S1365" i="1"/>
  <c r="V1365" i="1" s="1"/>
  <c r="S1363" i="1"/>
  <c r="V1363" i="1" s="1"/>
  <c r="S1361" i="1"/>
  <c r="V1361" i="1" s="1"/>
  <c r="V1359" i="1"/>
  <c r="V1357" i="1"/>
  <c r="V1355" i="1"/>
  <c r="V1353" i="1"/>
  <c r="V1351" i="1"/>
  <c r="V1349" i="1"/>
  <c r="S1347" i="1"/>
  <c r="V1347" i="1" s="1"/>
  <c r="S1345" i="1"/>
  <c r="V1345" i="1" s="1"/>
  <c r="S1343" i="1"/>
  <c r="V1343" i="1" s="1"/>
  <c r="V1341" i="1"/>
  <c r="V1339" i="1"/>
  <c r="S1337" i="1"/>
  <c r="V1337" i="1" s="1"/>
  <c r="S1335" i="1"/>
  <c r="V1335" i="1" s="1"/>
  <c r="V1333" i="1"/>
  <c r="V1331" i="1"/>
  <c r="V1329" i="1"/>
  <c r="V1327" i="1"/>
  <c r="V1325" i="1"/>
  <c r="V1323" i="1"/>
  <c r="S1321" i="1"/>
  <c r="V1321" i="1" s="1"/>
  <c r="V1319" i="1"/>
  <c r="S1317" i="1"/>
  <c r="V1317" i="1" s="1"/>
  <c r="V1314" i="1"/>
  <c r="S1312" i="1"/>
  <c r="V1312" i="1" s="1"/>
  <c r="S1310" i="1"/>
  <c r="V1310" i="1" s="1"/>
  <c r="V1308" i="1"/>
  <c r="S1306" i="1"/>
  <c r="V1306" i="1" s="1"/>
  <c r="V1304" i="1"/>
  <c r="V1301" i="1"/>
  <c r="S1299" i="1"/>
  <c r="V1299" i="1" s="1"/>
  <c r="V1296" i="1"/>
  <c r="V1294" i="1"/>
  <c r="V1292" i="1"/>
  <c r="V1290" i="1"/>
  <c r="S1288" i="1"/>
  <c r="V1288" i="1" s="1"/>
  <c r="S1286" i="1"/>
  <c r="V1286" i="1" s="1"/>
  <c r="S1284" i="1"/>
  <c r="V1284" i="1" s="1"/>
  <c r="S1282" i="1"/>
  <c r="V1282" i="1" s="1"/>
  <c r="S1280" i="1"/>
  <c r="V1280" i="1" s="1"/>
  <c r="V1278" i="1"/>
  <c r="S1276" i="1"/>
  <c r="V1276" i="1" s="1"/>
  <c r="S1274" i="1"/>
  <c r="V1274" i="1" s="1"/>
  <c r="V1272" i="1"/>
  <c r="V1270" i="1"/>
  <c r="V1268" i="1"/>
  <c r="S1266" i="1"/>
  <c r="V1266" i="1" s="1"/>
  <c r="V1261" i="1"/>
  <c r="S1259" i="1"/>
  <c r="V1259" i="1" s="1"/>
  <c r="V1257" i="1"/>
  <c r="V1255" i="1"/>
  <c r="V1253" i="1"/>
  <c r="V1251" i="1"/>
  <c r="V1249" i="1"/>
  <c r="V1247" i="1"/>
  <c r="V1245" i="1"/>
  <c r="V1243" i="1"/>
  <c r="V1241" i="1"/>
  <c r="V1239" i="1"/>
  <c r="V1237" i="1"/>
  <c r="V1235" i="1"/>
  <c r="V1233" i="1"/>
  <c r="V1231" i="1"/>
  <c r="V1229" i="1"/>
  <c r="V1227" i="1"/>
  <c r="V1225" i="1"/>
  <c r="V1223" i="1"/>
  <c r="V1221" i="1"/>
  <c r="V1219" i="1"/>
  <c r="U1218" i="1"/>
  <c r="V1216" i="1"/>
  <c r="V1214" i="1"/>
  <c r="V1212" i="1"/>
  <c r="V1210" i="1"/>
  <c r="V1208" i="1"/>
  <c r="V1206" i="1"/>
  <c r="V1201" i="1"/>
  <c r="S1199" i="1"/>
  <c r="V1199" i="1" s="1"/>
  <c r="V1197" i="1"/>
  <c r="V1195" i="1"/>
  <c r="V1193" i="1"/>
  <c r="V1191" i="1"/>
  <c r="V1189" i="1"/>
  <c r="V1187" i="1"/>
  <c r="V1185" i="1"/>
  <c r="V1183" i="1"/>
  <c r="V1181" i="1"/>
  <c r="V1179" i="1"/>
  <c r="V1177" i="1"/>
  <c r="V1175" i="1"/>
  <c r="V1173" i="1"/>
  <c r="V1171" i="1"/>
  <c r="V1169" i="1"/>
  <c r="V1167" i="1"/>
  <c r="V1165" i="1"/>
  <c r="V1163" i="1"/>
  <c r="V1161" i="1"/>
  <c r="V1159" i="1"/>
  <c r="V1157" i="1"/>
  <c r="V1155" i="1"/>
  <c r="V1153" i="1"/>
  <c r="V1151" i="1"/>
  <c r="V1149" i="1"/>
  <c r="V1147" i="1"/>
  <c r="V1145" i="1"/>
  <c r="V1142" i="1"/>
  <c r="V1140" i="1"/>
  <c r="V1138" i="1"/>
  <c r="V1136" i="1"/>
  <c r="V1134" i="1"/>
  <c r="V1132" i="1"/>
  <c r="V1130" i="1"/>
  <c r="V1128" i="1"/>
  <c r="V1126" i="1"/>
  <c r="V1124" i="1"/>
  <c r="V1122" i="1"/>
  <c r="V1120" i="1"/>
  <c r="V1118" i="1"/>
  <c r="V1116" i="1"/>
  <c r="V1114" i="1"/>
  <c r="V1112" i="1"/>
  <c r="V1110" i="1"/>
  <c r="V1108" i="1"/>
  <c r="V1105" i="1"/>
  <c r="V1103" i="1"/>
  <c r="V1101" i="1"/>
  <c r="V1099" i="1"/>
  <c r="V1097" i="1"/>
  <c r="V1095" i="1"/>
  <c r="V1093" i="1"/>
  <c r="V1091" i="1"/>
  <c r="V1088" i="1"/>
  <c r="V1086" i="1"/>
  <c r="V1084" i="1"/>
  <c r="V1082" i="1"/>
  <c r="V1079" i="1"/>
  <c r="V1076" i="1"/>
  <c r="V1074" i="1"/>
  <c r="V1072" i="1"/>
  <c r="V1070" i="1"/>
  <c r="V1068" i="1"/>
  <c r="V1066" i="1"/>
  <c r="V1064" i="1"/>
  <c r="V1062" i="1"/>
  <c r="S1060" i="1"/>
  <c r="V1060" i="1" s="1"/>
  <c r="V1058" i="1"/>
  <c r="V1056" i="1"/>
  <c r="V1054" i="1"/>
  <c r="V1052" i="1"/>
  <c r="V1050" i="1"/>
  <c r="V1048" i="1"/>
  <c r="V1046" i="1"/>
  <c r="V1044" i="1"/>
  <c r="V1042" i="1"/>
  <c r="V1040" i="1"/>
  <c r="V1038" i="1"/>
  <c r="V1036" i="1"/>
  <c r="V1034" i="1"/>
  <c r="V1032" i="1"/>
  <c r="V1030" i="1"/>
  <c r="V1028" i="1"/>
  <c r="V1025" i="1"/>
  <c r="V1022" i="1"/>
  <c r="V1019" i="1"/>
  <c r="V1016" i="1"/>
  <c r="V1013" i="1"/>
  <c r="V1010" i="1"/>
  <c r="V1007" i="1"/>
  <c r="V1004" i="1"/>
  <c r="V998" i="1"/>
  <c r="V995" i="1"/>
  <c r="V992" i="1"/>
  <c r="V989" i="1"/>
  <c r="V986" i="1"/>
  <c r="V983" i="1"/>
  <c r="V980" i="1"/>
  <c r="V977" i="1"/>
  <c r="V974" i="1"/>
  <c r="V971" i="1"/>
  <c r="V968" i="1"/>
  <c r="V965" i="1"/>
  <c r="V962" i="1"/>
  <c r="V959" i="1"/>
  <c r="V956" i="1"/>
  <c r="V953" i="1"/>
  <c r="V950" i="1"/>
  <c r="V947" i="1"/>
  <c r="V944" i="1"/>
  <c r="V941" i="1"/>
  <c r="V938" i="1"/>
  <c r="V935" i="1"/>
  <c r="S934" i="1"/>
  <c r="V931" i="1"/>
  <c r="V927" i="1"/>
  <c r="S924" i="1"/>
  <c r="V924" i="1" s="1"/>
  <c r="V921" i="1"/>
  <c r="S918" i="1"/>
  <c r="V918" i="1" s="1"/>
  <c r="S915" i="1"/>
  <c r="V915" i="1" s="1"/>
  <c r="V912" i="1"/>
  <c r="V909" i="1"/>
  <c r="V906" i="1"/>
  <c r="V903" i="1"/>
  <c r="V900" i="1"/>
  <c r="S897" i="1"/>
  <c r="S895" i="1"/>
  <c r="V895" i="1" s="1"/>
  <c r="S892" i="1"/>
  <c r="V892" i="1" s="1"/>
  <c r="S889" i="1"/>
  <c r="V889" i="1" s="1"/>
  <c r="S888" i="1"/>
  <c r="U888" i="1" s="1"/>
  <c r="V888" i="1" s="1"/>
  <c r="S885" i="1"/>
  <c r="V885" i="1" s="1"/>
  <c r="S882" i="1"/>
  <c r="V882" i="1" s="1"/>
  <c r="S879" i="1"/>
  <c r="V879" i="1" s="1"/>
  <c r="V877" i="1"/>
  <c r="S874" i="1"/>
  <c r="V874" i="1" s="1"/>
  <c r="V871" i="1"/>
  <c r="S868" i="1"/>
  <c r="V868" i="1" s="1"/>
  <c r="S865" i="1"/>
  <c r="V865" i="1" s="1"/>
  <c r="S862" i="1"/>
  <c r="V862" i="1" s="1"/>
  <c r="S859" i="1"/>
  <c r="V859" i="1" s="1"/>
  <c r="S858" i="1"/>
  <c r="U858" i="1" s="1"/>
  <c r="V858" i="1" s="1"/>
  <c r="S855" i="1"/>
  <c r="V855" i="1" s="1"/>
  <c r="V852" i="1"/>
  <c r="S849" i="1"/>
  <c r="V849" i="1" s="1"/>
  <c r="S846" i="1"/>
  <c r="V846" i="1" s="1"/>
  <c r="S843" i="1"/>
  <c r="V843" i="1" s="1"/>
  <c r="S840" i="1"/>
  <c r="V840" i="1" s="1"/>
  <c r="S837" i="1"/>
  <c r="V837" i="1" s="1"/>
  <c r="S834" i="1"/>
  <c r="V834" i="1" s="1"/>
  <c r="S831" i="1"/>
  <c r="V831" i="1" s="1"/>
  <c r="S829" i="1"/>
  <c r="V829" i="1" s="1"/>
  <c r="S826" i="1"/>
  <c r="V826" i="1" s="1"/>
  <c r="S823" i="1"/>
  <c r="V823" i="1" s="1"/>
  <c r="S820" i="1"/>
  <c r="V820" i="1" s="1"/>
  <c r="S817" i="1"/>
  <c r="V817" i="1" s="1"/>
  <c r="S814" i="1"/>
  <c r="V814" i="1" s="1"/>
  <c r="V811" i="1"/>
  <c r="S808" i="1"/>
  <c r="V808" i="1" s="1"/>
  <c r="S805" i="1"/>
  <c r="V805" i="1" s="1"/>
  <c r="S801" i="1"/>
  <c r="V801" i="1" s="1"/>
  <c r="S800" i="1"/>
  <c r="S797" i="1"/>
  <c r="V797" i="1" s="1"/>
  <c r="V794" i="1"/>
  <c r="V791" i="1"/>
  <c r="V788" i="1"/>
  <c r="S787" i="1"/>
  <c r="S784" i="1"/>
  <c r="V784" i="1" s="1"/>
  <c r="S781" i="1"/>
  <c r="V781" i="1" s="1"/>
  <c r="S780" i="1"/>
  <c r="S777" i="1"/>
  <c r="V777" i="1" s="1"/>
  <c r="S774" i="1"/>
  <c r="V774" i="1" s="1"/>
  <c r="S771" i="1"/>
  <c r="V771" i="1" s="1"/>
  <c r="S768" i="1"/>
  <c r="V768" i="1" s="1"/>
  <c r="S767" i="1"/>
  <c r="U767" i="1" s="1"/>
  <c r="V767" i="1" s="1"/>
  <c r="S766" i="1"/>
  <c r="U766" i="1" s="1"/>
  <c r="V766" i="1" s="1"/>
  <c r="S763" i="1"/>
  <c r="S761" i="1"/>
  <c r="V2771" i="1" l="1"/>
  <c r="V2770" i="1"/>
  <c r="V2772" i="1"/>
  <c r="V3173" i="1"/>
  <c r="V3181" i="1"/>
  <c r="V3171" i="1"/>
  <c r="V3175" i="1"/>
  <c r="V3169" i="1"/>
  <c r="V3177" i="1"/>
  <c r="V3170" i="1"/>
  <c r="V3174" i="1"/>
  <c r="V3182" i="1"/>
  <c r="V3168" i="1"/>
  <c r="V3172" i="1"/>
  <c r="V3176" i="1"/>
  <c r="V3180" i="1"/>
  <c r="V2428" i="1"/>
  <c r="V2427" i="1"/>
  <c r="V2425" i="1"/>
  <c r="V2426" i="1"/>
  <c r="V2441" i="1"/>
  <c r="V2022" i="1"/>
  <c r="V2030" i="1"/>
  <c r="V2038" i="1"/>
  <c r="V3137" i="1"/>
  <c r="V3145" i="1"/>
  <c r="V2019" i="1"/>
  <c r="V2027" i="1"/>
  <c r="V2035" i="1"/>
  <c r="V2043" i="1"/>
  <c r="V3134" i="1"/>
  <c r="V3146" i="1"/>
  <c r="V2016" i="1"/>
  <c r="V2020" i="1"/>
  <c r="V2024" i="1"/>
  <c r="V2028" i="1"/>
  <c r="V2032" i="1"/>
  <c r="V2036" i="1"/>
  <c r="V3131" i="1"/>
  <c r="V3135" i="1"/>
  <c r="V3139" i="1"/>
  <c r="V3143" i="1"/>
  <c r="V2014" i="1"/>
  <c r="V2018" i="1"/>
  <c r="V2026" i="1"/>
  <c r="V2034" i="1"/>
  <c r="V2042" i="1"/>
  <c r="V3133" i="1"/>
  <c r="V3141" i="1"/>
  <c r="V2015" i="1"/>
  <c r="V2023" i="1"/>
  <c r="V2031" i="1"/>
  <c r="V2039" i="1"/>
  <c r="V3130" i="1"/>
  <c r="V3138" i="1"/>
  <c r="V3142" i="1"/>
  <c r="V2013" i="1"/>
  <c r="V2017" i="1"/>
  <c r="V2021" i="1"/>
  <c r="V2025" i="1"/>
  <c r="V2033" i="1"/>
  <c r="V2037" i="1"/>
  <c r="V3132" i="1"/>
  <c r="V3136" i="1"/>
  <c r="V3140" i="1"/>
  <c r="V3144" i="1"/>
  <c r="V2195" i="1"/>
  <c r="V2199" i="1"/>
  <c r="V2218" i="1"/>
  <c r="V2226" i="1"/>
  <c r="V2231" i="1"/>
  <c r="V2243" i="1"/>
  <c r="V2194" i="1"/>
  <c r="V2202" i="1"/>
  <c r="V2217" i="1"/>
  <c r="V2230" i="1"/>
  <c r="V2242" i="1"/>
  <c r="V2196" i="1"/>
  <c r="V2228" i="1"/>
  <c r="V2240" i="1"/>
  <c r="V2252" i="1"/>
  <c r="V2198" i="1"/>
  <c r="V2210" i="1"/>
  <c r="V2224" i="1"/>
  <c r="V2236" i="1"/>
  <c r="V2200" i="1"/>
  <c r="V2213" i="1"/>
  <c r="V2220" i="1"/>
  <c r="V2232" i="1"/>
  <c r="V2244" i="1"/>
  <c r="V2197" i="1"/>
  <c r="V2201" i="1"/>
  <c r="V2208" i="1"/>
  <c r="V2222" i="1"/>
  <c r="V2229" i="1"/>
  <c r="V2241" i="1"/>
  <c r="V2189" i="1"/>
  <c r="V2190" i="1"/>
  <c r="V2192" i="1"/>
  <c r="V3153" i="1"/>
  <c r="V3161" i="1"/>
  <c r="V3165" i="1"/>
  <c r="V3150" i="1"/>
  <c r="V3158" i="1"/>
  <c r="V3166" i="1"/>
  <c r="V3147" i="1"/>
  <c r="V3151" i="1"/>
  <c r="V3155" i="1"/>
  <c r="V3159" i="1"/>
  <c r="V3163" i="1"/>
  <c r="V3167" i="1"/>
  <c r="V3149" i="1"/>
  <c r="V3157" i="1"/>
  <c r="V3154" i="1"/>
  <c r="V3162" i="1"/>
  <c r="V3148" i="1"/>
  <c r="V3152" i="1"/>
  <c r="V3156" i="1"/>
  <c r="V3160" i="1"/>
  <c r="V3164" i="1"/>
  <c r="V3259" i="1"/>
  <c r="V3265" i="1"/>
  <c r="V3260" i="1"/>
  <c r="V3266" i="1"/>
  <c r="V3261" i="1"/>
  <c r="V3267" i="1"/>
  <c r="V3206" i="1"/>
  <c r="V3258" i="1"/>
  <c r="V3268" i="1"/>
  <c r="V3185" i="1"/>
  <c r="V3189" i="1"/>
  <c r="V3186" i="1"/>
  <c r="V3190" i="1"/>
  <c r="V3187" i="1"/>
  <c r="V3191" i="1"/>
  <c r="V3184" i="1"/>
  <c r="V3188" i="1"/>
  <c r="V3192" i="1"/>
  <c r="V3243" i="1"/>
  <c r="V3247" i="1"/>
  <c r="V3251" i="1"/>
  <c r="V3255" i="1"/>
  <c r="V3244" i="1"/>
  <c r="V3248" i="1"/>
  <c r="V3252" i="1"/>
  <c r="V3256" i="1"/>
  <c r="V3241" i="1"/>
  <c r="V3245" i="1"/>
  <c r="V3249" i="1"/>
  <c r="V3253" i="1"/>
  <c r="V3257" i="1"/>
  <c r="V3242" i="1"/>
  <c r="V3246" i="1"/>
  <c r="V3250" i="1"/>
  <c r="V3254" i="1"/>
  <c r="V2713" i="1"/>
  <c r="V2065" i="1"/>
  <c r="V2137" i="1"/>
  <c r="V2145" i="1"/>
  <c r="V2452" i="1"/>
  <c r="V2460" i="1"/>
  <c r="V2468" i="1"/>
  <c r="V2472" i="1"/>
  <c r="V2649" i="1"/>
  <c r="V2657" i="1"/>
  <c r="V2661" i="1"/>
  <c r="V2669" i="1"/>
  <c r="V2677" i="1"/>
  <c r="V2685" i="1"/>
  <c r="V2693" i="1"/>
  <c r="V2701" i="1"/>
  <c r="V2709" i="1"/>
  <c r="V2066" i="1"/>
  <c r="V2142" i="1"/>
  <c r="V2457" i="1"/>
  <c r="V2465" i="1"/>
  <c r="V2473" i="1"/>
  <c r="V2650" i="1"/>
  <c r="V2662" i="1"/>
  <c r="V2670" i="1"/>
  <c r="V2674" i="1"/>
  <c r="V2682" i="1"/>
  <c r="V2690" i="1"/>
  <c r="V2698" i="1"/>
  <c r="V2706" i="1"/>
  <c r="V2063" i="1"/>
  <c r="V2067" i="1"/>
  <c r="V2071" i="1"/>
  <c r="V2139" i="1"/>
  <c r="V2143" i="1"/>
  <c r="V2171" i="1"/>
  <c r="V2450" i="1"/>
  <c r="V2454" i="1"/>
  <c r="V2458" i="1"/>
  <c r="V2462" i="1"/>
  <c r="V2466" i="1"/>
  <c r="V2470" i="1"/>
  <c r="V2474" i="1"/>
  <c r="V2651" i="1"/>
  <c r="V2655" i="1"/>
  <c r="V2659" i="1"/>
  <c r="V2663" i="1"/>
  <c r="V2667" i="1"/>
  <c r="V2671" i="1"/>
  <c r="V2675" i="1"/>
  <c r="V2679" i="1"/>
  <c r="V2683" i="1"/>
  <c r="V2687" i="1"/>
  <c r="V2691" i="1"/>
  <c r="V2695" i="1"/>
  <c r="V2699" i="1"/>
  <c r="V2703" i="1"/>
  <c r="V2707" i="1"/>
  <c r="V2711" i="1"/>
  <c r="V2069" i="1"/>
  <c r="V2141" i="1"/>
  <c r="V2456" i="1"/>
  <c r="V2464" i="1"/>
  <c r="V2476" i="1"/>
  <c r="V2653" i="1"/>
  <c r="V2665" i="1"/>
  <c r="V2673" i="1"/>
  <c r="V2681" i="1"/>
  <c r="V2689" i="1"/>
  <c r="V2697" i="1"/>
  <c r="V2705" i="1"/>
  <c r="V2070" i="1"/>
  <c r="V2138" i="1"/>
  <c r="V2453" i="1"/>
  <c r="V2461" i="1"/>
  <c r="V2469" i="1"/>
  <c r="V2477" i="1"/>
  <c r="V2654" i="1"/>
  <c r="V2658" i="1"/>
  <c r="V2666" i="1"/>
  <c r="V2678" i="1"/>
  <c r="V2686" i="1"/>
  <c r="V2694" i="1"/>
  <c r="V2702" i="1"/>
  <c r="V2710" i="1"/>
  <c r="V2064" i="1"/>
  <c r="V2068" i="1"/>
  <c r="V2072" i="1"/>
  <c r="V2140" i="1"/>
  <c r="V2144" i="1"/>
  <c r="V2172" i="1"/>
  <c r="V2451" i="1"/>
  <c r="V2455" i="1"/>
  <c r="V2459" i="1"/>
  <c r="V2463" i="1"/>
  <c r="V2467" i="1"/>
  <c r="V2471" i="1"/>
  <c r="V2475" i="1"/>
  <c r="V2652" i="1"/>
  <c r="V2656" i="1"/>
  <c r="V2660" i="1"/>
  <c r="V2664" i="1"/>
  <c r="V2668" i="1"/>
  <c r="V2672" i="1"/>
  <c r="V2676" i="1"/>
  <c r="V2680" i="1"/>
  <c r="V2684" i="1"/>
  <c r="V2688" i="1"/>
  <c r="V2692" i="1"/>
  <c r="V2696" i="1"/>
  <c r="V2700" i="1"/>
  <c r="V2704" i="1"/>
  <c r="V2708" i="1"/>
  <c r="V2712" i="1"/>
  <c r="V2093" i="1"/>
  <c r="V2101" i="1"/>
  <c r="V2109" i="1"/>
  <c r="V2117" i="1"/>
  <c r="V2125" i="1"/>
  <c r="V2129" i="1"/>
  <c r="V2161" i="1"/>
  <c r="V2090" i="1"/>
  <c r="V2098" i="1"/>
  <c r="V2106" i="1"/>
  <c r="V2118" i="1"/>
  <c r="V2126" i="1"/>
  <c r="V2158" i="1"/>
  <c r="V2091" i="1"/>
  <c r="V2095" i="1"/>
  <c r="V2099" i="1"/>
  <c r="V2103" i="1"/>
  <c r="V2107" i="1"/>
  <c r="V2111" i="1"/>
  <c r="V2115" i="1"/>
  <c r="V2119" i="1"/>
  <c r="V2123" i="1"/>
  <c r="V2127" i="1"/>
  <c r="V2159" i="1"/>
  <c r="V2163" i="1"/>
  <c r="V2089" i="1"/>
  <c r="V2097" i="1"/>
  <c r="V2105" i="1"/>
  <c r="V2113" i="1"/>
  <c r="V2121" i="1"/>
  <c r="V2157" i="1"/>
  <c r="V2094" i="1"/>
  <c r="V2102" i="1"/>
  <c r="V2110" i="1"/>
  <c r="V2114" i="1"/>
  <c r="V2122" i="1"/>
  <c r="V2130" i="1"/>
  <c r="V2162" i="1"/>
  <c r="V2092" i="1"/>
  <c r="V2096" i="1"/>
  <c r="V2100" i="1"/>
  <c r="V2104" i="1"/>
  <c r="V2108" i="1"/>
  <c r="V2112" i="1"/>
  <c r="V2116" i="1"/>
  <c r="V2120" i="1"/>
  <c r="V2124" i="1"/>
  <c r="V2128" i="1"/>
  <c r="V2156" i="1"/>
  <c r="V2160" i="1"/>
  <c r="V2164" i="1"/>
  <c r="V2259" i="1"/>
  <c r="V2317" i="1"/>
  <c r="V2321" i="1"/>
  <c r="V2331" i="1"/>
  <c r="V2260" i="1"/>
  <c r="V2322" i="1"/>
  <c r="V2332" i="1"/>
  <c r="V2257" i="1"/>
  <c r="V2270" i="1"/>
  <c r="V2319" i="1"/>
  <c r="V2323" i="1"/>
  <c r="V2327" i="1"/>
  <c r="V2334" i="1"/>
  <c r="V2340" i="1"/>
  <c r="V2255" i="1"/>
  <c r="V2325" i="1"/>
  <c r="V2336" i="1"/>
  <c r="V2342" i="1"/>
  <c r="V2256" i="1"/>
  <c r="V2269" i="1"/>
  <c r="V2318" i="1"/>
  <c r="V2326" i="1"/>
  <c r="V2338" i="1"/>
  <c r="V2258" i="1"/>
  <c r="V2272" i="1"/>
  <c r="V2316" i="1"/>
  <c r="V2320" i="1"/>
  <c r="V2324" i="1"/>
  <c r="V2329" i="1"/>
  <c r="V2335" i="1"/>
  <c r="V2341" i="1"/>
  <c r="V2078" i="1"/>
  <c r="V2075" i="1"/>
  <c r="V2083" i="1"/>
  <c r="V2131" i="1"/>
  <c r="V2076" i="1"/>
  <c r="V2080" i="1"/>
  <c r="V2084" i="1"/>
  <c r="V2088" i="1"/>
  <c r="V2132" i="1"/>
  <c r="V2082" i="1"/>
  <c r="V2086" i="1"/>
  <c r="V2079" i="1"/>
  <c r="V2087" i="1"/>
  <c r="V2077" i="1"/>
  <c r="V2081" i="1"/>
  <c r="V2085" i="1"/>
  <c r="V3211" i="1"/>
  <c r="V3219" i="1"/>
  <c r="V3227" i="1"/>
  <c r="V3235" i="1"/>
  <c r="V3239" i="1"/>
  <c r="V3208" i="1"/>
  <c r="V3212" i="1"/>
  <c r="V3216" i="1"/>
  <c r="V3220" i="1"/>
  <c r="V3224" i="1"/>
  <c r="V3228" i="1"/>
  <c r="V3232" i="1"/>
  <c r="V3236" i="1"/>
  <c r="V3240" i="1"/>
  <c r="V3209" i="1"/>
  <c r="V3213" i="1"/>
  <c r="V3217" i="1"/>
  <c r="V3221" i="1"/>
  <c r="V3225" i="1"/>
  <c r="V3229" i="1"/>
  <c r="V3233" i="1"/>
  <c r="V3237" i="1"/>
  <c r="V3207" i="1"/>
  <c r="V3215" i="1"/>
  <c r="V3223" i="1"/>
  <c r="V3231" i="1"/>
  <c r="V3210" i="1"/>
  <c r="V3214" i="1"/>
  <c r="V3218" i="1"/>
  <c r="V3222" i="1"/>
  <c r="V3226" i="1"/>
  <c r="V3230" i="1"/>
  <c r="V3234" i="1"/>
  <c r="V3238" i="1"/>
  <c r="V2166" i="1"/>
  <c r="V2167" i="1"/>
  <c r="V2040" i="1"/>
  <c r="V2044" i="1"/>
  <c r="V2168" i="1"/>
  <c r="V2170" i="1"/>
  <c r="V2029" i="1"/>
  <c r="V2041" i="1"/>
  <c r="V2045" i="1"/>
  <c r="V2165" i="1"/>
  <c r="V2169" i="1"/>
  <c r="V2046" i="1"/>
  <c r="V2054" i="1"/>
  <c r="V2062" i="1"/>
  <c r="V2150" i="1"/>
  <c r="V2281" i="1"/>
  <c r="V2289" i="1"/>
  <c r="V2297" i="1"/>
  <c r="V2305" i="1"/>
  <c r="V2402" i="1"/>
  <c r="V2410" i="1"/>
  <c r="V2418" i="1"/>
  <c r="V2047" i="1"/>
  <c r="V2055" i="1"/>
  <c r="V2059" i="1"/>
  <c r="V2147" i="1"/>
  <c r="V2278" i="1"/>
  <c r="V2286" i="1"/>
  <c r="V2294" i="1"/>
  <c r="V2306" i="1"/>
  <c r="V2314" i="1"/>
  <c r="V2403" i="1"/>
  <c r="V2411" i="1"/>
  <c r="V2419" i="1"/>
  <c r="V2048" i="1"/>
  <c r="V2052" i="1"/>
  <c r="V2056" i="1"/>
  <c r="V2060" i="1"/>
  <c r="V2148" i="1"/>
  <c r="V2152" i="1"/>
  <c r="V2275" i="1"/>
  <c r="V2279" i="1"/>
  <c r="V2283" i="1"/>
  <c r="V2287" i="1"/>
  <c r="V2291" i="1"/>
  <c r="V2295" i="1"/>
  <c r="V2299" i="1"/>
  <c r="V2303" i="1"/>
  <c r="V2307" i="1"/>
  <c r="V2311" i="1"/>
  <c r="V2315" i="1"/>
  <c r="V2400" i="1"/>
  <c r="V2404" i="1"/>
  <c r="V2408" i="1"/>
  <c r="V2412" i="1"/>
  <c r="V2416" i="1"/>
  <c r="V2420" i="1"/>
  <c r="V2050" i="1"/>
  <c r="V2058" i="1"/>
  <c r="V2074" i="1"/>
  <c r="V2146" i="1"/>
  <c r="V2154" i="1"/>
  <c r="V2174" i="1"/>
  <c r="V2273" i="1"/>
  <c r="V2277" i="1"/>
  <c r="V2285" i="1"/>
  <c r="V2293" i="1"/>
  <c r="V2301" i="1"/>
  <c r="V2309" i="1"/>
  <c r="V2313" i="1"/>
  <c r="V2406" i="1"/>
  <c r="V2414" i="1"/>
  <c r="V2051" i="1"/>
  <c r="V2151" i="1"/>
  <c r="V2155" i="1"/>
  <c r="V2274" i="1"/>
  <c r="V2282" i="1"/>
  <c r="V2290" i="1"/>
  <c r="V2298" i="1"/>
  <c r="V2302" i="1"/>
  <c r="V2310" i="1"/>
  <c r="V2399" i="1"/>
  <c r="V2407" i="1"/>
  <c r="V2415" i="1"/>
  <c r="V2049" i="1"/>
  <c r="V2053" i="1"/>
  <c r="V2057" i="1"/>
  <c r="V2061" i="1"/>
  <c r="V2073" i="1"/>
  <c r="V2149" i="1"/>
  <c r="V2153" i="1"/>
  <c r="V2173" i="1"/>
  <c r="V2276" i="1"/>
  <c r="V2280" i="1"/>
  <c r="V2284" i="1"/>
  <c r="V2288" i="1"/>
  <c r="V2292" i="1"/>
  <c r="V2296" i="1"/>
  <c r="V2300" i="1"/>
  <c r="V2304" i="1"/>
  <c r="V2308" i="1"/>
  <c r="V2312" i="1"/>
  <c r="V2401" i="1"/>
  <c r="V2405" i="1"/>
  <c r="V2409" i="1"/>
  <c r="V2413" i="1"/>
  <c r="V2417" i="1"/>
  <c r="V2421" i="1"/>
  <c r="V2175" i="1"/>
  <c r="V2176" i="1"/>
  <c r="V2177" i="1"/>
  <c r="V3107" i="1"/>
  <c r="V1218" i="1"/>
  <c r="S366" i="1"/>
  <c r="V366" i="1" s="1"/>
  <c r="S332" i="1"/>
  <c r="V332" i="1" s="1"/>
  <c r="V3610" i="1" l="1"/>
  <c r="V3877" i="1" l="1"/>
  <c r="V759" i="1" l="1"/>
  <c r="U680" i="1" l="1"/>
  <c r="U679" i="1"/>
  <c r="V680" i="1" l="1"/>
  <c r="V679" i="1"/>
  <c r="U758" i="1"/>
  <c r="U757" i="1"/>
  <c r="U756" i="1"/>
  <c r="U755" i="1"/>
  <c r="U754" i="1"/>
  <c r="U753" i="1"/>
  <c r="U752" i="1"/>
  <c r="U751" i="1"/>
  <c r="U699" i="1"/>
  <c r="U743" i="1"/>
  <c r="U718" i="1"/>
  <c r="U717" i="1"/>
  <c r="U750" i="1"/>
  <c r="U749" i="1"/>
  <c r="U748" i="1"/>
  <c r="U747" i="1"/>
  <c r="U746" i="1"/>
  <c r="U745" i="1"/>
  <c r="U744" i="1"/>
  <c r="U742" i="1"/>
  <c r="U741" i="1"/>
  <c r="U740" i="1"/>
  <c r="U739" i="1"/>
  <c r="U738" i="1"/>
  <c r="U737" i="1"/>
  <c r="U736" i="1"/>
  <c r="U735" i="1"/>
  <c r="U734" i="1"/>
  <c r="U733" i="1"/>
  <c r="U732" i="1"/>
  <c r="U731" i="1"/>
  <c r="U730" i="1"/>
  <c r="U729" i="1"/>
  <c r="U728" i="1"/>
  <c r="U727" i="1"/>
  <c r="U726" i="1"/>
  <c r="U725" i="1"/>
  <c r="U724" i="1"/>
  <c r="U723" i="1"/>
  <c r="U722" i="1"/>
  <c r="U721" i="1"/>
  <c r="U720" i="1"/>
  <c r="U719" i="1"/>
  <c r="U716" i="1"/>
  <c r="U715" i="1"/>
  <c r="U714" i="1"/>
  <c r="V716" i="1" l="1"/>
  <c r="V726" i="1"/>
  <c r="V730" i="1"/>
  <c r="V738" i="1"/>
  <c r="V747" i="1"/>
  <c r="V717" i="1"/>
  <c r="V751" i="1"/>
  <c r="V755" i="1"/>
  <c r="V719" i="1"/>
  <c r="V723" i="1"/>
  <c r="V727" i="1"/>
  <c r="V731" i="1"/>
  <c r="V735" i="1"/>
  <c r="V739" i="1"/>
  <c r="V744" i="1"/>
  <c r="V748" i="1"/>
  <c r="V718" i="1"/>
  <c r="V752" i="1"/>
  <c r="V756" i="1"/>
  <c r="V714" i="1"/>
  <c r="V720" i="1"/>
  <c r="V724" i="1"/>
  <c r="V728" i="1"/>
  <c r="V732" i="1"/>
  <c r="V736" i="1"/>
  <c r="V740" i="1"/>
  <c r="V745" i="1"/>
  <c r="V749" i="1"/>
  <c r="V743" i="1"/>
  <c r="V753" i="1"/>
  <c r="V757" i="1"/>
  <c r="V722" i="1"/>
  <c r="V734" i="1"/>
  <c r="V742" i="1"/>
  <c r="V715" i="1"/>
  <c r="V721" i="1"/>
  <c r="V725" i="1"/>
  <c r="V729" i="1"/>
  <c r="V733" i="1"/>
  <c r="V737" i="1"/>
  <c r="V741" i="1"/>
  <c r="V746" i="1"/>
  <c r="V750" i="1"/>
  <c r="V699" i="1"/>
  <c r="V754" i="1"/>
  <c r="V758" i="1"/>
  <c r="U713" i="1"/>
  <c r="U712" i="1"/>
  <c r="U711" i="1"/>
  <c r="U710" i="1"/>
  <c r="U709" i="1"/>
  <c r="U708" i="1"/>
  <c r="U707" i="1"/>
  <c r="U706" i="1"/>
  <c r="U705" i="1"/>
  <c r="U704" i="1"/>
  <c r="U703" i="1"/>
  <c r="U702" i="1"/>
  <c r="U701" i="1"/>
  <c r="U700" i="1"/>
  <c r="U698" i="1"/>
  <c r="U697" i="1"/>
  <c r="U696" i="1"/>
  <c r="U695" i="1"/>
  <c r="U694" i="1"/>
  <c r="U693" i="1"/>
  <c r="U692" i="1"/>
  <c r="U691" i="1"/>
  <c r="U690" i="1"/>
  <c r="U689" i="1"/>
  <c r="U688" i="1"/>
  <c r="U687" i="1"/>
  <c r="U686" i="1"/>
  <c r="U685" i="1"/>
  <c r="U684" i="1"/>
  <c r="U683" i="1"/>
  <c r="U682" i="1"/>
  <c r="U681" i="1"/>
  <c r="U678" i="1"/>
  <c r="U677" i="1"/>
  <c r="U676" i="1"/>
  <c r="U675" i="1"/>
  <c r="U674" i="1"/>
  <c r="U673" i="1"/>
  <c r="U672" i="1"/>
  <c r="U671" i="1"/>
  <c r="U670" i="1"/>
  <c r="U669" i="1"/>
  <c r="U668" i="1"/>
  <c r="U667" i="1"/>
  <c r="U666" i="1"/>
  <c r="U665" i="1"/>
  <c r="V666" i="1" l="1"/>
  <c r="V670" i="1"/>
  <c r="V674" i="1"/>
  <c r="V678" i="1"/>
  <c r="V684" i="1"/>
  <c r="V688" i="1"/>
  <c r="V692" i="1"/>
  <c r="V696" i="1"/>
  <c r="V701" i="1"/>
  <c r="V705" i="1"/>
  <c r="V709" i="1"/>
  <c r="V713" i="1"/>
  <c r="V667" i="1"/>
  <c r="V671" i="1"/>
  <c r="V675" i="1"/>
  <c r="V681" i="1"/>
  <c r="V685" i="1"/>
  <c r="V689" i="1"/>
  <c r="V693" i="1"/>
  <c r="V697" i="1"/>
  <c r="V702" i="1"/>
  <c r="V706" i="1"/>
  <c r="V710" i="1"/>
  <c r="V668" i="1"/>
  <c r="V672" i="1"/>
  <c r="V676" i="1"/>
  <c r="V682" i="1"/>
  <c r="V686" i="1"/>
  <c r="V690" i="1"/>
  <c r="V694" i="1"/>
  <c r="V698" i="1"/>
  <c r="V703" i="1"/>
  <c r="V707" i="1"/>
  <c r="V711" i="1"/>
  <c r="V665" i="1"/>
  <c r="V669" i="1"/>
  <c r="V673" i="1"/>
  <c r="V677" i="1"/>
  <c r="V683" i="1"/>
  <c r="V687" i="1"/>
  <c r="V691" i="1"/>
  <c r="V695" i="1"/>
  <c r="V700" i="1"/>
  <c r="V704" i="1"/>
  <c r="V708" i="1"/>
  <c r="V712" i="1"/>
  <c r="V3828" i="1"/>
  <c r="V3731" i="1"/>
  <c r="V3607" i="1" l="1"/>
  <c r="V3609" i="1"/>
  <c r="V324" i="1" l="1"/>
  <c r="V3605" i="1" l="1"/>
  <c r="V3606" i="1"/>
  <c r="V3873" i="1" l="1"/>
  <c r="V3872" i="1"/>
  <c r="V3870" i="1"/>
  <c r="V3868" i="1"/>
  <c r="V3867" i="1"/>
  <c r="V3866" i="1"/>
  <c r="V3865" i="1"/>
  <c r="V3864" i="1"/>
  <c r="V3863" i="1"/>
  <c r="V3862" i="1"/>
  <c r="V3861" i="1"/>
  <c r="V3860" i="1"/>
  <c r="V3859" i="1"/>
  <c r="U3858" i="1"/>
  <c r="V3858" i="1" s="1"/>
  <c r="V3857" i="1"/>
  <c r="V3856" i="1"/>
  <c r="U3855" i="1"/>
  <c r="V3855" i="1" s="1"/>
  <c r="V3853" i="1"/>
  <c r="V3852" i="1"/>
  <c r="V3849" i="1"/>
  <c r="V3847" i="1"/>
  <c r="V3845" i="1"/>
  <c r="V3843" i="1"/>
  <c r="V3840" i="1"/>
  <c r="V3837" i="1"/>
  <c r="V3835" i="1"/>
  <c r="V3833" i="1"/>
  <c r="V3831" i="1"/>
  <c r="V3830" i="1"/>
  <c r="V3827" i="1"/>
  <c r="U3826" i="1"/>
  <c r="V3826" i="1" s="1"/>
  <c r="V3824" i="1"/>
  <c r="U3823" i="1"/>
  <c r="V3823" i="1" s="1"/>
  <c r="U3822" i="1"/>
  <c r="V3822" i="1" s="1"/>
  <c r="V3821" i="1"/>
  <c r="V3820" i="1"/>
  <c r="V3818" i="1"/>
  <c r="V3816" i="1"/>
  <c r="V3815" i="1"/>
  <c r="V3813" i="1"/>
  <c r="V3812" i="1"/>
  <c r="V3811" i="1"/>
  <c r="V3809" i="1"/>
  <c r="V3808" i="1"/>
  <c r="V3807" i="1"/>
  <c r="V3806" i="1"/>
  <c r="V3805" i="1"/>
  <c r="V3804" i="1"/>
  <c r="V3803" i="1"/>
  <c r="V3801" i="1"/>
  <c r="V3800" i="1"/>
  <c r="V3799" i="1"/>
  <c r="V3798" i="1"/>
  <c r="V3797" i="1"/>
  <c r="V3796" i="1"/>
  <c r="V3794" i="1"/>
  <c r="V3791" i="1"/>
  <c r="V3788" i="1"/>
  <c r="V3787" i="1"/>
  <c r="V3786" i="1"/>
  <c r="V3785" i="1"/>
  <c r="V3784" i="1"/>
  <c r="V3783" i="1"/>
  <c r="V3782" i="1"/>
  <c r="V3781" i="1"/>
  <c r="U3780" i="1"/>
  <c r="V3780" i="1" s="1"/>
  <c r="V3779" i="1"/>
  <c r="V3778" i="1"/>
  <c r="V3777" i="1"/>
  <c r="V3776" i="1"/>
  <c r="U3775" i="1"/>
  <c r="V3775" i="1" s="1"/>
  <c r="V3774" i="1"/>
  <c r="V3773" i="1"/>
  <c r="V3772" i="1"/>
  <c r="V3771" i="1"/>
  <c r="U3770" i="1"/>
  <c r="V3769" i="1"/>
  <c r="V3768" i="1"/>
  <c r="V3767" i="1"/>
  <c r="V3766" i="1"/>
  <c r="V3765" i="1"/>
  <c r="V3764" i="1"/>
  <c r="U3763" i="1"/>
  <c r="V3763" i="1" s="1"/>
  <c r="V3762" i="1"/>
  <c r="V3761" i="1"/>
  <c r="V3760" i="1"/>
  <c r="V3759" i="1"/>
  <c r="V3757" i="1"/>
  <c r="V3756" i="1"/>
  <c r="V3755" i="1"/>
  <c r="V3753" i="1"/>
  <c r="V3751" i="1"/>
  <c r="V3749" i="1"/>
  <c r="V3747" i="1"/>
  <c r="V3745" i="1"/>
  <c r="V3743" i="1"/>
  <c r="V3741" i="1"/>
  <c r="U3740" i="1"/>
  <c r="V3740" i="1" s="1"/>
  <c r="V3738" i="1"/>
  <c r="V3736" i="1"/>
  <c r="V3734" i="1"/>
  <c r="V3730" i="1"/>
  <c r="V3725" i="1"/>
  <c r="U3724" i="1"/>
  <c r="V3724" i="1" s="1"/>
  <c r="V3723" i="1"/>
  <c r="V3722" i="1"/>
  <c r="V3719" i="1"/>
  <c r="V3716" i="1"/>
  <c r="V3713" i="1"/>
  <c r="V3710" i="1"/>
  <c r="V3708" i="1"/>
  <c r="V3707" i="1"/>
  <c r="V3706" i="1"/>
  <c r="U3705" i="1"/>
  <c r="V3705" i="1" s="1"/>
  <c r="V3704" i="1"/>
  <c r="U3703" i="1"/>
  <c r="V3703" i="1" s="1"/>
  <c r="V3702" i="1"/>
  <c r="U3701" i="1"/>
  <c r="V3701" i="1" s="1"/>
  <c r="V3700" i="1"/>
  <c r="V3699" i="1"/>
  <c r="V3698" i="1"/>
  <c r="V3697" i="1"/>
  <c r="U3696" i="1"/>
  <c r="V3696" i="1" s="1"/>
  <c r="V3695" i="1"/>
  <c r="V3694" i="1"/>
  <c r="V3693" i="1"/>
  <c r="V3691" i="1"/>
  <c r="U3690" i="1"/>
  <c r="V3690" i="1" s="1"/>
  <c r="V3689" i="1"/>
  <c r="V3688" i="1"/>
  <c r="V3686" i="1"/>
  <c r="V3683" i="1"/>
  <c r="V3677" i="1"/>
  <c r="V3676" i="1"/>
  <c r="V3674" i="1"/>
  <c r="V3673" i="1"/>
  <c r="V3672" i="1"/>
  <c r="V3671" i="1"/>
  <c r="V3670" i="1"/>
  <c r="V3668" i="1"/>
  <c r="V3667" i="1"/>
  <c r="V3666" i="1"/>
  <c r="V3664" i="1"/>
  <c r="V3663" i="1"/>
  <c r="V3661" i="1"/>
  <c r="V3660" i="1"/>
  <c r="V3659" i="1"/>
  <c r="V3658" i="1"/>
  <c r="V3657" i="1"/>
  <c r="V3656" i="1"/>
  <c r="U3655" i="1"/>
  <c r="V3654" i="1"/>
  <c r="V3653" i="1"/>
  <c r="V3652" i="1"/>
  <c r="V3651" i="1"/>
  <c r="V3650" i="1"/>
  <c r="V3649" i="1"/>
  <c r="V3648" i="1"/>
  <c r="V3647" i="1"/>
  <c r="V3604" i="1"/>
  <c r="V3603" i="1"/>
  <c r="V3600" i="1"/>
  <c r="V3599" i="1"/>
  <c r="V3597" i="1"/>
  <c r="V3595" i="1"/>
  <c r="V3594" i="1"/>
  <c r="V3593" i="1"/>
  <c r="V3591" i="1"/>
  <c r="V3590" i="1"/>
  <c r="V3587" i="1"/>
  <c r="V3586" i="1"/>
  <c r="V3585" i="1"/>
  <c r="V3583" i="1"/>
  <c r="V3580" i="1"/>
  <c r="V3576" i="1"/>
  <c r="V3574" i="1"/>
  <c r="V3572" i="1"/>
  <c r="V3570" i="1"/>
  <c r="V3565" i="1"/>
  <c r="V3564" i="1"/>
  <c r="V3563" i="1"/>
  <c r="V3561" i="1"/>
  <c r="V3560" i="1"/>
  <c r="U664" i="1"/>
  <c r="U663" i="1"/>
  <c r="U662" i="1"/>
  <c r="U661" i="1"/>
  <c r="U660" i="1"/>
  <c r="U659" i="1"/>
  <c r="U658" i="1"/>
  <c r="U657" i="1"/>
  <c r="U656" i="1"/>
  <c r="U655" i="1"/>
  <c r="U654" i="1"/>
  <c r="U653" i="1"/>
  <c r="U652" i="1"/>
  <c r="U651" i="1"/>
  <c r="U650" i="1"/>
  <c r="U649" i="1"/>
  <c r="U648" i="1"/>
  <c r="U647" i="1"/>
  <c r="U646" i="1"/>
  <c r="U645" i="1"/>
  <c r="U644" i="1"/>
  <c r="U643" i="1"/>
  <c r="U642" i="1"/>
  <c r="U641" i="1"/>
  <c r="U640" i="1"/>
  <c r="U639" i="1"/>
  <c r="U638" i="1"/>
  <c r="U637" i="1"/>
  <c r="U636" i="1"/>
  <c r="U635" i="1"/>
  <c r="U634" i="1"/>
  <c r="U633" i="1"/>
  <c r="U632" i="1"/>
  <c r="U631" i="1"/>
  <c r="U630" i="1"/>
  <c r="U629" i="1"/>
  <c r="U628" i="1"/>
  <c r="U627" i="1"/>
  <c r="U626" i="1"/>
  <c r="U625" i="1"/>
  <c r="U624" i="1"/>
  <c r="U623" i="1"/>
  <c r="U622" i="1"/>
  <c r="U621" i="1"/>
  <c r="U620" i="1"/>
  <c r="U619" i="1"/>
  <c r="U618" i="1"/>
  <c r="U617" i="1"/>
  <c r="U616" i="1"/>
  <c r="U615" i="1"/>
  <c r="U614" i="1"/>
  <c r="U613" i="1"/>
  <c r="U612" i="1"/>
  <c r="U611" i="1"/>
  <c r="U610" i="1"/>
  <c r="U609" i="1"/>
  <c r="U608" i="1"/>
  <c r="U607" i="1"/>
  <c r="U606" i="1"/>
  <c r="U605" i="1"/>
  <c r="U604" i="1"/>
  <c r="U603" i="1"/>
  <c r="U602" i="1"/>
  <c r="U601" i="1"/>
  <c r="U600" i="1"/>
  <c r="U599" i="1"/>
  <c r="U598" i="1"/>
  <c r="U597" i="1"/>
  <c r="U596" i="1"/>
  <c r="U595" i="1"/>
  <c r="U594" i="1"/>
  <c r="U593" i="1"/>
  <c r="U592" i="1"/>
  <c r="U591" i="1"/>
  <c r="U590" i="1"/>
  <c r="U589" i="1"/>
  <c r="U588" i="1"/>
  <c r="U587" i="1"/>
  <c r="U586" i="1"/>
  <c r="U585" i="1"/>
  <c r="U584" i="1"/>
  <c r="U583" i="1"/>
  <c r="U582" i="1"/>
  <c r="U581" i="1"/>
  <c r="U580" i="1"/>
  <c r="U579" i="1"/>
  <c r="U578" i="1"/>
  <c r="U577" i="1"/>
  <c r="U576" i="1"/>
  <c r="U575" i="1"/>
  <c r="U574" i="1"/>
  <c r="U573" i="1"/>
  <c r="U572" i="1"/>
  <c r="U571" i="1"/>
  <c r="U570" i="1"/>
  <c r="U569" i="1"/>
  <c r="U568" i="1"/>
  <c r="U567" i="1"/>
  <c r="U566" i="1"/>
  <c r="U565" i="1"/>
  <c r="U564" i="1"/>
  <c r="V564" i="1" s="1"/>
  <c r="U563" i="1"/>
  <c r="U562" i="1"/>
  <c r="V562" i="1" s="1"/>
  <c r="U561" i="1"/>
  <c r="V561" i="1" s="1"/>
  <c r="U560" i="1"/>
  <c r="V560" i="1" s="1"/>
  <c r="U559" i="1"/>
  <c r="U558" i="1"/>
  <c r="U557" i="1"/>
  <c r="U556" i="1"/>
  <c r="U555" i="1"/>
  <c r="V555" i="1" s="1"/>
  <c r="U554" i="1"/>
  <c r="U553" i="1"/>
  <c r="V553" i="1" s="1"/>
  <c r="U552" i="1"/>
  <c r="U551" i="1"/>
  <c r="U550" i="1"/>
  <c r="V550" i="1" s="1"/>
  <c r="U549" i="1"/>
  <c r="V549" i="1" s="1"/>
  <c r="U548" i="1"/>
  <c r="V548" i="1" s="1"/>
  <c r="U547" i="1"/>
  <c r="U546" i="1"/>
  <c r="V546" i="1" s="1"/>
  <c r="U545" i="1"/>
  <c r="U544" i="1"/>
  <c r="V544" i="1" s="1"/>
  <c r="U543" i="1"/>
  <c r="U542" i="1"/>
  <c r="V542" i="1" s="1"/>
  <c r="U541" i="1"/>
  <c r="V541" i="1" s="1"/>
  <c r="U540" i="1"/>
  <c r="V540" i="1" s="1"/>
  <c r="U539" i="1"/>
  <c r="V539" i="1" s="1"/>
  <c r="U538" i="1"/>
  <c r="V538" i="1" s="1"/>
  <c r="U537" i="1"/>
  <c r="V537" i="1" s="1"/>
  <c r="U536" i="1"/>
  <c r="V536" i="1" s="1"/>
  <c r="U535" i="1"/>
  <c r="V535" i="1" s="1"/>
  <c r="U534" i="1"/>
  <c r="V534" i="1" s="1"/>
  <c r="U533" i="1"/>
  <c r="V533" i="1" s="1"/>
  <c r="U532" i="1"/>
  <c r="V532" i="1" s="1"/>
  <c r="U531" i="1"/>
  <c r="V531" i="1" s="1"/>
  <c r="U530" i="1"/>
  <c r="U529" i="1"/>
  <c r="V529" i="1" s="1"/>
  <c r="U528" i="1"/>
  <c r="U527" i="1"/>
  <c r="U526" i="1"/>
  <c r="U525" i="1"/>
  <c r="V525" i="1" s="1"/>
  <c r="U524" i="1"/>
  <c r="U523" i="1"/>
  <c r="V523" i="1" s="1"/>
  <c r="U522" i="1"/>
  <c r="U521" i="1"/>
  <c r="V521" i="1" s="1"/>
  <c r="U520" i="1"/>
  <c r="V520" i="1" s="1"/>
  <c r="U519" i="1"/>
  <c r="V519" i="1" s="1"/>
  <c r="U518" i="1"/>
  <c r="U517" i="1"/>
  <c r="V517" i="1" s="1"/>
  <c r="U516" i="1"/>
  <c r="V516" i="1" s="1"/>
  <c r="U515" i="1"/>
  <c r="V515" i="1" s="1"/>
  <c r="U514" i="1"/>
  <c r="U513" i="1"/>
  <c r="V513" i="1" s="1"/>
  <c r="U512" i="1"/>
  <c r="U511" i="1"/>
  <c r="V511" i="1" s="1"/>
  <c r="U510" i="1"/>
  <c r="U509" i="1"/>
  <c r="U508" i="1"/>
  <c r="U507" i="1"/>
  <c r="V507" i="1" s="1"/>
  <c r="U506" i="1"/>
  <c r="V506" i="1" s="1"/>
  <c r="U505" i="1"/>
  <c r="V505" i="1" s="1"/>
  <c r="U504" i="1"/>
  <c r="U503" i="1"/>
  <c r="V503" i="1" s="1"/>
  <c r="U502" i="1"/>
  <c r="V502" i="1" s="1"/>
  <c r="U501" i="1"/>
  <c r="V501" i="1" s="1"/>
  <c r="U500" i="1"/>
  <c r="V500" i="1" s="1"/>
  <c r="U499" i="1"/>
  <c r="V499" i="1" s="1"/>
  <c r="U498" i="1"/>
  <c r="V498" i="1" s="1"/>
  <c r="U497" i="1"/>
  <c r="V497" i="1" s="1"/>
  <c r="U496" i="1"/>
  <c r="V496" i="1" s="1"/>
  <c r="U495" i="1"/>
  <c r="V495" i="1" s="1"/>
  <c r="U494" i="1"/>
  <c r="V494" i="1" s="1"/>
  <c r="U493" i="1"/>
  <c r="V493" i="1" s="1"/>
  <c r="U492" i="1"/>
  <c r="U491" i="1"/>
  <c r="U490" i="1"/>
  <c r="U489" i="1"/>
  <c r="V489" i="1" s="1"/>
  <c r="U488" i="1"/>
  <c r="V488" i="1" s="1"/>
  <c r="U487" i="1"/>
  <c r="V487" i="1" s="1"/>
  <c r="U486" i="1"/>
  <c r="V486" i="1" s="1"/>
  <c r="U485" i="1"/>
  <c r="V485" i="1" s="1"/>
  <c r="U484" i="1"/>
  <c r="U483" i="1"/>
  <c r="V483" i="1" s="1"/>
  <c r="U482" i="1"/>
  <c r="U481" i="1"/>
  <c r="U480" i="1"/>
  <c r="U479" i="1"/>
  <c r="U478" i="1"/>
  <c r="U477" i="1"/>
  <c r="U476" i="1"/>
  <c r="U475" i="1"/>
  <c r="U474" i="1"/>
  <c r="U473" i="1"/>
  <c r="U472" i="1"/>
  <c r="U471" i="1"/>
  <c r="U470" i="1"/>
  <c r="U469" i="1"/>
  <c r="U468" i="1"/>
  <c r="V468" i="1" s="1"/>
  <c r="U467" i="1"/>
  <c r="U466" i="1"/>
  <c r="V466" i="1" s="1"/>
  <c r="U465" i="1"/>
  <c r="U464" i="1"/>
  <c r="U463" i="1"/>
  <c r="U462" i="1"/>
  <c r="U461" i="1"/>
  <c r="V461" i="1" s="1"/>
  <c r="U460" i="1"/>
  <c r="U459" i="1"/>
  <c r="U458" i="1"/>
  <c r="U457" i="1"/>
  <c r="U456" i="1"/>
  <c r="V456" i="1" s="1"/>
  <c r="U455" i="1"/>
  <c r="U454" i="1"/>
  <c r="U453" i="1"/>
  <c r="U452" i="1"/>
  <c r="V452" i="1" s="1"/>
  <c r="U451" i="1"/>
  <c r="U450" i="1"/>
  <c r="U449" i="1"/>
  <c r="U448" i="1"/>
  <c r="V448" i="1" s="1"/>
  <c r="U447" i="1"/>
  <c r="U446" i="1"/>
  <c r="V446" i="1" s="1"/>
  <c r="U445" i="1"/>
  <c r="U444" i="1"/>
  <c r="V444" i="1" s="1"/>
  <c r="U443" i="1"/>
  <c r="V443" i="1" s="1"/>
  <c r="U442" i="1"/>
  <c r="V442" i="1" s="1"/>
  <c r="U441" i="1"/>
  <c r="V441" i="1" s="1"/>
  <c r="U440" i="1"/>
  <c r="V440" i="1" s="1"/>
  <c r="U439" i="1"/>
  <c r="V439" i="1" s="1"/>
  <c r="U438" i="1"/>
  <c r="U437" i="1"/>
  <c r="V437" i="1" s="1"/>
  <c r="U436" i="1"/>
  <c r="U435" i="1"/>
  <c r="V435" i="1" s="1"/>
  <c r="U434" i="1"/>
  <c r="V434" i="1" s="1"/>
  <c r="U433" i="1"/>
  <c r="U432" i="1"/>
  <c r="U431" i="1"/>
  <c r="V431" i="1" s="1"/>
  <c r="U430" i="1"/>
  <c r="U429" i="1"/>
  <c r="U428" i="1"/>
  <c r="U427" i="1"/>
  <c r="V427" i="1" s="1"/>
  <c r="U426" i="1"/>
  <c r="V426" i="1" s="1"/>
  <c r="U425" i="1"/>
  <c r="U424" i="1"/>
  <c r="V424" i="1" s="1"/>
  <c r="U423" i="1"/>
  <c r="U422" i="1"/>
  <c r="V422" i="1" s="1"/>
  <c r="U421" i="1"/>
  <c r="U420" i="1"/>
  <c r="U419" i="1"/>
  <c r="V419" i="1" s="1"/>
  <c r="U418" i="1"/>
  <c r="V418" i="1" s="1"/>
  <c r="U417" i="1"/>
  <c r="U416" i="1"/>
  <c r="V416" i="1" s="1"/>
  <c r="U415" i="1"/>
  <c r="U414" i="1"/>
  <c r="U413" i="1"/>
  <c r="V413" i="1" s="1"/>
  <c r="U412" i="1"/>
  <c r="V412" i="1" s="1"/>
  <c r="U411" i="1"/>
  <c r="V411" i="1" s="1"/>
  <c r="U410" i="1"/>
  <c r="U409" i="1"/>
  <c r="V409" i="1" s="1"/>
  <c r="U408" i="1"/>
  <c r="V408" i="1" s="1"/>
  <c r="U407" i="1"/>
  <c r="V407" i="1" s="1"/>
  <c r="U406" i="1"/>
  <c r="V406" i="1" s="1"/>
  <c r="U405" i="1"/>
  <c r="U404" i="1"/>
  <c r="U403" i="1"/>
  <c r="U402" i="1"/>
  <c r="U401" i="1"/>
  <c r="U400" i="1"/>
  <c r="V400" i="1" s="1"/>
  <c r="U399" i="1"/>
  <c r="U398" i="1"/>
  <c r="V398" i="1" s="1"/>
  <c r="U397" i="1"/>
  <c r="V397" i="1" s="1"/>
  <c r="U396" i="1"/>
  <c r="U395" i="1"/>
  <c r="U394" i="1"/>
  <c r="V394" i="1" s="1"/>
  <c r="U393" i="1"/>
  <c r="V393" i="1" s="1"/>
  <c r="U392" i="1"/>
  <c r="V392" i="1" s="1"/>
  <c r="U391" i="1"/>
  <c r="V391" i="1" s="1"/>
  <c r="U390" i="1"/>
  <c r="U389" i="1"/>
  <c r="U388" i="1"/>
  <c r="V388" i="1" s="1"/>
  <c r="U387" i="1"/>
  <c r="V387" i="1" s="1"/>
  <c r="U386" i="1"/>
  <c r="V386" i="1" s="1"/>
  <c r="U385" i="1"/>
  <c r="V385" i="1" s="1"/>
  <c r="U384" i="1"/>
  <c r="U383" i="1"/>
  <c r="U382" i="1"/>
  <c r="V382" i="1" s="1"/>
  <c r="U381" i="1"/>
  <c r="V381" i="1" s="1"/>
  <c r="U380" i="1"/>
  <c r="V380" i="1" s="1"/>
  <c r="U379" i="1"/>
  <c r="V379" i="1" s="1"/>
  <c r="U378" i="1"/>
  <c r="V378" i="1" s="1"/>
  <c r="U377" i="1"/>
  <c r="U376" i="1"/>
  <c r="U375" i="1"/>
  <c r="U374" i="1"/>
  <c r="U373" i="1"/>
  <c r="U372" i="1"/>
  <c r="U371" i="1"/>
  <c r="U370" i="1"/>
  <c r="U369" i="1"/>
  <c r="U368" i="1"/>
  <c r="V365" i="1"/>
  <c r="V361" i="1"/>
  <c r="V357" i="1"/>
  <c r="V353" i="1"/>
  <c r="V349" i="1"/>
  <c r="V346" i="1"/>
  <c r="V343" i="1"/>
  <c r="V340" i="1"/>
  <c r="V337" i="1"/>
  <c r="V334" i="1"/>
  <c r="V331" i="1"/>
  <c r="T329" i="1"/>
  <c r="V329" i="1" s="1"/>
  <c r="V328" i="1"/>
  <c r="T328" i="1"/>
  <c r="T327" i="1"/>
  <c r="U327" i="1" s="1"/>
  <c r="V327" i="1" s="1"/>
  <c r="V326" i="1"/>
  <c r="T326" i="1"/>
  <c r="V323" i="1"/>
  <c r="V320" i="1"/>
  <c r="T319" i="1"/>
  <c r="U319" i="1" s="1"/>
  <c r="V319" i="1" s="1"/>
  <c r="T318" i="1"/>
  <c r="U318" i="1" s="1"/>
  <c r="V318" i="1" s="1"/>
  <c r="T317" i="1"/>
  <c r="U317" i="1" s="1"/>
  <c r="V317" i="1" s="1"/>
  <c r="V316" i="1"/>
  <c r="T316" i="1"/>
  <c r="T314" i="1"/>
  <c r="V314" i="1" s="1"/>
  <c r="V313" i="1"/>
  <c r="T313" i="1"/>
  <c r="T312" i="1"/>
  <c r="U312" i="1" s="1"/>
  <c r="V312" i="1" s="1"/>
  <c r="T311" i="1"/>
  <c r="U311" i="1" s="1"/>
  <c r="V311" i="1" s="1"/>
  <c r="T310" i="1"/>
  <c r="U310" i="1" s="1"/>
  <c r="V310" i="1" s="1"/>
  <c r="T309" i="1"/>
  <c r="U309" i="1" s="1"/>
  <c r="V309" i="1" s="1"/>
  <c r="U308" i="1"/>
  <c r="U307" i="1"/>
  <c r="V307" i="1" s="1"/>
  <c r="U306" i="1"/>
  <c r="V305" i="1"/>
  <c r="S305" i="1"/>
  <c r="U304" i="1"/>
  <c r="V303" i="1"/>
  <c r="S303" i="1"/>
  <c r="V299" i="1"/>
  <c r="V297" i="1"/>
  <c r="V295" i="1"/>
  <c r="V293" i="1"/>
  <c r="V291" i="1"/>
  <c r="V289" i="1"/>
  <c r="V287" i="1"/>
  <c r="V285" i="1"/>
  <c r="V283" i="1"/>
  <c r="V281" i="1"/>
  <c r="V279" i="1"/>
  <c r="V277" i="1"/>
  <c r="V275" i="1"/>
  <c r="V273" i="1"/>
  <c r="V271" i="1"/>
  <c r="V269" i="1"/>
  <c r="V267" i="1"/>
  <c r="V265" i="1"/>
  <c r="V263" i="1"/>
  <c r="V260" i="1"/>
  <c r="V258" i="1"/>
  <c r="V256" i="1"/>
  <c r="V254" i="1"/>
  <c r="V252" i="1"/>
  <c r="V250" i="1"/>
  <c r="V248" i="1"/>
  <c r="V246" i="1"/>
  <c r="V244" i="1"/>
  <c r="V242" i="1"/>
  <c r="V240" i="1"/>
  <c r="V238" i="1"/>
  <c r="V236" i="1"/>
  <c r="V234" i="1"/>
  <c r="V232" i="1"/>
  <c r="V230" i="1"/>
  <c r="V228" i="1"/>
  <c r="V226" i="1"/>
  <c r="V224" i="1"/>
  <c r="V222" i="1"/>
  <c r="V220" i="1"/>
  <c r="V218" i="1"/>
  <c r="V216" i="1"/>
  <c r="V214" i="1"/>
  <c r="V212" i="1"/>
  <c r="V210" i="1"/>
  <c r="V208" i="1"/>
  <c r="V206" i="1"/>
  <c r="V204" i="1"/>
  <c r="V202" i="1"/>
  <c r="V200" i="1"/>
  <c r="V198" i="1"/>
  <c r="V196" i="1"/>
  <c r="V194" i="1"/>
  <c r="V192" i="1"/>
  <c r="V190" i="1"/>
  <c r="V188" i="1"/>
  <c r="V186" i="1"/>
  <c r="V184" i="1"/>
  <c r="V182" i="1"/>
  <c r="V180" i="1"/>
  <c r="V178" i="1"/>
  <c r="V176" i="1"/>
  <c r="V174" i="1"/>
  <c r="V172" i="1"/>
  <c r="V170" i="1"/>
  <c r="V168" i="1"/>
  <c r="V166" i="1"/>
  <c r="V164" i="1"/>
  <c r="V162" i="1"/>
  <c r="V160" i="1"/>
  <c r="V158" i="1"/>
  <c r="V156" i="1"/>
  <c r="V154" i="1"/>
  <c r="V152" i="1"/>
  <c r="V150" i="1"/>
  <c r="V148" i="1"/>
  <c r="V146" i="1"/>
  <c r="V144" i="1"/>
  <c r="V142" i="1"/>
  <c r="V140" i="1"/>
  <c r="V138" i="1"/>
  <c r="V136" i="1"/>
  <c r="V134" i="1"/>
  <c r="V132" i="1"/>
  <c r="V130" i="1"/>
  <c r="V128" i="1"/>
  <c r="V126" i="1"/>
  <c r="V124" i="1"/>
  <c r="V122" i="1"/>
  <c r="V120" i="1"/>
  <c r="V118" i="1"/>
  <c r="V116" i="1"/>
  <c r="V114" i="1"/>
  <c r="V112" i="1"/>
  <c r="V110" i="1"/>
  <c r="V108" i="1"/>
  <c r="V106" i="1"/>
  <c r="V104" i="1"/>
  <c r="V102" i="1"/>
  <c r="V100" i="1"/>
  <c r="V98" i="1"/>
  <c r="V96" i="1"/>
  <c r="V92" i="1"/>
  <c r="V90" i="1"/>
  <c r="V88" i="1"/>
  <c r="V86" i="1"/>
  <c r="V84" i="1"/>
  <c r="V82" i="1"/>
  <c r="V80" i="1"/>
  <c r="V78" i="1"/>
  <c r="V76" i="1"/>
  <c r="V74" i="1"/>
  <c r="V72" i="1"/>
  <c r="V70" i="1"/>
  <c r="V68" i="1"/>
  <c r="V66" i="1"/>
  <c r="V64" i="1"/>
  <c r="V62" i="1"/>
  <c r="V60" i="1"/>
  <c r="V58" i="1"/>
  <c r="V56" i="1"/>
  <c r="V54" i="1"/>
  <c r="V52" i="1"/>
  <c r="V49" i="1"/>
  <c r="V47" i="1"/>
  <c r="V45" i="1"/>
  <c r="V43" i="1"/>
  <c r="V41" i="1"/>
  <c r="V39" i="1"/>
  <c r="V37" i="1"/>
  <c r="V35" i="1"/>
  <c r="V648" i="1" l="1"/>
  <c r="V420" i="1"/>
  <c r="V432" i="1"/>
  <c r="V377" i="1"/>
  <c r="V389" i="1"/>
  <c r="V417" i="1"/>
  <c r="V421" i="1"/>
  <c r="V433" i="1"/>
  <c r="V414" i="1"/>
  <c r="V383" i="1"/>
  <c r="V423" i="1"/>
  <c r="V447" i="1"/>
  <c r="V428" i="1"/>
  <c r="V405" i="1"/>
  <c r="V425" i="1"/>
  <c r="V429" i="1"/>
  <c r="V445" i="1"/>
  <c r="V449" i="1"/>
  <c r="V402" i="1"/>
  <c r="V403" i="1"/>
  <c r="V415" i="1"/>
  <c r="V451" i="1"/>
  <c r="V460" i="1"/>
  <c r="V492" i="1"/>
  <c r="V528" i="1"/>
  <c r="V390" i="1"/>
  <c r="V438" i="1"/>
  <c r="V490" i="1"/>
  <c r="V395" i="1"/>
  <c r="V399" i="1"/>
  <c r="V467" i="1"/>
  <c r="V491" i="1"/>
  <c r="V527" i="1"/>
  <c r="V404" i="1"/>
  <c r="V401" i="1"/>
  <c r="V453" i="1"/>
  <c r="V455" i="1"/>
  <c r="V463" i="1"/>
  <c r="V410" i="1"/>
  <c r="V430" i="1"/>
  <c r="V450" i="1"/>
  <c r="V454" i="1"/>
  <c r="V462" i="1"/>
  <c r="V372" i="1"/>
  <c r="V376" i="1"/>
  <c r="V369" i="1"/>
  <c r="V370" i="1"/>
  <c r="V374" i="1"/>
  <c r="V368" i="1"/>
  <c r="V373" i="1"/>
  <c r="V371" i="1"/>
  <c r="V375" i="1"/>
  <c r="V650" i="1"/>
  <c r="V654" i="1"/>
  <c r="V658" i="1"/>
  <c r="V662" i="1"/>
  <c r="V652" i="1"/>
  <c r="V660" i="1"/>
  <c r="V653" i="1"/>
  <c r="V657" i="1"/>
  <c r="V661" i="1"/>
  <c r="V651" i="1"/>
  <c r="V655" i="1"/>
  <c r="V659" i="1"/>
  <c r="V384" i="1"/>
  <c r="V436" i="1"/>
  <c r="V464" i="1"/>
  <c r="V458" i="1"/>
  <c r="V396" i="1"/>
  <c r="V457" i="1"/>
  <c r="V465" i="1"/>
  <c r="V459" i="1"/>
  <c r="U3909" i="1"/>
  <c r="V3770" i="1"/>
  <c r="V476" i="1"/>
  <c r="V504" i="1"/>
  <c r="V512" i="1"/>
  <c r="V552" i="1"/>
  <c r="V473" i="1"/>
  <c r="V557" i="1"/>
  <c r="V565" i="1"/>
  <c r="V470" i="1"/>
  <c r="V474" i="1"/>
  <c r="V478" i="1"/>
  <c r="V482" i="1"/>
  <c r="V510" i="1"/>
  <c r="V514" i="1"/>
  <c r="V518" i="1"/>
  <c r="V522" i="1"/>
  <c r="V526" i="1"/>
  <c r="V530" i="1"/>
  <c r="V554" i="1"/>
  <c r="V558" i="1"/>
  <c r="V566" i="1"/>
  <c r="V472" i="1"/>
  <c r="V480" i="1"/>
  <c r="V484" i="1"/>
  <c r="V508" i="1"/>
  <c r="V524" i="1"/>
  <c r="V556" i="1"/>
  <c r="V469" i="1"/>
  <c r="V477" i="1"/>
  <c r="V481" i="1"/>
  <c r="V509" i="1"/>
  <c r="V545" i="1"/>
  <c r="V471" i="1"/>
  <c r="V475" i="1"/>
  <c r="V479" i="1"/>
  <c r="V543" i="1"/>
  <c r="V547" i="1"/>
  <c r="V551" i="1"/>
  <c r="V559" i="1"/>
  <c r="V563" i="1"/>
  <c r="V567" i="1"/>
  <c r="V568" i="1"/>
  <c r="V572" i="1"/>
  <c r="V576" i="1"/>
  <c r="V580" i="1"/>
  <c r="V584" i="1"/>
  <c r="V588" i="1"/>
  <c r="V592" i="1"/>
  <c r="V596" i="1"/>
  <c r="V600" i="1"/>
  <c r="V604" i="1"/>
  <c r="V608" i="1"/>
  <c r="V612" i="1"/>
  <c r="V616" i="1"/>
  <c r="V620" i="1"/>
  <c r="V624" i="1"/>
  <c r="V628" i="1"/>
  <c r="V632" i="1"/>
  <c r="V636" i="1"/>
  <c r="V640" i="1"/>
  <c r="V644" i="1"/>
  <c r="V656" i="1"/>
  <c r="V664" i="1"/>
  <c r="V569" i="1"/>
  <c r="V573" i="1"/>
  <c r="V577" i="1"/>
  <c r="V581" i="1"/>
  <c r="V585" i="1"/>
  <c r="V589" i="1"/>
  <c r="V593" i="1"/>
  <c r="V597" i="1"/>
  <c r="V601" i="1"/>
  <c r="V605" i="1"/>
  <c r="V609" i="1"/>
  <c r="V613" i="1"/>
  <c r="V617" i="1"/>
  <c r="V621" i="1"/>
  <c r="V625" i="1"/>
  <c r="V629" i="1"/>
  <c r="V633" i="1"/>
  <c r="V637" i="1"/>
  <c r="V641" i="1"/>
  <c r="V645" i="1"/>
  <c r="V649" i="1"/>
  <c r="V570" i="1"/>
  <c r="V574" i="1"/>
  <c r="V578" i="1"/>
  <c r="V582" i="1"/>
  <c r="V586" i="1"/>
  <c r="V590" i="1"/>
  <c r="V594" i="1"/>
  <c r="V598" i="1"/>
  <c r="V602" i="1"/>
  <c r="V606" i="1"/>
  <c r="V610" i="1"/>
  <c r="V614" i="1"/>
  <c r="V618" i="1"/>
  <c r="V622" i="1"/>
  <c r="V626" i="1"/>
  <c r="V630" i="1"/>
  <c r="V634" i="1"/>
  <c r="V638" i="1"/>
  <c r="V642" i="1"/>
  <c r="V646" i="1"/>
  <c r="V571" i="1"/>
  <c r="V575" i="1"/>
  <c r="V579" i="1"/>
  <c r="V583" i="1"/>
  <c r="V587" i="1"/>
  <c r="V591" i="1"/>
  <c r="V595" i="1"/>
  <c r="V599" i="1"/>
  <c r="V603" i="1"/>
  <c r="V607" i="1"/>
  <c r="V611" i="1"/>
  <c r="V615" i="1"/>
  <c r="V619" i="1"/>
  <c r="V623" i="1"/>
  <c r="V627" i="1"/>
  <c r="V631" i="1"/>
  <c r="V635" i="1"/>
  <c r="V639" i="1"/>
  <c r="V643" i="1"/>
  <c r="V647" i="1"/>
  <c r="V663" i="1"/>
  <c r="V306" i="1"/>
  <c r="V304" i="1"/>
  <c r="V3581" i="1"/>
  <c r="V301" i="1"/>
  <c r="V3567" i="1"/>
  <c r="V3655" i="1"/>
  <c r="V33" i="1"/>
  <c r="S308" i="1"/>
  <c r="V308" i="1"/>
  <c r="S304" i="1"/>
  <c r="V3909" i="1" l="1"/>
  <c r="V3645" i="1"/>
  <c r="V3531" i="1"/>
  <c r="U3558" i="1"/>
  <c r="U3911" i="1" s="1"/>
  <c r="V3558" i="1" l="1"/>
</calcChain>
</file>

<file path=xl/comments1.xml><?xml version="1.0" encoding="utf-8"?>
<comments xmlns="http://schemas.openxmlformats.org/spreadsheetml/2006/main">
  <authors>
    <author>Гульнара Бейсенова</author>
  </authors>
  <commentList>
    <comment ref="T462" authorId="0">
      <text>
        <r>
          <rPr>
            <b/>
            <sz val="9"/>
            <color indexed="81"/>
            <rFont val="Tahoma"/>
            <family val="2"/>
            <charset val="204"/>
          </rPr>
          <t xml:space="preserve">Гульнара Бейсенова:цена за комплект
</t>
        </r>
      </text>
    </comment>
  </commentList>
</comments>
</file>

<file path=xl/sharedStrings.xml><?xml version="1.0" encoding="utf-8"?>
<sst xmlns="http://schemas.openxmlformats.org/spreadsheetml/2006/main" count="56700" uniqueCount="9804">
  <si>
    <t>Приложение №1 к Инструкции о порядке составления и представления отчетности по вопросам закупок, утвержденной решением Правлением АО "Самрук-Казына (протокол № ____ от ______)</t>
  </si>
  <si>
    <t xml:space="preserve">                                                                                                                                                                                  </t>
  </si>
  <si>
    <t xml:space="preserve">№ </t>
  </si>
  <si>
    <t>Наименование организации</t>
  </si>
  <si>
    <t>Код  ТРУ</t>
  </si>
  <si>
    <t xml:space="preserve">Наименование закупаемых товаров, работ и услуг </t>
  </si>
  <si>
    <t xml:space="preserve">Краткая характеристика (описание) товаров, работ и услуг </t>
  </si>
  <si>
    <t>Дополнительная характеристика</t>
  </si>
  <si>
    <t>Способ закупок</t>
  </si>
  <si>
    <t>Прогноз местного содержания, %</t>
  </si>
  <si>
    <t>Код КАТО места осуществления закупок</t>
  </si>
  <si>
    <t xml:space="preserve">Место (адрес)  осуществления закупок </t>
  </si>
  <si>
    <t>Срок осуществления закупок (предполагаемая дата/месяц проведения)</t>
  </si>
  <si>
    <t>Регион, место поставки товара, выполнения работ, оказания услуг</t>
  </si>
  <si>
    <t>Условия поставки по ИНКОТЕРМС 2010</t>
  </si>
  <si>
    <t>Сроки и график поставки товаров, выполнения работ, оказания услуг</t>
  </si>
  <si>
    <t>Условия оплаты (размер авансового платежа), %</t>
  </si>
  <si>
    <t>Код единицы измерения по МКЕИ</t>
  </si>
  <si>
    <t>Ед. измерен.</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</si>
  <si>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</si>
  <si>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</si>
  <si>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</si>
  <si>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</si>
  <si>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</si>
  <si>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Год закупки</t>
  </si>
  <si>
    <t>Примечание</t>
  </si>
  <si>
    <t>1.Товары</t>
  </si>
  <si>
    <t>1 Т</t>
  </si>
  <si>
    <t>2 Т</t>
  </si>
  <si>
    <t>3 Т</t>
  </si>
  <si>
    <t>итого по товарам</t>
  </si>
  <si>
    <t>2.Работы</t>
  </si>
  <si>
    <t>1 Р</t>
  </si>
  <si>
    <t>2 Р</t>
  </si>
  <si>
    <t>3 Р</t>
  </si>
  <si>
    <t>итого по работам</t>
  </si>
  <si>
    <t>3.Услуги</t>
  </si>
  <si>
    <t>1 У</t>
  </si>
  <si>
    <t>2 У</t>
  </si>
  <si>
    <t>3 У</t>
  </si>
  <si>
    <t>итого по услугам</t>
  </si>
  <si>
    <t>План закупок составляется и утверждается идентичным на государственном и русском языках.</t>
  </si>
  <si>
    <t>Форма отчетности должна представляться в электронном виде, шрифт - Times New Roman, кегль - 10. Изменение формы отчетности не допускается.</t>
  </si>
  <si>
    <t>План закупок на планируемый период формируется на основе производственной программы и (или) инвестиционной программы и (или) бюджета и (или) плана развития и (или) бизнес-плана. План(ы) закупок в отношении товаров формируется в разрезе номенклатуры товаров</t>
  </si>
  <si>
    <t>Руководство по заполнению Формы плана закупок товаров, работ и услуг:</t>
  </si>
  <si>
    <t xml:space="preserve">Номер строки плана закупок. </t>
  </si>
  <si>
    <t>Порядок нумерации строк плана закупок.</t>
  </si>
  <si>
    <t>При формировании плана закупок:</t>
  </si>
  <si>
    <t xml:space="preserve"> - каждой строке плана закупок присваивается цифро-буквенное обозначение  соответствующего раздела. Цифра от буквы должна быть разделена пробелом.</t>
  </si>
  <si>
    <t xml:space="preserve">Пример: 15 Т - порядковый номер пятнадцатой строки раздела "Товары", 2 Р - порядковый номер второй строки раздела "Работы"  </t>
  </si>
  <si>
    <t xml:space="preserve">2 У - порядковый номер второй строки раздела "Услуги"  </t>
  </si>
  <si>
    <t xml:space="preserve"> - нумерация строки каждого раздела начинается с "1". </t>
  </si>
  <si>
    <t>При внесении изменений и/или дополнений в план закупок:</t>
  </si>
  <si>
    <t xml:space="preserve"> - при исключении строки (исключения позиции из плана закупок) - соответствующее цифро-буквенное обозначение строки остается, при этом в соответствующих строках граф  20, 21указывается "0", а в столбце Примечание указывается - "исключена".</t>
  </si>
  <si>
    <t xml:space="preserve"> - при внесении изменений в план закупок (количества, суммы, места и условия поставки и т.д.) - соответствующее цифрово-буквенное обозначение строки остается,  </t>
  </si>
  <si>
    <t xml:space="preserve">при этом в графе "Примечание" по данной строке  указывается графа, в которой произошли изменения, суммы в графах 20, 21 изменяемых строк отражаются как "0". Под соответствующей строкой добавляется строка с тем же порядковым номером. </t>
  </si>
  <si>
    <t>и буквенным обозначением и добавлением дополнительной нумерации. Пример: для изменения строки 2 Т, измененная строка нумеруется как 2-1 Т, при последующем изменении нумерация будет 2-2 Т и т.д.</t>
  </si>
  <si>
    <t xml:space="preserve"> - в случае внесения дополнений в план закупок - соответствующая строка добавляется за последней порядковой строкой соответствующего раздела.</t>
  </si>
  <si>
    <t>- в случае внесения изменений или дополнений в план закупок, в верхнем правом углу помимо даты первичного утверждения указывается дата и номер внесения изменений или дополнений.</t>
  </si>
  <si>
    <t>Наименование организации.</t>
  </si>
  <si>
    <t>Код ТРУ . Указывается код товара, работы или услуги  на уровне 14 символов из кодов ЕНС ТРУ для работ и услуг, 17 символов - для товаров. Пример: 01.11.12.00.00.10.10.10.1</t>
  </si>
  <si>
    <t>Наименование ТРУ. Заполняется согласно соответствующего кода ЕНС ТРУ .</t>
  </si>
  <si>
    <t>Краткая характеристика ТРУ. Заполняется согласно соответствующего кода ЕНС ТРУ. Номенклатура работ должна содержать сведения об объемах товаров, приобретаемых в рамках выполнения данных работ. При этом указание сведений об объемах товаров оформляется в виде отдельного приложения (неотъемлемая часть) Плана закупок.</t>
  </si>
  <si>
    <t>Дополнительная характеристика. В данной графе указывается дополнительная (уточняющая) характеристика закупаемых товаров, работ или услуг; заполняется в случае необходимости.</t>
  </si>
  <si>
    <t xml:space="preserve">Способ закупок. Указывается сокращенная буквенная аббревиатура способа закупок согласно кодировки, указанной в разделе 5 Инструкции. </t>
  </si>
  <si>
    <t>Прогноз местного содержания. Указывается прогноз местного содержания в закупках товаров, работ или услуг. Не допускается указание прогноза в виде 0-100%.</t>
  </si>
  <si>
    <t>Код КАТО места осуществления закупки.</t>
  </si>
  <si>
    <t xml:space="preserve">Место (адрес) осуществления закупок. Указывается место проведения закупок. Пример: г. Астана, ул. Абая, 23 офис 142; Карагандинская обл. г. Караганда, ул. Бухар Жырау 17, офис 14. </t>
  </si>
  <si>
    <t>Срок осуществления закупок. Указывается число и месяц закупки (как минимум месяц); не допускается указание срока осуществления закупок в виде "январь - декабрь" или "в течение года", "1-4 кв". Допускается указание в виде - "1 декада января", "январь-февраль", "июнь-июль", "январь, март, июнь, сентябрь".</t>
  </si>
  <si>
    <t xml:space="preserve">Регион, место поставки товара, выполнения работ, оказания услуг. Указывается  как регион, так и место поставки ТРУ. Пример: для товаров - Акмолинская область, г. Степногорск, склад ГМЗ или Акмолинская область,  ст. К-Боровое, для работ или услуг - г. Астана </t>
  </si>
  <si>
    <t>Условия поставки по ИНКОТЕРМС 2010. Пример: DDP. Данные заполняются только по разделу "Товары"</t>
  </si>
  <si>
    <t xml:space="preserve">Сроки или график поставки товаров, выполнения работ, оказания услуг. Указываются сроки выполнения работ, оказания услуг, срок поставки (месяцы начала и завершения поставки) и/или график поставки товаров. При этом для работ и услуг указывается дата начала и окончания оказания услуг, выполнения работ. При планировании сроков поставки товаров Заказчик должен учитывать технологический срок производства, планируемого к закупу товара. При планировании сроков выполнения работ, оказания услуг, Заказчик должен учитывать срок, необходимый для выполнения работ, оказания услуг, регламентированный соответствующими нормативными, нормативными правовыми актами, технологическими документами, правилами выполнения отдельных видов работ (оказания отдельных видов услуг) и т.п. Срок поставки товаров может корректироваться Заказчиком не чаще одного раза в полугодие. Пример: поставка ежемесячно партиями не менее 30 тонн с апреля по декабрь месяц.  </t>
  </si>
  <si>
    <t xml:space="preserve">Условия оплаты. Пример: 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 </t>
  </si>
  <si>
    <t>Код единицы измерения по МКЕИ. Должен соответствовать коду ЕНС ТРУ. Не заполняется по работам, услугам</t>
  </si>
  <si>
    <t>Единица измерения. Наименование единиц измерения товаров указывается согласно МКЕИ. Должно соответствовать коду МКЕИ, указанному в графе 16. По работам и услугам не заполняется</t>
  </si>
  <si>
    <t xml:space="preserve">Количество, объем. Указывается количество, объем закупаемых товаров, в соответствии с единицей измерения, указанной в графе 18. По работам и услугам не заполняется </t>
  </si>
  <si>
    <t>Маркетинговая цена за единицу, тенге без НДС. Цена определяемая согласно Правил определения маркетинговых цен на товары. Возможно заполнение по разделам - "Работы", "Услуги".</t>
  </si>
  <si>
    <t xml:space="preserve">Сумма, планируемая для закупок ТРУ без НДС,  тенге. Сумма, планируемая для закупок ТРУ с НДС,  тенге. </t>
  </si>
  <si>
    <t>Приоритет закупки. Указывается один из приоритетов, отдаваемый при проведении закупки категориям поставщиков, указанных в статьях 18, 39 Правил закупок. Для закупок среди отечественных товаропроизводителей указыватется аббревиатура ОТП, для организаций инвалидов - ОИН, для отечественных предпринимателей - ОП, для организаций, входящих в Холдинг - ОВХ, для отечественных товаропроивзодителей Холдинга - ОТПХ, для предприятий региона - ПР, для отечественных поставщиков работ и услуг - ОПРУ</t>
  </si>
  <si>
    <t xml:space="preserve">Год закупки. Указывается фактический год проведения закупки. В случае, если осуществляется "переходящая" (закуп ТРУ, поставка по которому переходит с одного календарного года на другой по продолжительности не превышающая 12 месяцев и отраженная в бюджетах и/или производственной программе и/или плане развития соответствующих годов)  закупка - указывается один из вариантов планируемого вида договора -  "переходящий", с указанием соответствующих годов. Пример: для "переходящей" закупки - "переходящий", 05.2010 (месяц и год заключения договора) - 03.2011 (месяц и год окончания действия договора). </t>
  </si>
  <si>
    <t xml:space="preserve">Примечание. Указывается графа, в которой произошли изменения по соответствующей строке плана закупок. Пример - 18. В данной графе также указывается "по факту", если проведена корректировка цены, количества и суммы по фактической закупке.  </t>
  </si>
  <si>
    <t xml:space="preserve">При составлении среднесрочного плана закупок, план закупок составляется с учетом разделения граф 18,19, 20,21 и 22 (при необходимости) на количество лет планирования, с указанием в каждой из разделяемых граф </t>
  </si>
  <si>
    <t xml:space="preserve">соответствующего года осуществления закупок. Пример: Среднесрочный план закупок на 2012-2015 годы, будет состоять из 36 граф, при изменении данных в графе 22 - из 39 граф. </t>
  </si>
  <si>
    <t>ТОО  "КазМунайГаз-Сервис"</t>
  </si>
  <si>
    <t>10.51.11.610.000.00.0112.000000000001</t>
  </si>
  <si>
    <t>Молоко</t>
  </si>
  <si>
    <t>пастеризованное, жирность 3-6%, объем 1 л, СТ РК 1760-2008</t>
  </si>
  <si>
    <t xml:space="preserve">Консистенция - жидкая, однородная не 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пастеризованное. СТ РК 1760-2008. </t>
  </si>
  <si>
    <t>ЭОТТ</t>
  </si>
  <si>
    <t>г.Астана, пр.Республики, 32, каб.504</t>
  </si>
  <si>
    <t>февраль-март</t>
  </si>
  <si>
    <t>Акмолинская область, п.Зеренда, ОК "Сункар"</t>
  </si>
  <si>
    <t>DDP</t>
  </si>
  <si>
    <t>со дня заключения договора по 31 декабря 2016 г., поставка по заявкам Заказчика</t>
  </si>
  <si>
    <t>авансовый платеж - 30%, оставшаяся часть в течение 10 рабочих дней со дня подписания акта приема - передачи поставленных товаров</t>
  </si>
  <si>
    <t>112</t>
  </si>
  <si>
    <t>Литр (куб. дм.)</t>
  </si>
  <si>
    <t>ОТП</t>
  </si>
  <si>
    <t>10.51.52.433.000.00.0112.000000000000</t>
  </si>
  <si>
    <t>Кефир</t>
  </si>
  <si>
    <t>без пищевых добавок, ГОСТ 31454-2012</t>
  </si>
  <si>
    <t xml:space="preserve">Вкус и запах - чистые, кисломолочные, без посторонних привкусов и запахов. Консистенция и внешний вид - однородная, с нарушенным или не ненарушенным сгустком. </t>
  </si>
  <si>
    <t>10.51.52.436.000.00.0112.000000000000</t>
  </si>
  <si>
    <t>Кумыс</t>
  </si>
  <si>
    <t>крепкий, СТ РК 1004-98</t>
  </si>
  <si>
    <t xml:space="preserve">Натуральный, чистый, кисломолочный вкус, специфический для напитка запах. Напоминает жидкий кефир с пузырьками газа, Цвет молочно-белый. </t>
  </si>
  <si>
    <t>4 Т</t>
  </si>
  <si>
    <t>10.51.52.435.000.00.0166.000000000001</t>
  </si>
  <si>
    <t>Сметана</t>
  </si>
  <si>
    <t>жирность 15,0 -34,0 %, СТ РК ГОСТ Р 52092 -2010</t>
  </si>
  <si>
    <t xml:space="preserve">консистенция однородная, в меру густая, цвет белый </t>
  </si>
  <si>
    <t>Килограмм</t>
  </si>
  <si>
    <t>5 Т</t>
  </si>
  <si>
    <t>10.51.52.431.000.00.0796.000000000001</t>
  </si>
  <si>
    <t>Йогурт</t>
  </si>
  <si>
    <t>непитьевой, без пищевых добавок, СТ РК 2069-2010</t>
  </si>
  <si>
    <t>Консистенция однородная, жидкая с легкой тягучестью.</t>
  </si>
  <si>
    <t>796</t>
  </si>
  <si>
    <t>Штука</t>
  </si>
  <si>
    <t>6 Т</t>
  </si>
  <si>
    <t>10.51.30.311.000.00.0166.000000000000</t>
  </si>
  <si>
    <t>Масло</t>
  </si>
  <si>
    <t>сладкосливочное, несоленое</t>
  </si>
  <si>
    <t xml:space="preserve">ГОСТ Р 52253-2004. Однородная масса, пластичная, плотная. цвет от белого до желтого. Не соленное. </t>
  </si>
  <si>
    <t>7 Т</t>
  </si>
  <si>
    <t>10.51.40.510.000.00.0166.000000000000</t>
  </si>
  <si>
    <t>Сыр</t>
  </si>
  <si>
    <t>полутвердый, из коровьего молока, СТ РК 1063-2002</t>
  </si>
  <si>
    <t xml:space="preserve">Голландский, полутвердый из коровьего молока. С массовой долей влаги в обезжиренном веществе от 54,0 до 69,0% включительно. СТ РК 1063-2002. </t>
  </si>
  <si>
    <t>8 Т</t>
  </si>
  <si>
    <t>10.51.40.312.000.00.0166.000000000001</t>
  </si>
  <si>
    <t>Творог</t>
  </si>
  <si>
    <t>полужирный, массовая доля жира не менее 9%, СТ РК 94-95</t>
  </si>
  <si>
    <t xml:space="preserve">Вкус и запах - чистый, кисломолочный. Консистенция - мягкая, однородная, рассыпчатая. Допускается неоднородная с наличием мягкой крупитчатости. Цвет - белый с кремовым оттенком, равномерный по всей массе. СТ РК 94-95.  Полужирный. Массовая доля жира не менее 9%. </t>
  </si>
  <si>
    <t>9 Т</t>
  </si>
  <si>
    <t>10.11.15.100.000.00.0166.000000000004</t>
  </si>
  <si>
    <t>Конина</t>
  </si>
  <si>
    <t>Мясо без постороннего запаха, не допускается наличие остатков внутренних органов, шкуры, сгустков крови, загрязнений, охлажденное, вес туши от 200 до 230 кг</t>
  </si>
  <si>
    <t>10 Т</t>
  </si>
  <si>
    <t>10.11.13.200.000.00.0166.000000000004</t>
  </si>
  <si>
    <t>Баранина</t>
  </si>
  <si>
    <t>охлажденная, туша, I категория, СТ РК ЕЭК ООН 308-2012</t>
  </si>
  <si>
    <t>Мясо плотное. Окрас от светло-красного до красно-коричневого, жир - от белого до желтого. Внешний вид мяса сухой, а мясной сок, выделяемый в разрезе - прозрачный.  Мясо хорошо обескровлено, консистенция жира-плотная и не липкая. Вес туши от 25 до 30 кг.</t>
  </si>
  <si>
    <t>11 Т</t>
  </si>
  <si>
    <t>10.11.11.400.000.00.0166.000000000006</t>
  </si>
  <si>
    <t>Говядина</t>
  </si>
  <si>
    <t>охлажденная, туша, I категория, СТ РК 1759-2008</t>
  </si>
  <si>
    <t>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 Мясо первой категории, вес туши не более 150 кг</t>
  </si>
  <si>
    <t>12 Т</t>
  </si>
  <si>
    <t>10.11.20.110.003.00.0166.000000000000</t>
  </si>
  <si>
    <t>Субпродукты говяжьи</t>
  </si>
  <si>
    <t>свежие, мякотные, I категория</t>
  </si>
  <si>
    <t xml:space="preserve">язык говяжий, субпродукт пищевой крупного рогатого скота. </t>
  </si>
  <si>
    <t>13 Т</t>
  </si>
  <si>
    <t>10.12.10.100.000.00.0166.000000000000</t>
  </si>
  <si>
    <t>Гусь</t>
  </si>
  <si>
    <t>свежий, тушка, I категория, ГОСТ 21784-76</t>
  </si>
  <si>
    <t xml:space="preserve">Хорошо обескровленый, чистый, без посторонних запахов, тушка 1 категория. </t>
  </si>
  <si>
    <t>14 Т</t>
  </si>
  <si>
    <t>10.12.10.500.000.00.0166.000000000000</t>
  </si>
  <si>
    <t>Курица</t>
  </si>
  <si>
    <t>свежая, тушка, I категория, ГОСТ 21784-76</t>
  </si>
  <si>
    <t>Средних размеров, хорошо обескровлена, чистая, без посторонних запахов и загрязнений.</t>
  </si>
  <si>
    <t>15 Т</t>
  </si>
  <si>
    <t>10.12.40.500.003.00.0166.000000000000</t>
  </si>
  <si>
    <t>Крылья куриные</t>
  </si>
  <si>
    <t>замороженная</t>
  </si>
  <si>
    <t xml:space="preserve"> Субпродукты птицы домашней. </t>
  </si>
  <si>
    <t>16 Т</t>
  </si>
  <si>
    <t>10.12.40.500.000.00.0166.000000000000</t>
  </si>
  <si>
    <t>Окорочок куриный</t>
  </si>
  <si>
    <t>замороженный</t>
  </si>
  <si>
    <t xml:space="preserve">Субпродукты птицы домашней. </t>
  </si>
  <si>
    <t>17 Т</t>
  </si>
  <si>
    <t>10.13.14.220.000.00.0166.000000000000</t>
  </si>
  <si>
    <t>Колбаса</t>
  </si>
  <si>
    <t>полукопченая</t>
  </si>
  <si>
    <t xml:space="preserve">Чистая сухая поверхность, без пятен, слипов, повреждений, наплывов фарша, запах и вкус приятный с выраженным ароматом пряностей, копчения, без постороннего привкуса и запаха, вкус слегка острый в меру соленый, из мяса говядины, полукопченая </t>
  </si>
  <si>
    <t>18 Т</t>
  </si>
  <si>
    <t>10.13.14.230.000.00.0166.000000000000</t>
  </si>
  <si>
    <t>вареная, ГОСТ 23670-79</t>
  </si>
  <si>
    <t xml:space="preserve">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t>
  </si>
  <si>
    <t>19 Т</t>
  </si>
  <si>
    <t>10.13.14.240.000.01.0166.000000000000</t>
  </si>
  <si>
    <t>Сарделька</t>
  </si>
  <si>
    <t>конская, ГОСТ 23670-79</t>
  </si>
  <si>
    <t xml:space="preserve">Чистая сухая поверхность, без пятен, слипов, повреждений оболочки. Запах и и вкус свойственные данному виду продукта. Изготовлены из колбасного фарша с однородной структурой. Цилиндрическая или удлиненно-овальная форма, диаметром или поперечным размером от 28 до 44 мм, длиной не более 200 мм; отклонение размеров от типовых значений +/- 4 мм. </t>
  </si>
  <si>
    <t>20 Т</t>
  </si>
  <si>
    <t>03.00.12.190.000.00.0166.000000000000</t>
  </si>
  <si>
    <t>Язык</t>
  </si>
  <si>
    <t>морская, живой</t>
  </si>
  <si>
    <t>Морской язык. Длина тела 60 см.</t>
  </si>
  <si>
    <t>21 Т</t>
  </si>
  <si>
    <t>03.00.22.990.000.00.0166.000000000000</t>
  </si>
  <si>
    <t>Карп</t>
  </si>
  <si>
    <t>свежий, ГОСТ 24896-81</t>
  </si>
  <si>
    <t>2,5-3 кг</t>
  </si>
  <si>
    <t>22 Т</t>
  </si>
  <si>
    <t>03.00.24.994.000.00.0166.000000000000</t>
  </si>
  <si>
    <t>Карась</t>
  </si>
  <si>
    <t>свежий, пресноводный, ГОСТ 24896-81</t>
  </si>
  <si>
    <t>Ткани должны быть упругие. Окрас естественный. Допускается появление в жабрах рыб слабого кисловатого запаха. Без внутренностей.</t>
  </si>
  <si>
    <t>23 Т</t>
  </si>
  <si>
    <t>03.00.22.990.001.00.0166.000000000000</t>
  </si>
  <si>
    <t>Рипус</t>
  </si>
  <si>
    <t>24 Т</t>
  </si>
  <si>
    <t>03.00.21.990.011.00.0166.000000000000</t>
  </si>
  <si>
    <t>Семга</t>
  </si>
  <si>
    <t>горячего копчения, морская, ГОСТ 7447-97</t>
  </si>
  <si>
    <t>Горячего копчения потрошеная без головы. Продукция полученная из предварительно посоленной рыбы в процессе горячего копчения и обладающая ароматом и вкусом копчености, полностью проваренная. Поверхность чистая, естественной окраски, присущей рыбе данного вида. Консистенция-плотная, присущей рыбе данного вида</t>
  </si>
  <si>
    <t>25 Т</t>
  </si>
  <si>
    <t>03.00.21.990.009.00.0166.000000000000</t>
  </si>
  <si>
    <t>Эсколар</t>
  </si>
  <si>
    <t>26 Т</t>
  </si>
  <si>
    <t>03.00.21.990.010.00.0166.000000000000</t>
  </si>
  <si>
    <t>Кета</t>
  </si>
  <si>
    <t>27 Т</t>
  </si>
  <si>
    <t>03.00.21.990.003.01.0166.000000000000</t>
  </si>
  <si>
    <t>Скумбрия</t>
  </si>
  <si>
    <t>28 Т</t>
  </si>
  <si>
    <t>03.00.23.430.000.00.0166.000000000000</t>
  </si>
  <si>
    <t>Сельдь</t>
  </si>
  <si>
    <t>свежая, морская, ГОСТ 24896-81</t>
  </si>
  <si>
    <t>29 Т</t>
  </si>
  <si>
    <t>10.20.25.900.001.00.5111.000000000000</t>
  </si>
  <si>
    <t>Палочки крабовые</t>
  </si>
  <si>
    <t>из морепродуктов, замороженные, упакованные</t>
  </si>
  <si>
    <t xml:space="preserve">Из исскуственного обработанного рыбного белка сурими или измельченного мяса белой рыбы, по форме и цвету напоминает мясо крабьей клешни, объем 200 гр, упаковка вакуумная. </t>
  </si>
  <si>
    <t>5111</t>
  </si>
  <si>
    <t>Одна пачка</t>
  </si>
  <si>
    <t>30 Т</t>
  </si>
  <si>
    <t>01.47.21.900.000.00.0796.000000000002</t>
  </si>
  <si>
    <t>Яйцо</t>
  </si>
  <si>
    <t>куриное, диетическое, категория 1, свежее, ГОСТ 31654-2012</t>
  </si>
  <si>
    <t xml:space="preserve">Диетические яйца первой категории, от 55 до 64,9 г. </t>
  </si>
  <si>
    <t>31 Т</t>
  </si>
  <si>
    <t>10.61.32.330.000.01.0166.000000000000</t>
  </si>
  <si>
    <t>Крупа</t>
  </si>
  <si>
    <t>гречневая, первого сорта, ГОСТ 5550-74</t>
  </si>
  <si>
    <t xml:space="preserve">Зерно гречихи, заготовляемое для хранения, класс 1, содержание ядра не менее 71%. </t>
  </si>
  <si>
    <t>32 Т</t>
  </si>
  <si>
    <t>10.61.32.310.000.01.0166.000000000003</t>
  </si>
  <si>
    <t>овсяная, высшего сорта, плющеная, дробленая, ГОСТ 3034-75</t>
  </si>
  <si>
    <t xml:space="preserve">Овсяная плющеная крупа, высшего сорта, наличие доброкачественного ядра не менее 99%, в том числе колотых ядер не более 0,5 %, необрушенных зерен не более 0,4%, сорной примеси не более 0,3%, мучки не более 0,3%. </t>
  </si>
  <si>
    <t>33 Т</t>
  </si>
  <si>
    <t>10.61.32.340.000.01.0166.000000000000</t>
  </si>
  <si>
    <t>кукурузная, Сорт №1, шлифованная, диаметр зерна 4-3 мм, ГОСТ 6002-69</t>
  </si>
  <si>
    <t xml:space="preserve">Крупа кукурузная шлифованная №1 Диаметр зерна 4-3 мм. </t>
  </si>
  <si>
    <t>34 Т</t>
  </si>
  <si>
    <t>10.61.31.331.000.01.0166.000000000000</t>
  </si>
  <si>
    <t>манная, марка Т (твердая пшеница), ГОСТ 7022-97</t>
  </si>
  <si>
    <t xml:space="preserve">Крупа манная марки "Т" вырабатывают из твердых сортов пшеницы. Частицы размером 1- 1,5 мм. </t>
  </si>
  <si>
    <t>35 Т</t>
  </si>
  <si>
    <t>10.61.32.390.000.02.0166.000000000003</t>
  </si>
  <si>
    <t>пшено, высшего сорта, ГОСТ 572-60</t>
  </si>
  <si>
    <t xml:space="preserve">Крупная удлиненной формы с закругленными концами. </t>
  </si>
  <si>
    <t>36 Т</t>
  </si>
  <si>
    <t>10.61.32.370.000.01.0166.000000000000</t>
  </si>
  <si>
    <t>перловая, Сорт №1, диаметр 3,5-3,0 мм, ГОСТ 5784-60</t>
  </si>
  <si>
    <t xml:space="preserve">Перловая крупа №1. Удлиненное ядро с закругленными концами. С диаметром 3,5 - 3,0 мм. </t>
  </si>
  <si>
    <t>37 Т</t>
  </si>
  <si>
    <t>01.11.75.000.000.01.0166.000000000000</t>
  </si>
  <si>
    <t>Горох</t>
  </si>
  <si>
    <t>сухой, класс 1, на хранение</t>
  </si>
  <si>
    <t>38 Т</t>
  </si>
  <si>
    <t>10.61.11.000.000.01.0166.000000000004</t>
  </si>
  <si>
    <t>Рис очищенный</t>
  </si>
  <si>
    <t>шлифованный, экстра сорт, среднезерный, СТ РК ИСО 7301-2012</t>
  </si>
  <si>
    <t xml:space="preserve">Среднезерный шлифованный рис. Зерна длиной 5-6 мм, шириной 1/2, 1/3 длины. С гладкой и ровной поверхностью, белоснежные, полупрозрачные. Экстра сорт. Белые зерна, очищенные от плодовых и семенных оболочек, цветковых пленок, алейронового слоя и зародышей. </t>
  </si>
  <si>
    <t>39 Т</t>
  </si>
  <si>
    <t>10.61.21.300.000.00.0166.000000000001</t>
  </si>
  <si>
    <t>Мука</t>
  </si>
  <si>
    <t>пшеничная, сорт высший, из мягких сортов пшеницы, СТ РК 1482-2005</t>
  </si>
  <si>
    <t>40 Т</t>
  </si>
  <si>
    <t>10.73.11.310.000.00.0166.000000000000</t>
  </si>
  <si>
    <t>Макароны</t>
  </si>
  <si>
    <t>сорт высший, из пшеничной муки, СТ РК ГОСТ Р 51865-2010</t>
  </si>
  <si>
    <t xml:space="preserve">Трубчатые макаронные изделия с различной формой сечения, короткие из муки высшего сорта, твердых сортов пшеницы с добавками. </t>
  </si>
  <si>
    <t>41 Т</t>
  </si>
  <si>
    <t xml:space="preserve">Спиралеобразные из пшеничной муки высшего сорта твердых сортов. </t>
  </si>
  <si>
    <t>42 Т</t>
  </si>
  <si>
    <t>10.73.11.300.000.00.0166.000000000000</t>
  </si>
  <si>
    <t>Спагетти</t>
  </si>
  <si>
    <t>Нитевидные макаронные изделия с различной формой сечения, из муки высшего сорта, твердых сортов пшеницы с добавками. Упаковка 400 гр.</t>
  </si>
  <si>
    <t>43 Т</t>
  </si>
  <si>
    <t>10.73.11.330.000.00.0166.000000000006</t>
  </si>
  <si>
    <t>Лапша</t>
  </si>
  <si>
    <t>высшего сорта, крахмальная , длинная</t>
  </si>
  <si>
    <t xml:space="preserve">Крахмальная китайская лапша полупрозрачного цвета. </t>
  </si>
  <si>
    <t>44 Т</t>
  </si>
  <si>
    <t>10.71.11.100.000.00.0166.000000000000</t>
  </si>
  <si>
    <t>Хлеб</t>
  </si>
  <si>
    <t>из сеяной муки, свежий</t>
  </si>
  <si>
    <t xml:space="preserve">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 ГОСТ Р53072-2008. Из сеяной муки. </t>
  </si>
  <si>
    <t>45 Т</t>
  </si>
  <si>
    <t>10.20.25.900.002.00.0166.000000000000</t>
  </si>
  <si>
    <t>Сухари</t>
  </si>
  <si>
    <t>из мучных продуктов, высушенные, разрезанные</t>
  </si>
  <si>
    <t>соленые, с различными вкусами</t>
  </si>
  <si>
    <t>46 Т</t>
  </si>
  <si>
    <t>01.23.13.000.000.00.0166.000000000000</t>
  </si>
  <si>
    <t>Апельсин</t>
  </si>
  <si>
    <t>рубчатый, ГОСТ 4427-82</t>
  </si>
  <si>
    <t xml:space="preserve">Среднего размера не более 200 гр, многогнездный, многосемянный плод, мякоть плода сладкая. </t>
  </si>
  <si>
    <t>47 Т</t>
  </si>
  <si>
    <t>01.24.23.000.000.00.0166.000000000000</t>
  </si>
  <si>
    <t>Абрикос</t>
  </si>
  <si>
    <t>свежий, ГОСТ 21832-76</t>
  </si>
  <si>
    <t xml:space="preserve">Свежие абрикосы культурных сортов, реализуемые для потребления в свежем виде и для промышленной переработки. </t>
  </si>
  <si>
    <t>48 Т</t>
  </si>
  <si>
    <t>01.22.19.100.000.00.0166.000000000000</t>
  </si>
  <si>
    <t>Ананас</t>
  </si>
  <si>
    <t>свежий</t>
  </si>
  <si>
    <t xml:space="preserve">Среднего размера не более 1 кг. соплодие ананаса состоит из отдельных сросшихся сочных плодов на центральном стержне. </t>
  </si>
  <si>
    <t>49 Т</t>
  </si>
  <si>
    <t>01.22.12.000.000.00.0166.000000000001</t>
  </si>
  <si>
    <t>Банан</t>
  </si>
  <si>
    <t>класс 1</t>
  </si>
  <si>
    <t xml:space="preserve">Размер плода не менее 19 см, диаметр 3-4 см, 1 класса, количество плодов от 4 до 9 штук, кожура однородного салатного цвета. </t>
  </si>
  <si>
    <t>50 Т</t>
  </si>
  <si>
    <t>01.21.11.000.000.00.0166.000000000000</t>
  </si>
  <si>
    <t>Виноград</t>
  </si>
  <si>
    <t>столовый, свежий, класс 1, ГОСТ 25896-94</t>
  </si>
  <si>
    <t>51 Т</t>
  </si>
  <si>
    <t>31.00.12.500.001.00.0166.000000000000</t>
  </si>
  <si>
    <t>Груша</t>
  </si>
  <si>
    <t>свежая, сорт 1</t>
  </si>
  <si>
    <t xml:space="preserve">Сорт первый по наибольшему поперечному диаметру не менее 55 мм. </t>
  </si>
  <si>
    <t>52 Т</t>
  </si>
  <si>
    <t>01.25.11.000.000.00.0166.000000000000</t>
  </si>
  <si>
    <t>Киви</t>
  </si>
  <si>
    <t>свежее, ГОСТ 31823-2012</t>
  </si>
  <si>
    <t xml:space="preserve">Актинидная китайская (деликатесная) ягода, мякоть обычно зеленая или желтая. </t>
  </si>
  <si>
    <t>53 Т</t>
  </si>
  <si>
    <t>01.23.12.100.000.00.0166.000000000000</t>
  </si>
  <si>
    <t>Лимон</t>
  </si>
  <si>
    <t>категория 1, ГОСТ 4429-82</t>
  </si>
  <si>
    <t xml:space="preserve">1 категории (по поперечному диаметру 60 и более мм) ГОСТ 4429-82. </t>
  </si>
  <si>
    <t>54 Т</t>
  </si>
  <si>
    <t>01.24.25.000.000.00.0166.000000000000</t>
  </si>
  <si>
    <t>Персик</t>
  </si>
  <si>
    <t>свежий, сорт высший, ГОСТ 21833-76</t>
  </si>
  <si>
    <t xml:space="preserve">Свежий, диаметр при реализации до 1.08 не менее 56 мм, после 1.08-50 мм, высший сорт </t>
  </si>
  <si>
    <t>55 Т</t>
  </si>
  <si>
    <t>01.24.29.700.000.00.0166.000000000000</t>
  </si>
  <si>
    <t>Черешня</t>
  </si>
  <si>
    <t>сорт культурный, свежая, ГОСТ 21922-76</t>
  </si>
  <si>
    <t xml:space="preserve">Свежая черешня культурных сортов. ГОСТ 21922-75. </t>
  </si>
  <si>
    <t>56 Т</t>
  </si>
  <si>
    <t>01.24.10.000.000.00.0166.000000000003</t>
  </si>
  <si>
    <t>Яблоко свежее</t>
  </si>
  <si>
    <t>позднее, класс 1, ГОСТ 21122-75</t>
  </si>
  <si>
    <t xml:space="preserve">Класс 1: размер по наибольшему поперечному диаметру не менее 55 мм. </t>
  </si>
  <si>
    <t>57 Т</t>
  </si>
  <si>
    <t>01.13.33.000.000.00.0166.000000000002</t>
  </si>
  <si>
    <t>Баклажан</t>
  </si>
  <si>
    <t>свежий, сорт 1, ГОСТ 13907-86</t>
  </si>
  <si>
    <t xml:space="preserve">Первый сорт фиолетового цвета размером не более 15 см, без видимых повреждений, без семян. </t>
  </si>
  <si>
    <t>58 Т</t>
  </si>
  <si>
    <t>01.13.80.100.000.00.0166.000000000006</t>
  </si>
  <si>
    <t>Гриб</t>
  </si>
  <si>
    <t>груздь, свежий</t>
  </si>
  <si>
    <t>Белого цвета без повреждений маленького размера.</t>
  </si>
  <si>
    <t>59 Т</t>
  </si>
  <si>
    <t>01.13.12.900.000.00.0166.000000000001</t>
  </si>
  <si>
    <t>Капуста</t>
  </si>
  <si>
    <t>белокочанная, среднеспелая, ГОСТ 1724-85</t>
  </si>
  <si>
    <t xml:space="preserve">Свежая белокочанная, позднеспелая. </t>
  </si>
  <si>
    <t>60 Т</t>
  </si>
  <si>
    <t>01.13.51.200.000.00.0166.000000000000</t>
  </si>
  <si>
    <t>Картофель</t>
  </si>
  <si>
    <t>класс 1, поздний, ГОСТ 26545-85</t>
  </si>
  <si>
    <t>61 Т</t>
  </si>
  <si>
    <t>01.13.43.100.000.00.0166.000000000003</t>
  </si>
  <si>
    <t>Лук</t>
  </si>
  <si>
    <t>репчатый, свежий, класс 1, ГОСТ 1723-86</t>
  </si>
  <si>
    <t xml:space="preserve">Лук для переработки  (острых, полусладких и сладких сортов) ГОСТ 1723-86. </t>
  </si>
  <si>
    <t>62 Т</t>
  </si>
  <si>
    <t>01.13.41.100.000.00.0166.000000000001</t>
  </si>
  <si>
    <t>Морковь</t>
  </si>
  <si>
    <t>класс 1, ГОСТ 26767-85</t>
  </si>
  <si>
    <t>Плоды 1 класса, размер плода по поперечному диаметру 2-6 см (250гр)</t>
  </si>
  <si>
    <t>63 Т</t>
  </si>
  <si>
    <t>01.13.32.100.000.00.0166.000000000001</t>
  </si>
  <si>
    <t>Огурец</t>
  </si>
  <si>
    <t>среднеплодный, ГОСТ 1726-85</t>
  </si>
  <si>
    <t xml:space="preserve">Открытого и закрытого грунта среднеплодные и длинноплодные не более 25 см. </t>
  </si>
  <si>
    <t>64 Т</t>
  </si>
  <si>
    <t>01.13.31.900.000.00.0166.000000000000</t>
  </si>
  <si>
    <t>Перец</t>
  </si>
  <si>
    <t>свежий, ГОСТ 13908-68</t>
  </si>
  <si>
    <t xml:space="preserve">Перец болгарский сладкий культурных сортов открытого и защищенного грунта заготовляемый, поставляемый, реализуемый в торговую сеть в свежем виде и для промышленной переработки (ГОСТ 13908-68). </t>
  </si>
  <si>
    <t>65 Т</t>
  </si>
  <si>
    <t>01.13.34.100.000.00.0166.000000000000</t>
  </si>
  <si>
    <t>Помидор</t>
  </si>
  <si>
    <t>класс экстра, мелкоплодный, ГОСТ 1725-85</t>
  </si>
  <si>
    <t xml:space="preserve">От красных до бурых сортов, средней величины. </t>
  </si>
  <si>
    <t>66 Т</t>
  </si>
  <si>
    <t>01.13.49.200.000.00.0166.000000000000</t>
  </si>
  <si>
    <t>Редис</t>
  </si>
  <si>
    <t xml:space="preserve">Окрашенный в розовый или красный цвет, используется в свежем виде. </t>
  </si>
  <si>
    <t>67 Т</t>
  </si>
  <si>
    <t>01.13.71.000.000.01.0166.000000000000</t>
  </si>
  <si>
    <t>Свекла</t>
  </si>
  <si>
    <t>сахарная, ГОСТ 17421-82</t>
  </si>
  <si>
    <t xml:space="preserve">Корнеплоды сахарной свеклы для производства сахара ГОСТ 17421-81. </t>
  </si>
  <si>
    <t>68 Т</t>
  </si>
  <si>
    <t>01.11.61.000.000.00.0166.000000000001</t>
  </si>
  <si>
    <t>Фасоль</t>
  </si>
  <si>
    <t>овощная, для свежего потребления, незрелое</t>
  </si>
  <si>
    <t xml:space="preserve">Незрелые зерна сортов фасоли. </t>
  </si>
  <si>
    <t>69 Т</t>
  </si>
  <si>
    <t>01.13.42.000.000.00.0166.000000000001</t>
  </si>
  <si>
    <t>Чеснок</t>
  </si>
  <si>
    <t>сорт обыкновенный, ГОСТ 27569-87</t>
  </si>
  <si>
    <t xml:space="preserve">Размер луковицы по наибольшему поперечному диаметру не менее 25 мм. </t>
  </si>
  <si>
    <t>70 Т</t>
  </si>
  <si>
    <t>10.39.16.000.000.01.0166.000000000000</t>
  </si>
  <si>
    <t>консервированный, сорт высший, ГОСТ 15842-90</t>
  </si>
  <si>
    <t>71 Т</t>
  </si>
  <si>
    <t>10.39.17.800.000.00.0166.000000000000</t>
  </si>
  <si>
    <t>Кукуруза сахарная</t>
  </si>
  <si>
    <t>немороженая, консервированная, ГОСТ 15877-70</t>
  </si>
  <si>
    <t xml:space="preserve">Не мороженая, консервированная без уксуса или уксусной кислоты.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t>
  </si>
  <si>
    <t>72 Т</t>
  </si>
  <si>
    <t>10.39.18.110.000.00.0166.000000000000</t>
  </si>
  <si>
    <t>консервированный, с применением уксуса или кислоты уксусной, ГОСТ 20144-74</t>
  </si>
  <si>
    <t xml:space="preserve">Консервированные с применением уксуса и раствора поваренной соли. 2-х литровые банки стекло. </t>
  </si>
  <si>
    <t>73 Т</t>
  </si>
  <si>
    <t>10.39.17.700.001.00.0166.000000000000</t>
  </si>
  <si>
    <t>Олива</t>
  </si>
  <si>
    <t>немороженая, консервированная</t>
  </si>
  <si>
    <t xml:space="preserve">черные, зеленые; без косточки; жестяная банка </t>
  </si>
  <si>
    <t>74 Т</t>
  </si>
  <si>
    <t>10.39.17.100.001.00.0166.000000000000</t>
  </si>
  <si>
    <t>Томат</t>
  </si>
  <si>
    <t>консервированный, без добавления уксуса или кислоты уксусной, целые, очищенные, ГОСТ 7231-90</t>
  </si>
  <si>
    <t>консервированные, мелкоплодные не менее 4 см, в банках 2 л</t>
  </si>
  <si>
    <t>75 Т</t>
  </si>
  <si>
    <t>10.39.23.300.000.00.0166.000000000001</t>
  </si>
  <si>
    <t>Арахис</t>
  </si>
  <si>
    <t>обжаренный, не соленый</t>
  </si>
  <si>
    <t>чистый, без посторонних примесей</t>
  </si>
  <si>
    <t>76 Т</t>
  </si>
  <si>
    <t>01.25.31.000.001.00.0166.000000000000</t>
  </si>
  <si>
    <t>Миндаль</t>
  </si>
  <si>
    <t>сорт высший, ГОСТ 16830-71</t>
  </si>
  <si>
    <t>высший сорт, выход ядра не менее 30%</t>
  </si>
  <si>
    <t>77 Т</t>
  </si>
  <si>
    <t>01.25.34.000.000.00.0166.000000000000</t>
  </si>
  <si>
    <t>Фисташка</t>
  </si>
  <si>
    <t>свежая</t>
  </si>
  <si>
    <t>Плоды односемянные костянки с крупной двустворчатой скорлупой светло-желтого цвета</t>
  </si>
  <si>
    <t>78 Т</t>
  </si>
  <si>
    <t>01.25.39.900.000.00.0166.000000000000</t>
  </si>
  <si>
    <t>Орех фундука</t>
  </si>
  <si>
    <t>сорт высший, ГОСТ 16834-81</t>
  </si>
  <si>
    <t xml:space="preserve">Орехи культурных сортов орешника фундука, предназначенные для потребления в свежем виде и промышленной переработке ГОСТ 16834-81 </t>
  </si>
  <si>
    <t>79 Т</t>
  </si>
  <si>
    <t>01.25.35.000.000.00.0166.000000000000</t>
  </si>
  <si>
    <t>Ядро ореха грецкого</t>
  </si>
  <si>
    <t>Высший сорт ядра не менее 50%, поверхность гладкая, очищенные без скорлупы.</t>
  </si>
  <si>
    <t>80 Т</t>
  </si>
  <si>
    <t>10.39.25.100.000.00.0166.000000000000</t>
  </si>
  <si>
    <t>Изюм</t>
  </si>
  <si>
    <t>черный, отборный, ГОСТ 6882-88</t>
  </si>
  <si>
    <t>чистый</t>
  </si>
  <si>
    <t>81 Т</t>
  </si>
  <si>
    <t>10.39.25.100.000.00.0166.000000000001</t>
  </si>
  <si>
    <t>желтый, отборный, ГОСТ 6882-88</t>
  </si>
  <si>
    <t>82 Т</t>
  </si>
  <si>
    <t>10.39.25.210.000.00.0166.000000000000</t>
  </si>
  <si>
    <t>сушеный, ГОСТ 28501-90</t>
  </si>
  <si>
    <t xml:space="preserve">Высушенные на солнце плоды абрикосов без косточек с высоким содержанием витаминов и микроэлементов. </t>
  </si>
  <si>
    <t>83 Т</t>
  </si>
  <si>
    <t>10.39.25.220.000.00.0166.000000000000</t>
  </si>
  <si>
    <t>Чернослив</t>
  </si>
  <si>
    <t xml:space="preserve">Сушенный. Продукты переработки слив, целые, нарезанные, изготовленные из свежих целых, нарезанных слив, приготовленных в соответствии с установленной технологией, высушенные путем термической обработки или воздушно-солнечной сушки до достижения массовой доли влаги, обеспечивающих их сохранность. </t>
  </si>
  <si>
    <t>84 Т</t>
  </si>
  <si>
    <t>10.39.14.000.000.00.0166.000000000001</t>
  </si>
  <si>
    <t>Фрукты</t>
  </si>
  <si>
    <t>нарезанные, высушенные</t>
  </si>
  <si>
    <t xml:space="preserve">Чистые без посторонних примесей, ассорти из яблок, абрикоса. </t>
  </si>
  <si>
    <t>85 Т</t>
  </si>
  <si>
    <t>01.49.21.000.000.00.0166.000000000000</t>
  </si>
  <si>
    <t>Мед</t>
  </si>
  <si>
    <t>натуральный, смешанный, ГОСТ 19792-2001</t>
  </si>
  <si>
    <t xml:space="preserve">гречишный, цветочный, из нектара цветков гречихи </t>
  </si>
  <si>
    <t>86 Т</t>
  </si>
  <si>
    <t>10.39.22.910.000.00.0166.000000000001</t>
  </si>
  <si>
    <t>Варенье</t>
  </si>
  <si>
    <t>из малины, ГОСТ 7061-88</t>
  </si>
  <si>
    <t>объем 700 гр</t>
  </si>
  <si>
    <t>87 Т</t>
  </si>
  <si>
    <t>10.39.22.910.000.00.0166.000000000002</t>
  </si>
  <si>
    <t>из абрикоса, ГОСТ 7061-88</t>
  </si>
  <si>
    <t>88 Т</t>
  </si>
  <si>
    <t>10.39.22.910.002.00.0166.000000000000</t>
  </si>
  <si>
    <t>Повидло</t>
  </si>
  <si>
    <t>из фруктового пюре, СТ РК 1401-2005</t>
  </si>
  <si>
    <t xml:space="preserve">яблочное, ёмкость 12 кг </t>
  </si>
  <si>
    <t>89 Т</t>
  </si>
  <si>
    <t>абрикосовое, ёмкость 12 кг</t>
  </si>
  <si>
    <t>90 Т</t>
  </si>
  <si>
    <t>10.82.22.499.000.00.0166.000000000000</t>
  </si>
  <si>
    <t>Конфета</t>
  </si>
  <si>
    <t>шоколадная, с молочными и фруктовыми корпусами, ГОСТ 4570-93</t>
  </si>
  <si>
    <t xml:space="preserve">Шоколадные мягкой консистенции, состоящие из начинки и шоколадной глазури, содержащие 40-70% сахара. </t>
  </si>
  <si>
    <t>91 Т</t>
  </si>
  <si>
    <t>10.72.12.591.000.00.0166.000000000000</t>
  </si>
  <si>
    <t>Вафли</t>
  </si>
  <si>
    <t>с жировыми начинками, ГОСТ 14031-68</t>
  </si>
  <si>
    <t>Ровные края одинакового размера с начинкой из арахиса</t>
  </si>
  <si>
    <t>92 Т</t>
  </si>
  <si>
    <t>10.72.12.551.000.00.0166.000000000000</t>
  </si>
  <si>
    <t>Печенье</t>
  </si>
  <si>
    <t>Сахарное песочное без постороннего запаха и привкуса, различных оттенков равномерный, вкус и запах свойственный данному наименованию печенья</t>
  </si>
  <si>
    <t>93 Т</t>
  </si>
  <si>
    <t>10.83.11.500.000.00.0778.000000000000</t>
  </si>
  <si>
    <t>Кофе</t>
  </si>
  <si>
    <t>жареный, с кофеином, ГОСТ 6805-2004</t>
  </si>
  <si>
    <t>Изготавливаемый из жареных зерен кофейного дерева. Жареный с кофеином. Упаковка 250 гр.</t>
  </si>
  <si>
    <t>778</t>
  </si>
  <si>
    <t>Упаковка</t>
  </si>
  <si>
    <t>94 Т</t>
  </si>
  <si>
    <t>10.83.13.210.000.00.0166.000000000001</t>
  </si>
  <si>
    <t>Чай</t>
  </si>
  <si>
    <t>черный, ферментированный, сорт "высший", ГОСТ 32573-2013</t>
  </si>
  <si>
    <t xml:space="preserve">Черный (ферментированный) или чай частично ферментированный ароматизированный в первичных упаковках массой 500 гр. </t>
  </si>
  <si>
    <t>95 Т</t>
  </si>
  <si>
    <t>10.81.13.320.000.01.0166.000000000000</t>
  </si>
  <si>
    <t>Сахар</t>
  </si>
  <si>
    <t>витаминизированный</t>
  </si>
  <si>
    <t xml:space="preserve">Однородная сыпучая масса кристаллов размером 0,2 до 2,5 мм включительно, цвет белый, чистый, без постороннего запаха и вкуса. </t>
  </si>
  <si>
    <t>96 Т</t>
  </si>
  <si>
    <t>10.81.12.332.000.01.0166.000000000000</t>
  </si>
  <si>
    <t>Пудра</t>
  </si>
  <si>
    <t>сахарная, свекловичная, кристалл, размер не более 0,2 мм, ГОСТ 31895-2012</t>
  </si>
  <si>
    <t xml:space="preserve">Упаковка 50 гр. </t>
  </si>
  <si>
    <t>97 Т</t>
  </si>
  <si>
    <t>10.89.13.330.000.00.0166.000000000000</t>
  </si>
  <si>
    <t>Дрожжи</t>
  </si>
  <si>
    <t>пекарные, сушеные, ГОСТ 28483-90</t>
  </si>
  <si>
    <t>пекарные дрожжи, упакованные в пачку из фольги 80 гр</t>
  </si>
  <si>
    <t>166</t>
  </si>
  <si>
    <t>98 Т</t>
  </si>
  <si>
    <t>01.13.14.900.000.00.0166.000000000001</t>
  </si>
  <si>
    <t>Салат</t>
  </si>
  <si>
    <t>свежий, пресный</t>
  </si>
  <si>
    <t>листья салата свежие, ярко зеленого цвета</t>
  </si>
  <si>
    <t>99 Т</t>
  </si>
  <si>
    <t>10.39.13.990.000.00.0166.000000000000</t>
  </si>
  <si>
    <t>Укроп</t>
  </si>
  <si>
    <t>свежий, ярко зеленого цвета</t>
  </si>
  <si>
    <t>100 Т</t>
  </si>
  <si>
    <t>10.39.13.990.002.00.0166.000000000000</t>
  </si>
  <si>
    <t>Петрушка</t>
  </si>
  <si>
    <t>свежая, ярко зеленого цвета</t>
  </si>
  <si>
    <t>101 Т</t>
  </si>
  <si>
    <t>кудрявая/ курчавая, свежая, ярко зеленого цвета</t>
  </si>
  <si>
    <t>102 Т</t>
  </si>
  <si>
    <t>10.84.12.300.001.00.5111.000000000000</t>
  </si>
  <si>
    <t>Кетчуп</t>
  </si>
  <si>
    <t>из свежих томатов , СТ РК 1310-2004</t>
  </si>
  <si>
    <t xml:space="preserve">объем 500 гр </t>
  </si>
  <si>
    <t>103 Т</t>
  </si>
  <si>
    <t>10.41.24.000.000.00.0112.000000000000</t>
  </si>
  <si>
    <t>пищевое, подсолнечное, нерафинированное, СТ РК 1428-2005</t>
  </si>
  <si>
    <t xml:space="preserve">СТ РК 1428-2005. Нерафинированное пищевое 1 л. </t>
  </si>
  <si>
    <t>104 Т</t>
  </si>
  <si>
    <t>10.42.10.300.000.00.0166.000000000000</t>
  </si>
  <si>
    <t>Маргарин</t>
  </si>
  <si>
    <t>низкокалорийный, массовая доля жира 40-60%, ГОСТ 32188-2013</t>
  </si>
  <si>
    <t xml:space="preserve">Твердый пластичный пищевой кондитерский жир, низкокалорийный, 40-60% долей жира, объем  200 гр. </t>
  </si>
  <si>
    <t>105 Т</t>
  </si>
  <si>
    <t>10.84.12.910.000.00.0166.000000000000</t>
  </si>
  <si>
    <t>Майонез</t>
  </si>
  <si>
    <t>жирность от 55%, ГОСТ 30004.1-93</t>
  </si>
  <si>
    <t xml:space="preserve">Приготовленный из оливкового масла, яичного желтка, уксуса и т.д, высококалорийный, массовая доля жира от 55%, воды менее 35%, 820 гр объем. </t>
  </si>
  <si>
    <t>106 Т</t>
  </si>
  <si>
    <t>10.84.12.100.000.00.0868.000000000000</t>
  </si>
  <si>
    <t>Соус</t>
  </si>
  <si>
    <t>соевый</t>
  </si>
  <si>
    <t>Соевый. Жидкость очень темного цвета с характерным резким запахом. Содержит множество минеральных элементом, витаминов и аминокислот. Бутылка 500 гр.</t>
  </si>
  <si>
    <t>868</t>
  </si>
  <si>
    <t>Бутылка</t>
  </si>
  <si>
    <t>107 Т</t>
  </si>
  <si>
    <t>10.84.30.100.000.01.0166.000000000000</t>
  </si>
  <si>
    <t>Соль</t>
  </si>
  <si>
    <t>йодированная, пищевая, ГОСТ 13830-97</t>
  </si>
  <si>
    <t xml:space="preserve">Пищевая йодированная, белое кристаллическое минеральное вещество. </t>
  </si>
  <si>
    <t>108 Т</t>
  </si>
  <si>
    <t>10.84.12.300.000.00.0166.000000000000</t>
  </si>
  <si>
    <t>Паста томатная</t>
  </si>
  <si>
    <t>сорт высший, СТ РК 1400-2005</t>
  </si>
  <si>
    <t xml:space="preserve">в стеклянной банке, 850 гр </t>
  </si>
  <si>
    <t>109 Т</t>
  </si>
  <si>
    <t>10.84.23.700.001.00.5111.000000000000</t>
  </si>
  <si>
    <t>Приправа</t>
  </si>
  <si>
    <t>пищевая, для улучшения вкуса</t>
  </si>
  <si>
    <t>острая кавказская ароматная приправа из красного перца, чеснока, соли, сухих и зеленых пряных трав, 250 гр</t>
  </si>
  <si>
    <t>110 Т</t>
  </si>
  <si>
    <t>смесь пряностей и специй для приготовления различных блюд, в ассортименте, упаковка 30 гр</t>
  </si>
  <si>
    <t>111 Т</t>
  </si>
  <si>
    <t>универсальная смесь пряностей и специй для приготовления различных блюд, упаковка 250 гр</t>
  </si>
  <si>
    <t>112 Т</t>
  </si>
  <si>
    <t xml:space="preserve">для корейских салатов, упаковка 200 гр </t>
  </si>
  <si>
    <t>113 Т</t>
  </si>
  <si>
    <t>10.84.11.920.000.00.0112.000000000000</t>
  </si>
  <si>
    <t>Уксус</t>
  </si>
  <si>
    <t>столовый</t>
  </si>
  <si>
    <t xml:space="preserve">Столовый из кислоты уксусной лесохимической. Водный раствор (3-15%-ный) пищевой уксусной кислоты. </t>
  </si>
  <si>
    <t>114 Т</t>
  </si>
  <si>
    <t>11.07.11.320.000.01.0868.000000000000</t>
  </si>
  <si>
    <t>Вода</t>
  </si>
  <si>
    <t>газированная, минеральная, столовая, природная, обьем 0,5 л, СТ РК 1432-2005</t>
  </si>
  <si>
    <t xml:space="preserve">Минеральная природная питьевая столовая газированная. Пластиковая бутылка 0,5 л. </t>
  </si>
  <si>
    <t>115 Т</t>
  </si>
  <si>
    <t>11.07.11.320.000.01.0868.000000000002</t>
  </si>
  <si>
    <t>газированная, минеральная, столовая, природная, обьем 1-2 л, СТ РК 1432-2005</t>
  </si>
  <si>
    <t xml:space="preserve">Минеральная природная питьевая столовая газированная. Пластиковая бутылка 1,5 л. </t>
  </si>
  <si>
    <t>116 Т</t>
  </si>
  <si>
    <t>11.07.11.310.000.01.0868.000000000000</t>
  </si>
  <si>
    <t>негазированная, минеральная, столовая, природная, обьем 0,5 л, СТ РК 1432-2005</t>
  </si>
  <si>
    <t xml:space="preserve">стеклянная бутылка </t>
  </si>
  <si>
    <t>117 Т</t>
  </si>
  <si>
    <t>11.07.19.300.001.00.0868.000000000000</t>
  </si>
  <si>
    <t>Напиток</t>
  </si>
  <si>
    <t>газированный</t>
  </si>
  <si>
    <t>с содержанием кофеина, пластиковая бутылка, 0,5 л</t>
  </si>
  <si>
    <t>118 Т</t>
  </si>
  <si>
    <t>10.32.16.000.000.00.0112.000000000001</t>
  </si>
  <si>
    <t>Сок яблочный</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</si>
  <si>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Объем 0,2 л. </t>
  </si>
  <si>
    <t>119 Т</t>
  </si>
  <si>
    <t xml:space="preserve">Прямого отжима без добавок сахара. Сок полученный из доброкачественных спелых, свежих  или сохраненных свежими благодаря охлаждению яблок, несброженный, но способный к брожению. Упаковка 1 л. </t>
  </si>
  <si>
    <t>120 Т</t>
  </si>
  <si>
    <t>11.03.10.700.000.00.0868.000000000000</t>
  </si>
  <si>
    <t>Вино</t>
  </si>
  <si>
    <t>доля спирта 15,0-22,0%, объем 0,5-1 л</t>
  </si>
  <si>
    <t>121 Т</t>
  </si>
  <si>
    <t>11.01.10.631.000.00.0868.000000000001</t>
  </si>
  <si>
    <t>Водка</t>
  </si>
  <si>
    <t>особая, объем 1 л, крепость 40,0-45,0%, СТ РК ГОСТ Р 51355-2010</t>
  </si>
  <si>
    <t>122 Т</t>
  </si>
  <si>
    <t>11.01.10.300.000.00.0868.000000000004</t>
  </si>
  <si>
    <t>Виски</t>
  </si>
  <si>
    <t>смешанный, объем 0,5-1 л, доля спирта 40-60%</t>
  </si>
  <si>
    <t>двенадцатилетний виски</t>
  </si>
  <si>
    <t>123 Т</t>
  </si>
  <si>
    <t>восемнадцатилетний виски</t>
  </si>
  <si>
    <t>124 Т</t>
  </si>
  <si>
    <t>11.01.10.210.000.00.0868.000000000003</t>
  </si>
  <si>
    <t>Коньяк</t>
  </si>
  <si>
    <t>марочный, объем 0,5 л, крепость 40,0-47,0%, ГОСТ 13741-91</t>
  </si>
  <si>
    <t>категория ХО</t>
  </si>
  <si>
    <t>125 Т</t>
  </si>
  <si>
    <t>11.01.10.210.000.00.0868.000000000000</t>
  </si>
  <si>
    <t>ординарный, объем 0,5 л, крепость 40,0-42,0%, ГОСТ 13741-91</t>
  </si>
  <si>
    <t>категория VSOP</t>
  </si>
  <si>
    <t>126 Т</t>
  </si>
  <si>
    <t>11.05.10.100.000.00.0868.000000000006</t>
  </si>
  <si>
    <t>Пиво</t>
  </si>
  <si>
    <t>светлое, доля спирта не менее 4,0%, объем 0,5 л</t>
  </si>
  <si>
    <t>127 Т</t>
  </si>
  <si>
    <t>11.02.11.300.000.00.0868.000000000008</t>
  </si>
  <si>
    <t>Шампанское</t>
  </si>
  <si>
    <t>сладкое, доля спирта не менее 10,5%, объем 0,5 л</t>
  </si>
  <si>
    <t>128 Т</t>
  </si>
  <si>
    <t>11.07.11.310.000.01.0868.000000000011</t>
  </si>
  <si>
    <t>негазированная, неминеральная, питьевая, природная, обьем 5 л и выше, СТ РК 1432-2005</t>
  </si>
  <si>
    <t xml:space="preserve">19 л </t>
  </si>
  <si>
    <t>г.Астана, пр.Кабанбай батыра, 19, Блок А</t>
  </si>
  <si>
    <t>авансовый платеж - 0%, оставшаяся часть в течение 10 рабочих дней со дня подписания акта приема - передачи поставленных товаров</t>
  </si>
  <si>
    <t>129 Т</t>
  </si>
  <si>
    <t>11.07.11.310.000.01.0868.000000000012</t>
  </si>
  <si>
    <t>негазированная, неминеральная, питьевая, природная, обьем 0,25 л, СТ РК 1432-2005</t>
  </si>
  <si>
    <t>0,25 л, стеклянная бутылка</t>
  </si>
  <si>
    <t>130 Т</t>
  </si>
  <si>
    <t xml:space="preserve"> 0,5 л, пластиковая бутылка </t>
  </si>
  <si>
    <t>131 Т</t>
  </si>
  <si>
    <t xml:space="preserve"> 19 л </t>
  </si>
  <si>
    <t>г.Павлодар, ул.Луговая, д.16</t>
  </si>
  <si>
    <t>132 Т</t>
  </si>
  <si>
    <t>негазированная, неминеральная, питьевая, природная, обьем 0,5 л, СТ РК 1432-2005</t>
  </si>
  <si>
    <t>133 Т</t>
  </si>
  <si>
    <t>10.51.11.410.000.00.0112.000000000001</t>
  </si>
  <si>
    <t>пастеризованное, жирность 1-3%, объем 1 л, СТ РК 1760-2008</t>
  </si>
  <si>
    <t>Молоко 2,5 % жирности. 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2,5 % жирности пастеризованное. СТ РК 1760-2008</t>
  </si>
  <si>
    <t>г.Павлодар, ул.Химкомбинатовская, д.1</t>
  </si>
  <si>
    <t>134 Т</t>
  </si>
  <si>
    <t>35.11.10.100.000.00.0214.000000000000</t>
  </si>
  <si>
    <t>Электроэнергия</t>
  </si>
  <si>
    <t>для собственного потребления, ГОСТ 13109-97</t>
  </si>
  <si>
    <t>ОИ</t>
  </si>
  <si>
    <t>январь-февраль</t>
  </si>
  <si>
    <t>г.Астана</t>
  </si>
  <si>
    <t>со дня заключения договора по 31 декабря 2016 г.</t>
  </si>
  <si>
    <t>по факту в течение года</t>
  </si>
  <si>
    <t>Киловатт</t>
  </si>
  <si>
    <t>135 Т</t>
  </si>
  <si>
    <t>Акмолинская область, п.Зеренда</t>
  </si>
  <si>
    <t>136 Т</t>
  </si>
  <si>
    <t>г.Атырау</t>
  </si>
  <si>
    <t>137 Т</t>
  </si>
  <si>
    <t>35.30.11.130.000.00.0233.000000000000</t>
  </si>
  <si>
    <t>Энергия тепловая</t>
  </si>
  <si>
    <t>в горячей воде, для коммунальных нужд</t>
  </si>
  <si>
    <t>Гигакалория</t>
  </si>
  <si>
    <t>138 Т</t>
  </si>
  <si>
    <t>139 Т</t>
  </si>
  <si>
    <t>06.20.10.100.000.00.0113.000000000000</t>
  </si>
  <si>
    <t>Газ</t>
  </si>
  <si>
    <t>природный, сжиженный</t>
  </si>
  <si>
    <t>г.Актау</t>
  </si>
  <si>
    <t>авансовый платеж - 100%, по заявкам Заказчика</t>
  </si>
  <si>
    <t>Метр кубический</t>
  </si>
  <si>
    <t>140 Т</t>
  </si>
  <si>
    <t>141 Т</t>
  </si>
  <si>
    <t>19.20.21.550.000.00.0112.000000000000</t>
  </si>
  <si>
    <t>Бензин</t>
  </si>
  <si>
    <t>для двигателей с искровым зажиганием, марка АИ-95, неэтилированный и этилированный</t>
  </si>
  <si>
    <t>по карточной системе</t>
  </si>
  <si>
    <t>99.99%</t>
  </si>
  <si>
    <t>142 Т</t>
  </si>
  <si>
    <t>19.20.21.530.000.00.0112.000000000001</t>
  </si>
  <si>
    <t>для двигателей с искровым зажиганием, марка АИ-92, неэтилированный и этилированный</t>
  </si>
  <si>
    <t>143 Т</t>
  </si>
  <si>
    <t>г.Алматы</t>
  </si>
  <si>
    <t>144 Т</t>
  </si>
  <si>
    <t>г.Павлодар</t>
  </si>
  <si>
    <t>145 Т</t>
  </si>
  <si>
    <t>145-1 Т</t>
  </si>
  <si>
    <t>по талонной системе</t>
  </si>
  <si>
    <t>146 Т</t>
  </si>
  <si>
    <t>146-1 Т</t>
  </si>
  <si>
    <t>147 Т</t>
  </si>
  <si>
    <t>19.20.26.510.000.01.0112.000000000000</t>
  </si>
  <si>
    <t>Топливо</t>
  </si>
  <si>
    <t>дизельное, температура застывания не выше -10°С, плотность при 20 °С не более 860 кг/м3, летнее, ГОСТ 305-82</t>
  </si>
  <si>
    <t>148 Т</t>
  </si>
  <si>
    <t>19.20.26.520.000.01.0112.000000000000</t>
  </si>
  <si>
    <t>дизельное, температура застывания не выше -35-- 45°С, плотность при 20 °С не более 840 кг/м3, зимнее, ГОСТ 305-82</t>
  </si>
  <si>
    <t>149 Т</t>
  </si>
  <si>
    <t>для котельных наливом</t>
  </si>
  <si>
    <t>150 Т</t>
  </si>
  <si>
    <t>19.20.26.510.000.01.0166.000000000000</t>
  </si>
  <si>
    <t>151 Т</t>
  </si>
  <si>
    <t>151-1 Т</t>
  </si>
  <si>
    <t>152 Т</t>
  </si>
  <si>
    <t>152-1 Т</t>
  </si>
  <si>
    <t>153 Т</t>
  </si>
  <si>
    <t>37.00.20.000.000.01.0113.000000000001</t>
  </si>
  <si>
    <t>сточная, бытовая</t>
  </si>
  <si>
    <t>апрель-май</t>
  </si>
  <si>
    <t>154 Т</t>
  </si>
  <si>
    <t>26.70.13.000.001.00.0796.000000000004</t>
  </si>
  <si>
    <t>Камера цифровая</t>
  </si>
  <si>
    <t>сверхкомпактная, количество пикселей не менее 16 млн</t>
  </si>
  <si>
    <t>Матрица 1/2.3", 20.3 Мп, Зум: 30х оптический, 4х цифровой, Поддержка карт памяти SD, SDHC, SDXC, LCD-дисплей 3, Full HD, Тип питания: аккумулятор, Габариты: 112х65х34, вес: 269 грамм, цвет: черный</t>
  </si>
  <si>
    <t>155 Т</t>
  </si>
  <si>
    <t>26.20.40.000.136.00.0796.000000000000</t>
  </si>
  <si>
    <t>Картридж тонерный</t>
  </si>
  <si>
    <t>черный</t>
  </si>
  <si>
    <t>Картридж HP CF210A оригинал от производителя принтера для доукомплектования HP LaserJet PRO 200 M251n, цвет - черный, 1600 страниц А4 при 5% заполнении</t>
  </si>
  <si>
    <t>ЦП</t>
  </si>
  <si>
    <t>г.Астана, пр.Республики, 32</t>
  </si>
  <si>
    <t>156 Т</t>
  </si>
  <si>
    <t>26.20.40.000.136.00.0796.000000000001</t>
  </si>
  <si>
    <t>цветной</t>
  </si>
  <si>
    <t>Картридж HP CF211A оригинал от производителя принтера для доукомплектования HP LaserJet PRO 200 M251n, цвет - голубой, 1800 страниц А4 при 5% заполнении</t>
  </si>
  <si>
    <t>157 Т</t>
  </si>
  <si>
    <t>Картридж HP CF212A оригинал от производителя принтера для доукомплектования HP LaserJet PRO 200 M251n, цвет - желтый, 1800 страниц А4 при 5% заполнении</t>
  </si>
  <si>
    <t>158 Т</t>
  </si>
  <si>
    <t>Картридж HP CF213A оригинал от производителя принтера для доукомплектования HP LaserJet PRO 200 M251n, цвет - пурпурный, 1800 страниц А4 при 5% заполнении</t>
  </si>
  <si>
    <t>159 Т</t>
  </si>
  <si>
    <t>Картридж Xerox 106R02612 оригинал от производителя принтера для доукомплектования Xerox Phaser 7100DN, цвет - черный, 10000 страниц</t>
  </si>
  <si>
    <t>160 Т</t>
  </si>
  <si>
    <t>Картридж Xerox 106R02609 оригинал от производителя принтера для доукомплектования Xerox Phaser 7100DN, цвет - голубой, 9000 страниц</t>
  </si>
  <si>
    <t>161 Т</t>
  </si>
  <si>
    <t>Картридж Xerox 106R02611 оригинал от производителя принтера для доукомплектования Xerox Phaser 7100DN, цвет - желтый, 9000 страниц</t>
  </si>
  <si>
    <t>162 Т</t>
  </si>
  <si>
    <t>Картридж Xerox 106R02610 оригинал от производителя принтера для доукомплектования Xerox Phaser 7100DN, цвет - пурпурный, 9000 страниц</t>
  </si>
  <si>
    <t>163 Т</t>
  </si>
  <si>
    <t>32.50.30.500.005.02.0796.000000000000</t>
  </si>
  <si>
    <t>Шкаф</t>
  </si>
  <si>
    <t>аптечка, навесной, для хранения лекарств и средств первой медицинской помощи</t>
  </si>
  <si>
    <t>г.Астана, ул.Ауэзова, д.18</t>
  </si>
  <si>
    <t>164 Т</t>
  </si>
  <si>
    <t>28.29.13.300.003.00.0796.000000000005</t>
  </si>
  <si>
    <t>Фильтр</t>
  </si>
  <si>
    <t>масляный, для двигателя внутреннего сгорания, механический, бумажный</t>
  </si>
  <si>
    <t>Lexus LX570</t>
  </si>
  <si>
    <t>165 Т</t>
  </si>
  <si>
    <t>28.29.13.500.000.01.0796.000000000000</t>
  </si>
  <si>
    <t>воздушный, для двигателя внутреннего сгорания, для легковых автомобилей</t>
  </si>
  <si>
    <t xml:space="preserve">Lexus LX570 </t>
  </si>
  <si>
    <t>166 Т</t>
  </si>
  <si>
    <t>28.25.30.900.005.00.0796.000000000000</t>
  </si>
  <si>
    <t>осушитель, для удаления влаги из хладагента, к холодильному оборудованию</t>
  </si>
  <si>
    <t xml:space="preserve">фильтр салона для легковых автомобилей Lexus LX570 </t>
  </si>
  <si>
    <t>167 Т</t>
  </si>
  <si>
    <t>28.29.13.300.003.01.0796.000000000003</t>
  </si>
  <si>
    <t>топливный, для легковых автомобилей с двигателем внутреннего сгорания с непосредственным впрыском (инжекторные)</t>
  </si>
  <si>
    <t>168 Т</t>
  </si>
  <si>
    <t>29.31.21.350.000.01.0796.000000000002</t>
  </si>
  <si>
    <t>Свеча зажигания</t>
  </si>
  <si>
    <t>для легкового автомобиля, резьба М14, короткая</t>
  </si>
  <si>
    <t>169 Т</t>
  </si>
  <si>
    <t>29.32.30.250.033.00.0839.000000000000</t>
  </si>
  <si>
    <t>Колодка</t>
  </si>
  <si>
    <t>тормозная, для легкового автомобиля, передняя</t>
  </si>
  <si>
    <t>Комплект</t>
  </si>
  <si>
    <t>170 Т</t>
  </si>
  <si>
    <t>29.32.30.250.033.00.0839.000000000003</t>
  </si>
  <si>
    <t>тормозная, для легкового автомобиля, задняя</t>
  </si>
  <si>
    <t>171 Т</t>
  </si>
  <si>
    <t>29.32.30.250.036.00.0796.000000000000</t>
  </si>
  <si>
    <t>Диск</t>
  </si>
  <si>
    <t>для легкового автомобиля, тормозной, передний</t>
  </si>
  <si>
    <t>172 Т</t>
  </si>
  <si>
    <t>29.32.30.250.036.00.0796.000000000003</t>
  </si>
  <si>
    <t>для легкового автомобиля, тормозной, задний</t>
  </si>
  <si>
    <t>173 Т</t>
  </si>
  <si>
    <t>29.32.30.500.002.00.0796.000000000001</t>
  </si>
  <si>
    <t>Амортизатор</t>
  </si>
  <si>
    <t>для легкового автомобиля, передней подвески, газовый (с гидравлическим газовым подпором)</t>
  </si>
  <si>
    <t xml:space="preserve">Lexus LX 570 </t>
  </si>
  <si>
    <t>174 Т</t>
  </si>
  <si>
    <t>29.32.30.500.002.00.0796.000000000003</t>
  </si>
  <si>
    <t>для легкового автомобиля, задней подвески, газовый (с гидравлическим газовым подпором)</t>
  </si>
  <si>
    <t>175 Т</t>
  </si>
  <si>
    <t>29.32.30.950.025.02.0796.000000000000</t>
  </si>
  <si>
    <t>Стойка</t>
  </si>
  <si>
    <t>стабилизатора, передняя, для легковых автомобилей</t>
  </si>
  <si>
    <t>176 Т</t>
  </si>
  <si>
    <t>29.32.30.950.025.02.0796.000000000003</t>
  </si>
  <si>
    <t>стабилизатора, задняя, для легковых автомобилей</t>
  </si>
  <si>
    <t>Lexus LX 570</t>
  </si>
  <si>
    <t>177 Т</t>
  </si>
  <si>
    <t>27.40.14.600.001.00.0796.000000000015</t>
  </si>
  <si>
    <t>Лампа автомобильная</t>
  </si>
  <si>
    <t>тип цоколя Н1, ксеноновая</t>
  </si>
  <si>
    <t>Лампа фары ближнего света ксенон  на Lexus LX 570</t>
  </si>
  <si>
    <t>178 Т</t>
  </si>
  <si>
    <t>Лампа фары дальнего света ксенон  на Lexus LX 570</t>
  </si>
  <si>
    <t>179 Т</t>
  </si>
  <si>
    <t>29.31.30.300.018.01.0796.000000000000</t>
  </si>
  <si>
    <t>Муфта</t>
  </si>
  <si>
    <t>обгонная, для стартера, для легкового автомобиля, роликового типа</t>
  </si>
  <si>
    <t xml:space="preserve">бендикс стартера  на Lexus LX 570 </t>
  </si>
  <si>
    <t>180 Т</t>
  </si>
  <si>
    <t>29.31.30.300.016.01.0796.000000000001</t>
  </si>
  <si>
    <t>Реле</t>
  </si>
  <si>
    <t>для легкового автомобиля, втягивающее, для стартера, с инерционным или комбинированным приводом</t>
  </si>
  <si>
    <t xml:space="preserve">втягивающее реле стартера на Lexus LX 570 </t>
  </si>
  <si>
    <t>181 Т</t>
  </si>
  <si>
    <t>29.31.30.300.020.00.0839.000000000008</t>
  </si>
  <si>
    <t>Щетка</t>
  </si>
  <si>
    <t>стартера, для легкового автомобиля, графитная</t>
  </si>
  <si>
    <t xml:space="preserve"> Lexus LX 570</t>
  </si>
  <si>
    <t>839</t>
  </si>
  <si>
    <t>182 Т</t>
  </si>
  <si>
    <t>29.31.30.300.015.00.0796.000000000001</t>
  </si>
  <si>
    <t>Мост диодный</t>
  </si>
  <si>
    <t>генератора, для легкового автомобиля, средней мощности</t>
  </si>
  <si>
    <t>183 Т</t>
  </si>
  <si>
    <t>29.31.30.300.020.00.0839.000000000000</t>
  </si>
  <si>
    <t>генератора, для легкового автомобиля, меднографитная</t>
  </si>
  <si>
    <t xml:space="preserve"> Lexus LX 570 </t>
  </si>
  <si>
    <t>184 Т</t>
  </si>
  <si>
    <t>29.32.30.300.023.01.0796.000000000000</t>
  </si>
  <si>
    <t>Крестовина</t>
  </si>
  <si>
    <t>карданная, для легкового автомобиля</t>
  </si>
  <si>
    <t>185 Т</t>
  </si>
  <si>
    <t>29.32.30.950.016.01.0796.000000000000</t>
  </si>
  <si>
    <t>Сайлентблок</t>
  </si>
  <si>
    <t>переднего рычага, для легкового автомобиля</t>
  </si>
  <si>
    <t>186 Т</t>
  </si>
  <si>
    <t>29.32.30.950.019.00.0796.000000000000</t>
  </si>
  <si>
    <t>Опора</t>
  </si>
  <si>
    <t>шаровая, для легкового автомобиля</t>
  </si>
  <si>
    <t xml:space="preserve">шаровая опора нижняя на Lexus LX 570 </t>
  </si>
  <si>
    <t>187 Т</t>
  </si>
  <si>
    <t xml:space="preserve">шаровая опора верхняя на Lexus LX 570 </t>
  </si>
  <si>
    <t>188 Т</t>
  </si>
  <si>
    <t>22.19.30.500.002.11.0796.000000000000</t>
  </si>
  <si>
    <t>Шланг</t>
  </si>
  <si>
    <t>тормозной, резиновый, автомобильный</t>
  </si>
  <si>
    <t xml:space="preserve">шланги тормозные передние на Lexus LX 570 </t>
  </si>
  <si>
    <t>189 Т</t>
  </si>
  <si>
    <t>шланги тормозные задние на Lexus LX 570</t>
  </si>
  <si>
    <t>190 Т</t>
  </si>
  <si>
    <t>29.32.30.990.143.00.0796.000000000000</t>
  </si>
  <si>
    <t>Датчик синхронизации и скоростного вращения</t>
  </si>
  <si>
    <t>для легкового автомобиля</t>
  </si>
  <si>
    <t>191 Т</t>
  </si>
  <si>
    <t>22.19.73.470.001.01.0839.000000000003</t>
  </si>
  <si>
    <t>Пыльник</t>
  </si>
  <si>
    <t>для легковых автомобилей, приводов ШРУС (наружный)</t>
  </si>
  <si>
    <t>192 Т</t>
  </si>
  <si>
    <t>29.32.30.990.060.00.0796.000000000003</t>
  </si>
  <si>
    <t>Мотор</t>
  </si>
  <si>
    <t>отопителя, для легкового автомобиля</t>
  </si>
  <si>
    <t>193 Т</t>
  </si>
  <si>
    <t>29.32.30.910.021.01.0796.000000000002</t>
  </si>
  <si>
    <t>Насос</t>
  </si>
  <si>
    <t>топливный, для легковых автомобилей, распределительный, двухплунжерный</t>
  </si>
  <si>
    <t>194 Т</t>
  </si>
  <si>
    <t>29.31.30.300.025.00.0796.000000000000</t>
  </si>
  <si>
    <t>Катушка</t>
  </si>
  <si>
    <t>системы зажигания, для легкового автомобиля, с разомкнутым магнитопроводом</t>
  </si>
  <si>
    <t>195 Т</t>
  </si>
  <si>
    <t>29.32.30.670.016.00.0839.000000000000</t>
  </si>
  <si>
    <t>Наконечник</t>
  </si>
  <si>
    <t>для легкового автомобиля, рулевой</t>
  </si>
  <si>
    <t>196 Т</t>
  </si>
  <si>
    <t>29.32.30.670.008.00.0796.000000000000</t>
  </si>
  <si>
    <t>Тяга</t>
  </si>
  <si>
    <t>рулевая, для легкового автомобиля, продольная</t>
  </si>
  <si>
    <t>197 Т</t>
  </si>
  <si>
    <t>28.29.13.300.003.00.0796.000000000000</t>
  </si>
  <si>
    <t>масляный, для двигателя внутреннего сгорания, магнитный</t>
  </si>
  <si>
    <t xml:space="preserve">Toyota Land Cruiser 200/100 </t>
  </si>
  <si>
    <t>198 Т</t>
  </si>
  <si>
    <t>199 Т</t>
  </si>
  <si>
    <t xml:space="preserve">фильтр салона для легковых автомобилей Toyota Land Cruiser 200/100 </t>
  </si>
  <si>
    <t>200 Т</t>
  </si>
  <si>
    <t>201 Т</t>
  </si>
  <si>
    <t>202 Т</t>
  </si>
  <si>
    <t>Toyota Land Cruiser 200/100</t>
  </si>
  <si>
    <t>203 Т</t>
  </si>
  <si>
    <t>204 Т</t>
  </si>
  <si>
    <t>205 Т</t>
  </si>
  <si>
    <t>206 Т</t>
  </si>
  <si>
    <t>29.32.30.500.002.00.0796.000000000000</t>
  </si>
  <si>
    <t>для легкового автомобиля, передней подвески, жидкостный (гидравлический)</t>
  </si>
  <si>
    <t>207 Т</t>
  </si>
  <si>
    <t>29.32.30.500.002.00.0796.000000000002</t>
  </si>
  <si>
    <t>для легкового автомобиля, задней подвески, жидкостный (гидравлический)</t>
  </si>
  <si>
    <t>208 Т</t>
  </si>
  <si>
    <t>209 Т</t>
  </si>
  <si>
    <t>210 Т</t>
  </si>
  <si>
    <t>29.32.30.950.021.02.0796.000000000000</t>
  </si>
  <si>
    <t>Рычаг</t>
  </si>
  <si>
    <t>поперечный, для легкового автомобиля</t>
  </si>
  <si>
    <t>Нижний рычаг в комплекте на Toyota Land Cruiser 200/100</t>
  </si>
  <si>
    <t>211 Т</t>
  </si>
  <si>
    <t xml:space="preserve">Верхний рычаг в комплекте на Toyota Land Cruiser 200/100 </t>
  </si>
  <si>
    <t>212 Т</t>
  </si>
  <si>
    <t>29.32.30.950.021.01.0796.000000000000</t>
  </si>
  <si>
    <t>продольный, для легкового автомобиля</t>
  </si>
  <si>
    <t>213 Т</t>
  </si>
  <si>
    <t>214 Т</t>
  </si>
  <si>
    <t>29.32.30.300.051.00.0796.000000000000</t>
  </si>
  <si>
    <t>Гидромуфта</t>
  </si>
  <si>
    <t>215 Т</t>
  </si>
  <si>
    <t>28.13.11.700.002.00.0796.000000000001</t>
  </si>
  <si>
    <t>Насос водяной</t>
  </si>
  <si>
    <t>216 Т</t>
  </si>
  <si>
    <t>29.32.30.990.059.00.0839.000000000000</t>
  </si>
  <si>
    <t>Радиатор</t>
  </si>
  <si>
    <t>217 Т</t>
  </si>
  <si>
    <t>218 Т</t>
  </si>
  <si>
    <t>29.31.22.350.003.01.0796.000000000000</t>
  </si>
  <si>
    <t>Стартер</t>
  </si>
  <si>
    <t>для легкового автомобиля, с электромеханическим перемещением шестерни привода</t>
  </si>
  <si>
    <t>219 Т</t>
  </si>
  <si>
    <t>29.31.22.550.000.00.0796.000000000001</t>
  </si>
  <si>
    <t>Генератор</t>
  </si>
  <si>
    <t>постоянного тока, для легкового автомобиля, номинальное напряжение более 7 В, но не более 14 В, с последовательным возбуждением</t>
  </si>
  <si>
    <t>220 Т</t>
  </si>
  <si>
    <t>221 Т</t>
  </si>
  <si>
    <t>222 Т</t>
  </si>
  <si>
    <t>223 Т</t>
  </si>
  <si>
    <t>29.32.30.990.032.01.0796.000000000000</t>
  </si>
  <si>
    <t>Ролик</t>
  </si>
  <si>
    <t>для легкового автомобиля, натяжной</t>
  </si>
  <si>
    <t>224 Т</t>
  </si>
  <si>
    <t>29.31.30.300.007.01.0796.000000000000</t>
  </si>
  <si>
    <t>Ремень</t>
  </si>
  <si>
    <t>для легкового автомобиля, привода генератора и водяного насоса</t>
  </si>
  <si>
    <t xml:space="preserve">Обводной ролик на Toyota Land Cruiser 200/100 </t>
  </si>
  <si>
    <t>225 Т</t>
  </si>
  <si>
    <t>226 Т</t>
  </si>
  <si>
    <t xml:space="preserve">ближнего света, Toyota Land Cruiser 200/100 </t>
  </si>
  <si>
    <t>227 Т</t>
  </si>
  <si>
    <t xml:space="preserve">дальнего света, Toyota Land Cruiser 200/100 </t>
  </si>
  <si>
    <t>228 Т</t>
  </si>
  <si>
    <t xml:space="preserve">бендикс стартера  на Toyota Land Cruiser 200/100 </t>
  </si>
  <si>
    <t>229 Т</t>
  </si>
  <si>
    <t xml:space="preserve">втягивающее реле стартера на Toyota Land Cruiser 200/100 </t>
  </si>
  <si>
    <t>230 Т</t>
  </si>
  <si>
    <t>231 Т</t>
  </si>
  <si>
    <t>232 Т</t>
  </si>
  <si>
    <t>233 Т</t>
  </si>
  <si>
    <t>234 Т</t>
  </si>
  <si>
    <t xml:space="preserve">шаровая опора нижняя на Toyota Land Cruiser 200/100 </t>
  </si>
  <si>
    <t>235 Т</t>
  </si>
  <si>
    <t xml:space="preserve">шаровая опора верхняя на Toyota Land Cruiser 200/100 </t>
  </si>
  <si>
    <t>236 Т</t>
  </si>
  <si>
    <t xml:space="preserve">шланги тормозные передние на Toyota Land Cruiser 200/100 </t>
  </si>
  <si>
    <t>237 Т</t>
  </si>
  <si>
    <t xml:space="preserve">шланги тормозные задние на Toyota Land Cruiser 200/100 </t>
  </si>
  <si>
    <t>238 Т</t>
  </si>
  <si>
    <t>239 Т</t>
  </si>
  <si>
    <t>240 Т</t>
  </si>
  <si>
    <t>29.32.30.990.020.01.0796.000000000002</t>
  </si>
  <si>
    <t>для легкового автомобиля, привода газораспределительного механизма</t>
  </si>
  <si>
    <t>241 Т</t>
  </si>
  <si>
    <t>29.32.30.990.032.01.0796.000000000001</t>
  </si>
  <si>
    <t>для легкового автомобиля, ремня газораспределительного механизма</t>
  </si>
  <si>
    <t>242 Т</t>
  </si>
  <si>
    <t>28.11.41.700.002.12.0796.000000000000</t>
  </si>
  <si>
    <t>Прокладка</t>
  </si>
  <si>
    <t>клапанной крышки, клапанной крышки, для легкового автомобиля</t>
  </si>
  <si>
    <t>243 Т</t>
  </si>
  <si>
    <t>29.32.30.990.058.05.0796.000000000000</t>
  </si>
  <si>
    <t>для двигателя внутреннего сгорания, для легкового автомобиля</t>
  </si>
  <si>
    <t>244 Т</t>
  </si>
  <si>
    <t>245 Т</t>
  </si>
  <si>
    <t>Kia Mohave</t>
  </si>
  <si>
    <t>246 Т</t>
  </si>
  <si>
    <t>247 Т</t>
  </si>
  <si>
    <t>фильтр салона для легковых автомобилей Kia Mohave</t>
  </si>
  <si>
    <t>248 Т</t>
  </si>
  <si>
    <t>249 Т</t>
  </si>
  <si>
    <t>29.31.21.350.000.01.0796.000000000003</t>
  </si>
  <si>
    <t>для легкового автомобиля, резьба М16, короткая</t>
  </si>
  <si>
    <t>250 Т</t>
  </si>
  <si>
    <t>251 Т</t>
  </si>
  <si>
    <t>252 Т</t>
  </si>
  <si>
    <t>253 Т</t>
  </si>
  <si>
    <t>254 Т</t>
  </si>
  <si>
    <t>255 Т</t>
  </si>
  <si>
    <t>256 Т</t>
  </si>
  <si>
    <t>257 Т</t>
  </si>
  <si>
    <t>рычаг продольный задний на Kia Mohave</t>
  </si>
  <si>
    <t>258 Т</t>
  </si>
  <si>
    <t>Нижний рычаг в комплекте на Kia Mohave</t>
  </si>
  <si>
    <t>259 Т</t>
  </si>
  <si>
    <t>Верхний рычаг в комплекте на Kia Mohave</t>
  </si>
  <si>
    <t>260 Т</t>
  </si>
  <si>
    <t>261 Т</t>
  </si>
  <si>
    <t>262 Т</t>
  </si>
  <si>
    <t>263 Т</t>
  </si>
  <si>
    <t>264 Т</t>
  </si>
  <si>
    <t>Ssang Yong Chairman</t>
  </si>
  <si>
    <t>265 Т</t>
  </si>
  <si>
    <t xml:space="preserve"> Ssang Yong Chairman</t>
  </si>
  <si>
    <t>266 Т</t>
  </si>
  <si>
    <t>фильтр салона для легковых автомобилей Ssang Yong Chairman</t>
  </si>
  <si>
    <t>267 Т</t>
  </si>
  <si>
    <t>268 Т</t>
  </si>
  <si>
    <t>269 Т</t>
  </si>
  <si>
    <t>270 Т</t>
  </si>
  <si>
    <t>271 Т</t>
  </si>
  <si>
    <t>272 Т</t>
  </si>
  <si>
    <t>273 Т</t>
  </si>
  <si>
    <t>274 Т</t>
  </si>
  <si>
    <t>275 Т</t>
  </si>
  <si>
    <t>276 Т</t>
  </si>
  <si>
    <t>277 Т</t>
  </si>
  <si>
    <t>278 Т</t>
  </si>
  <si>
    <t>279 Т</t>
  </si>
  <si>
    <t>280 Т</t>
  </si>
  <si>
    <t>281 Т</t>
  </si>
  <si>
    <t xml:space="preserve"> Toyota Camry 40 </t>
  </si>
  <si>
    <t>282 Т</t>
  </si>
  <si>
    <t xml:space="preserve"> Toyota Camry 40</t>
  </si>
  <si>
    <t>283 Т</t>
  </si>
  <si>
    <t>284 Т</t>
  </si>
  <si>
    <t>285 Т</t>
  </si>
  <si>
    <t>286 Т</t>
  </si>
  <si>
    <t>287 Т</t>
  </si>
  <si>
    <t>288 Т</t>
  </si>
  <si>
    <t>289 Т</t>
  </si>
  <si>
    <t>290 Т</t>
  </si>
  <si>
    <t xml:space="preserve"> в комплекте на Toyota Camry 40</t>
  </si>
  <si>
    <t>291 Т</t>
  </si>
  <si>
    <t>в комплекте на  Toyota Camry 40</t>
  </si>
  <si>
    <t>292 Т</t>
  </si>
  <si>
    <t>293 Т</t>
  </si>
  <si>
    <t>294 Т</t>
  </si>
  <si>
    <t xml:space="preserve">рычаг нижний в комплекте на Toyota Camry </t>
  </si>
  <si>
    <t>295 Т</t>
  </si>
  <si>
    <t xml:space="preserve">в комплекте на Toyota Camry 40 </t>
  </si>
  <si>
    <t>296 Т</t>
  </si>
  <si>
    <t>Рычаг поперечный, тяга на Toyota Camry 40</t>
  </si>
  <si>
    <t>297 Т</t>
  </si>
  <si>
    <t xml:space="preserve">Toyota Camry 40 </t>
  </si>
  <si>
    <t>298 Т</t>
  </si>
  <si>
    <t xml:space="preserve">Рычаг поперечный, тяга на Toyota Camry 40 </t>
  </si>
  <si>
    <t>299 Т</t>
  </si>
  <si>
    <t>29.32.30.400.002.00.0796.000000000003</t>
  </si>
  <si>
    <t>Подшипник ступицы</t>
  </si>
  <si>
    <t>задний, для легкового автомобиля</t>
  </si>
  <si>
    <t>300 Т</t>
  </si>
  <si>
    <t>29.32.30.400.002.00.0796.000000000000</t>
  </si>
  <si>
    <t>передний, для легкового автомобиля</t>
  </si>
  <si>
    <t>301 Т</t>
  </si>
  <si>
    <t>302 Т</t>
  </si>
  <si>
    <t>303 Т</t>
  </si>
  <si>
    <t>Toyota Camry 40</t>
  </si>
  <si>
    <t>304 Т</t>
  </si>
  <si>
    <t>305 Т</t>
  </si>
  <si>
    <t>306 Т</t>
  </si>
  <si>
    <t>29.31.22.550.000.00.0796.000000000005</t>
  </si>
  <si>
    <t>постоянного тока, для легкового автомобиля, номинальное напряжение более 7 В, но не более 14 В, с независимым возбуждением</t>
  </si>
  <si>
    <t>307 Т</t>
  </si>
  <si>
    <t>308 Т</t>
  </si>
  <si>
    <t>309 Т</t>
  </si>
  <si>
    <t>310 Т</t>
  </si>
  <si>
    <t>311 Т</t>
  </si>
  <si>
    <t>312 Т</t>
  </si>
  <si>
    <t>313 Т</t>
  </si>
  <si>
    <t>314 Т</t>
  </si>
  <si>
    <t>315 Т</t>
  </si>
  <si>
    <t>316 Т</t>
  </si>
  <si>
    <t>27.40.14.600.001.00.0796.000000000014</t>
  </si>
  <si>
    <t>тип цоколя D4S, ксеноновая</t>
  </si>
  <si>
    <t xml:space="preserve">Лампа фары ближнего света ксенон на Toyota Camry 40 </t>
  </si>
  <si>
    <t>317 Т</t>
  </si>
  <si>
    <t xml:space="preserve"> Лампа фары дальнего света на Toyota Camry 40 </t>
  </si>
  <si>
    <t>318 Т</t>
  </si>
  <si>
    <t xml:space="preserve">бендикс стартера  на Toyota Camry 40 </t>
  </si>
  <si>
    <t>319 Т</t>
  </si>
  <si>
    <t xml:space="preserve">втягивающее реле стартера на  Toyota Camry 40 </t>
  </si>
  <si>
    <t>320 Т</t>
  </si>
  <si>
    <t>321 Т</t>
  </si>
  <si>
    <t>322 Т</t>
  </si>
  <si>
    <t>323 Т</t>
  </si>
  <si>
    <t>324 Т</t>
  </si>
  <si>
    <t>Toyota HiAce 2.7</t>
  </si>
  <si>
    <t>325 Т</t>
  </si>
  <si>
    <t>326 Т</t>
  </si>
  <si>
    <t>327 Т</t>
  </si>
  <si>
    <t>328 Т</t>
  </si>
  <si>
    <t>329 Т</t>
  </si>
  <si>
    <t>330 Т</t>
  </si>
  <si>
    <t>331 Т</t>
  </si>
  <si>
    <t>332 Т</t>
  </si>
  <si>
    <t>333 Т</t>
  </si>
  <si>
    <t>29.32.30.650.009.00.0796.000000000000</t>
  </si>
  <si>
    <t>Сцепление</t>
  </si>
  <si>
    <t>334 Т</t>
  </si>
  <si>
    <t>29.32.30.990.002.05.0796.000000000000</t>
  </si>
  <si>
    <t>для передней подвески, для легковых автомобилей</t>
  </si>
  <si>
    <t xml:space="preserve"> Рычаг верхний в комплекте   для Toyota HiAce 2.7</t>
  </si>
  <si>
    <t>335 Т</t>
  </si>
  <si>
    <t xml:space="preserve"> Рычаг нижний в комплекте для Toyota HiAce 2.7</t>
  </si>
  <si>
    <t>336 Т</t>
  </si>
  <si>
    <t>Сайлент-блок верхнего рычана на Toyota HiAce 2.7</t>
  </si>
  <si>
    <t>337 Т</t>
  </si>
  <si>
    <t>Сайлент-блок нижнего рычана на Toyota HiAce 2.7</t>
  </si>
  <si>
    <t>338 Т</t>
  </si>
  <si>
    <t xml:space="preserve"> шаровая опора нижняя  для Toyota HiAce 2.7</t>
  </si>
  <si>
    <t>339 Т</t>
  </si>
  <si>
    <t>340 Т</t>
  </si>
  <si>
    <t>341 Т</t>
  </si>
  <si>
    <t>29.32.30.950.029.01.0796.000000000001</t>
  </si>
  <si>
    <t>Рессора</t>
  </si>
  <si>
    <t>для легкового автомобиля, задняя</t>
  </si>
  <si>
    <t>342 Т</t>
  </si>
  <si>
    <t>343 Т</t>
  </si>
  <si>
    <t>344 Т</t>
  </si>
  <si>
    <t>29.32.30.910.021.01.0796.000000000001</t>
  </si>
  <si>
    <t>топливный, для легковых автомобилей, распределительный, одноплунжерный</t>
  </si>
  <si>
    <t>345 Т</t>
  </si>
  <si>
    <t>346 Т</t>
  </si>
  <si>
    <t>Лампа фары ближнего света на Toyota HiAce 2.7</t>
  </si>
  <si>
    <t>347 Т</t>
  </si>
  <si>
    <t xml:space="preserve"> Лампа фары дальнего света на Toyota HiAce 2.7</t>
  </si>
  <si>
    <t>348 Т</t>
  </si>
  <si>
    <t>бендикс стартера  на Toyota HiAce 2.7</t>
  </si>
  <si>
    <t>349 Т</t>
  </si>
  <si>
    <t>29.31.30.300.016.01.0796.000000000000</t>
  </si>
  <si>
    <t>для легкового автомобиля, втягивающее, для стартера, с электромеханическим перемещением шестерни привода</t>
  </si>
  <si>
    <t>350 Т</t>
  </si>
  <si>
    <t>351 Т</t>
  </si>
  <si>
    <t>352 Т</t>
  </si>
  <si>
    <t>353 Т</t>
  </si>
  <si>
    <t>шланги тормозные передние на Toyota HiAce 2.7</t>
  </si>
  <si>
    <t>354 Т</t>
  </si>
  <si>
    <t>шланги тормозные задние на Toyota HiAce 2.7</t>
  </si>
  <si>
    <t>355 Т</t>
  </si>
  <si>
    <t>356 Т</t>
  </si>
  <si>
    <t>357 Т</t>
  </si>
  <si>
    <t xml:space="preserve">Hyundai Universe </t>
  </si>
  <si>
    <t>358 Т</t>
  </si>
  <si>
    <t>28.29.13.500.000.01.0796.000000000002</t>
  </si>
  <si>
    <t>воздушный, для двигателя внутреннего сгорания, для специальных автомобилей</t>
  </si>
  <si>
    <t>359 Т</t>
  </si>
  <si>
    <t>28.13.31.000.058.01.0796.000000000003</t>
  </si>
  <si>
    <t>влагоотделитель, автоматический отвод конденсата, минимальное давление воздуха - 0,1 Мпа, условный диаметр 16 мм</t>
  </si>
  <si>
    <t>360 Т</t>
  </si>
  <si>
    <t>28.29.13.300.003.01.0796.000000000011</t>
  </si>
  <si>
    <t>топливный, для дизельного двигателя специального автомобиля, тонкой очистки</t>
  </si>
  <si>
    <t>361 Т</t>
  </si>
  <si>
    <t>29.32.30.250.033.00.0839.000000000002</t>
  </si>
  <si>
    <t>тормозная, для специального и специализированного автомобиля, передняя</t>
  </si>
  <si>
    <t>362 Т</t>
  </si>
  <si>
    <t>29.32.30.250.033.00.0839.000000000005</t>
  </si>
  <si>
    <t>тормозная, для специального и специализированного автомобиля, задняя</t>
  </si>
  <si>
    <t>363 Т</t>
  </si>
  <si>
    <t>29.32.30.250.036.00.0796.000000000002</t>
  </si>
  <si>
    <t>для специального и специализированного автомобиля, тормозной, передний</t>
  </si>
  <si>
    <t>364 Т</t>
  </si>
  <si>
    <t>29.32.30.500.002.00.0796.000000000009</t>
  </si>
  <si>
    <t>для специального и специализированного автомобиля, передней подвески, газовый (с гидравлическим газовым подпором)</t>
  </si>
  <si>
    <t>365 Т</t>
  </si>
  <si>
    <t>29.32.30.500.002.00.0796.000000000011</t>
  </si>
  <si>
    <t>для специального и специализированного автомобиля, задней подвески, газовый (с гидравлическим газовым подпором)</t>
  </si>
  <si>
    <t>366 Т</t>
  </si>
  <si>
    <t>29.32.30.990.098.02.0796.000000000001</t>
  </si>
  <si>
    <t>Сальник</t>
  </si>
  <si>
    <t>для грузового автомобиля, ступицы,</t>
  </si>
  <si>
    <t xml:space="preserve">Сальник задней ступицы на Hyundai Universe </t>
  </si>
  <si>
    <t>367 Т</t>
  </si>
  <si>
    <t>29.32.30.990.012.00.0796.000000000005</t>
  </si>
  <si>
    <t>Подушка</t>
  </si>
  <si>
    <t>пневматическая, для автобуса</t>
  </si>
  <si>
    <t>368 Т</t>
  </si>
  <si>
    <t>28.13.11.700.002.00.0796.000000000003</t>
  </si>
  <si>
    <t>для автобуса</t>
  </si>
  <si>
    <t>369 Т</t>
  </si>
  <si>
    <t>29.31.22.350.003.03.0796.000000000000</t>
  </si>
  <si>
    <t>для специальных и специализированных автомобилей, с электромеханическим перемещением шестерни привода</t>
  </si>
  <si>
    <t>370 Т</t>
  </si>
  <si>
    <t>29.31.22.550.000.00.0796.000000000060</t>
  </si>
  <si>
    <t>переменного тока, для специального и специализированного автомобиля, номинальное напряжение более 28 В</t>
  </si>
  <si>
    <t>371 Т</t>
  </si>
  <si>
    <t>28.11.42.900.029.00.0796.000000000000</t>
  </si>
  <si>
    <t>Свеча накаливания</t>
  </si>
  <si>
    <t>для дизельного двигателя</t>
  </si>
  <si>
    <t>372 Т</t>
  </si>
  <si>
    <t>29.32.30.300.023.01.0796.000000000002</t>
  </si>
  <si>
    <t>373 Т</t>
  </si>
  <si>
    <t>27.40.14.600.001.00.0796.000000000002</t>
  </si>
  <si>
    <t>тип цоколя Н4, галогеновая</t>
  </si>
  <si>
    <t xml:space="preserve">лампа фары ближнего света на Hyundai Universe </t>
  </si>
  <si>
    <t>374 Т</t>
  </si>
  <si>
    <t xml:space="preserve"> Лампа фары дальнего света на Hyundai Universe </t>
  </si>
  <si>
    <t>375 Т</t>
  </si>
  <si>
    <t>28.15.10.900.000.00.0796.000000000013</t>
  </si>
  <si>
    <t>Подшипник шариковый</t>
  </si>
  <si>
    <t>радиально-упорный, наружный диаметр 220 мм, сдвоенный, с коническими роликами</t>
  </si>
  <si>
    <t xml:space="preserve">бендикс стартера на  Hyundai Universe </t>
  </si>
  <si>
    <t>376 Т</t>
  </si>
  <si>
    <t>29.31.30.300.016.03.0796.000000000000</t>
  </si>
  <si>
    <t>для специального и специализированного автомобиля, втягивающее, для стартера, с электромеханическим перемещением шестерни привода</t>
  </si>
  <si>
    <t>Hyundai Universe</t>
  </si>
  <si>
    <t>377 Т</t>
  </si>
  <si>
    <t>29.31.30.300.020.00.0839.000000000020</t>
  </si>
  <si>
    <t>стартера, для специального и специализированного автомобиля, графитная</t>
  </si>
  <si>
    <t>378 Т</t>
  </si>
  <si>
    <t>29.31.30.300.015.00.0796.000000000005</t>
  </si>
  <si>
    <t>генератора, для специального и специализированного автомобиля, средней мощности</t>
  </si>
  <si>
    <t>379 Т</t>
  </si>
  <si>
    <t>29.31.30.300.020.00.0839.000000000004</t>
  </si>
  <si>
    <t>генератора, для грузопассажирского автомобиля, меднографитная</t>
  </si>
  <si>
    <t>380 Т</t>
  </si>
  <si>
    <t>29.32.30.600.009.00.0796.000000000012</t>
  </si>
  <si>
    <t>Патрубок</t>
  </si>
  <si>
    <t>системы охлаждения, для грузового автомобиля</t>
  </si>
  <si>
    <t>381 Т</t>
  </si>
  <si>
    <t>29.32.30.670.008.00.0796.000000000005</t>
  </si>
  <si>
    <t>рулевая, для специального и специализированного автомобиля, поперечная</t>
  </si>
  <si>
    <t>382 Т</t>
  </si>
  <si>
    <t xml:space="preserve">IVECO 50.13 </t>
  </si>
  <si>
    <t>383 Т</t>
  </si>
  <si>
    <t>28.29.13.500.000.01.0796.000000000001</t>
  </si>
  <si>
    <t>воздушный, для двигателя внутреннего сгорания, для грузовых автомобилей</t>
  </si>
  <si>
    <t>IVECO 50.13</t>
  </si>
  <si>
    <t>384 Т</t>
  </si>
  <si>
    <t>28.29.13.300.003.01.0796.000000000004</t>
  </si>
  <si>
    <t>топливный, для грузовых автомобилей с двигателем внутреннего сгорания с непосредственным впрыском (инжекторные)</t>
  </si>
  <si>
    <t>в комплекте на IVECO 50.13</t>
  </si>
  <si>
    <t>385 Т</t>
  </si>
  <si>
    <t>386 Т</t>
  </si>
  <si>
    <t>387 Т</t>
  </si>
  <si>
    <t>388 Т</t>
  </si>
  <si>
    <t>389 Т</t>
  </si>
  <si>
    <t>390 Т</t>
  </si>
  <si>
    <t>29.32.30.650.009.00.0796.000000000002</t>
  </si>
  <si>
    <t>для специального и специализированного автомобиля</t>
  </si>
  <si>
    <t>Сцепление корзина на IVECO 50.13</t>
  </si>
  <si>
    <t>391 Т</t>
  </si>
  <si>
    <t xml:space="preserve">Сцепление фередо на IVECO 50.13 </t>
  </si>
  <si>
    <t>392 Т</t>
  </si>
  <si>
    <t>29.32.30.900.001.01.0796.000000000000</t>
  </si>
  <si>
    <t>Трос</t>
  </si>
  <si>
    <t>для кулисы коробки переключения передач автобуса</t>
  </si>
  <si>
    <t>IVECO 50.13 шасси NJ6713TY6</t>
  </si>
  <si>
    <t>393 Т</t>
  </si>
  <si>
    <t>29.32.30.400.002.00.0796.000000000005</t>
  </si>
  <si>
    <t>задний, для специального и специализированного автомобиля</t>
  </si>
  <si>
    <t>394 Т</t>
  </si>
  <si>
    <t>29.32.30.400.002.00.0796.000000000002</t>
  </si>
  <si>
    <t>передний, для специального и специализированного автомобиля</t>
  </si>
  <si>
    <t>395 Т</t>
  </si>
  <si>
    <t>29.32.30.950.029.03.0796.000000000001</t>
  </si>
  <si>
    <t>для специального и специализированного автомобиля, задняя</t>
  </si>
  <si>
    <t>396 Т</t>
  </si>
  <si>
    <t>28.13.11.700.002.00.0796.000000000002</t>
  </si>
  <si>
    <t>для грузового автомобиля</t>
  </si>
  <si>
    <t>397 Т</t>
  </si>
  <si>
    <t>29.32.30.610.000.03.0796.000000000000</t>
  </si>
  <si>
    <t>для специального и специализированного автомобиля, системы охлаждения</t>
  </si>
  <si>
    <t>398 Т</t>
  </si>
  <si>
    <t>399 Т</t>
  </si>
  <si>
    <t>400 Т</t>
  </si>
  <si>
    <t>401 Т</t>
  </si>
  <si>
    <t>402 Т</t>
  </si>
  <si>
    <t>403 Т</t>
  </si>
  <si>
    <t>404 Т</t>
  </si>
  <si>
    <t>405 Т</t>
  </si>
  <si>
    <t>406 Т</t>
  </si>
  <si>
    <t>407 Т</t>
  </si>
  <si>
    <t>408 Т</t>
  </si>
  <si>
    <t>409 Т</t>
  </si>
  <si>
    <t xml:space="preserve">шланг тормозной передний на  IVECO 50.13 </t>
  </si>
  <si>
    <t>410 Т</t>
  </si>
  <si>
    <t xml:space="preserve"> Шланг тормозной задний на IVECO 50.13 </t>
  </si>
  <si>
    <t>411 Т</t>
  </si>
  <si>
    <t>29.32.30.250.037.00.0796.000000000000</t>
  </si>
  <si>
    <t>Датчик тормозной</t>
  </si>
  <si>
    <t>412 Т</t>
  </si>
  <si>
    <t>29.31.30.530.001.00.0796.000000000002</t>
  </si>
  <si>
    <t>для грузового автомобиля, рулевой</t>
  </si>
  <si>
    <t>413 Т</t>
  </si>
  <si>
    <t>28.29.82.500.004.00.0796.000000000000</t>
  </si>
  <si>
    <t>Элемент фильтра</t>
  </si>
  <si>
    <t>для масляного фильтра</t>
  </si>
  <si>
    <t xml:space="preserve">ЗИЛ </t>
  </si>
  <si>
    <t>414 Т</t>
  </si>
  <si>
    <t>415 Т</t>
  </si>
  <si>
    <t>28.29.13.300.003.01.0796.000000000010</t>
  </si>
  <si>
    <t>топливный, для дизельного двигателя грузового автомобиля, тонкой очистки</t>
  </si>
  <si>
    <t>416 Т</t>
  </si>
  <si>
    <t>29.31.21.350.000.02.0796.000000000003</t>
  </si>
  <si>
    <t>для грузового автомобиля, резьба М16, короткая</t>
  </si>
  <si>
    <t>417 Т</t>
  </si>
  <si>
    <t>29.32.30.250.033.00.0839.000000000001</t>
  </si>
  <si>
    <t>тормозная, для грузового автомобиля, передняя</t>
  </si>
  <si>
    <t>418 Т</t>
  </si>
  <si>
    <t>29.32.30.250.033.00.0839.000000000004</t>
  </si>
  <si>
    <t>тормозная, для грузового автомобиля, задняя</t>
  </si>
  <si>
    <t>419 Т</t>
  </si>
  <si>
    <t>28.11.41.900.116.00.0796.000000000000</t>
  </si>
  <si>
    <t>Комплект ремонтный</t>
  </si>
  <si>
    <t>для двигателя в внутреннего сгорания, в комплекте: гильза, поршень, уплотнительные кольца</t>
  </si>
  <si>
    <t>420 Т</t>
  </si>
  <si>
    <t>421 Т</t>
  </si>
  <si>
    <t>29.32.30.650.009.00.0796.000000000001</t>
  </si>
  <si>
    <t>422 Т</t>
  </si>
  <si>
    <t xml:space="preserve">Комплект элементов масляного фильтра для КАМАЗ </t>
  </si>
  <si>
    <t>423 Т</t>
  </si>
  <si>
    <t xml:space="preserve">КАМАЗ </t>
  </si>
  <si>
    <t>424 Т</t>
  </si>
  <si>
    <t>425 Т</t>
  </si>
  <si>
    <t>29.32.30.250.033.00.0796.000000000001</t>
  </si>
  <si>
    <t>426 Т</t>
  </si>
  <si>
    <t>427 Т</t>
  </si>
  <si>
    <t>428 Т</t>
  </si>
  <si>
    <t xml:space="preserve">в комплекте на КАМАЗ </t>
  </si>
  <si>
    <t>429 Т</t>
  </si>
  <si>
    <t>29.31.30.300.010.00.0796.000000000000</t>
  </si>
  <si>
    <t>Турбокомпрессор</t>
  </si>
  <si>
    <t>системы питания двигателя, для грузового автомобиля</t>
  </si>
  <si>
    <t>430 Т</t>
  </si>
  <si>
    <t>МКСМ-800</t>
  </si>
  <si>
    <t>431 Т</t>
  </si>
  <si>
    <t>28.29.13.500.000.01.0796.000000000003</t>
  </si>
  <si>
    <t>воздушный, для спецтехники</t>
  </si>
  <si>
    <t>432 Т</t>
  </si>
  <si>
    <t>28.29.13.300.003.01.0796.000000000008</t>
  </si>
  <si>
    <t>топливный, для дизельного двигателя специального автомобиля, грубой очистки</t>
  </si>
  <si>
    <t>433 Т</t>
  </si>
  <si>
    <t>434 Т</t>
  </si>
  <si>
    <t>30.20.40.300.931.00.0796.000000000000</t>
  </si>
  <si>
    <t>Гидронасос</t>
  </si>
  <si>
    <t>для подвижного состава</t>
  </si>
  <si>
    <t>435 Т</t>
  </si>
  <si>
    <t>29.32.30.990.093.00.0796.000000000001</t>
  </si>
  <si>
    <t>Гидрораспределитель</t>
  </si>
  <si>
    <t>436 Т</t>
  </si>
  <si>
    <t>МТЗ D-243</t>
  </si>
  <si>
    <t>437 Т</t>
  </si>
  <si>
    <t>438 Т</t>
  </si>
  <si>
    <t>439 Т</t>
  </si>
  <si>
    <t>440 Т</t>
  </si>
  <si>
    <t>Т-30 D-120</t>
  </si>
  <si>
    <t>441 Т</t>
  </si>
  <si>
    <t>442 Т</t>
  </si>
  <si>
    <t>443 Т</t>
  </si>
  <si>
    <t>29.32.30.910.021.01.0796.000000000003</t>
  </si>
  <si>
    <t>топливный, для грузовых автомобилей, рядный</t>
  </si>
  <si>
    <t>444 Т</t>
  </si>
  <si>
    <t>22.11.11.100.000.01.0796.000000001914</t>
  </si>
  <si>
    <t>Шина</t>
  </si>
  <si>
    <t>для легковых автомобилей, летняя, 275, 55, R20, пневматическая, радиальная, бескамерная, ГОСТ 4754-97</t>
  </si>
  <si>
    <t>445 Т</t>
  </si>
  <si>
    <t>22.11.11.100.000.01.0796.000000002437</t>
  </si>
  <si>
    <t>для легковых автомобилей, зимняя, 275, 55, R20, пневматическая, радиальная, бескамерная, шипованная, ГОСТ 4754-97</t>
  </si>
  <si>
    <t>446 Т</t>
  </si>
  <si>
    <t>22.11.11.100.000.01.0796.000000001853</t>
  </si>
  <si>
    <t>для легковых автомобилей, летняя, 275, 65, R17, пневматическая, радиальная, бескамерная, ГОСТ 4754-97</t>
  </si>
  <si>
    <t>447 Т</t>
  </si>
  <si>
    <t>22.11.11.100.000.01.0796.000000002297</t>
  </si>
  <si>
    <t>для легковых автомобилей, зимняя, 275, 65, R17, пневматическая, радиальная, бескамерная, шипованная, ГОСТ 4754-97</t>
  </si>
  <si>
    <t>448 Т</t>
  </si>
  <si>
    <t>22.11.11.100.000.01.0796.000000001885</t>
  </si>
  <si>
    <t>для легковых автомобилей, летняя, 285, 60, R18, пневматическая, радиальная, бескамерная, ГОСТ 4754-97</t>
  </si>
  <si>
    <t>449 Т</t>
  </si>
  <si>
    <t>22.11.11.100.000.01.0796.000000002367</t>
  </si>
  <si>
    <t>для легковых автомобилей, зимняя, 285, 60, R18, пневматическая, радиальная, бескамерная, шипованная, ГОСТ 4754-97</t>
  </si>
  <si>
    <t>450 Т</t>
  </si>
  <si>
    <t>22.11.11.100.000.01.0796.000000001876</t>
  </si>
  <si>
    <t>для легковых автомобилей, летняя, 265, 60, R18, пневматическая, радиальная, бескамерная, ГОСТ 4754-97</t>
  </si>
  <si>
    <t>451 Т</t>
  </si>
  <si>
    <t>22.11.11.100.000.01.0796.000000002364</t>
  </si>
  <si>
    <t>для легковых автомобилей, зимняя, 265, 60, R18, пневматическая, радиальная, бескамерная, шипованная, ГОСТ 4754-97</t>
  </si>
  <si>
    <t>452 Т</t>
  </si>
  <si>
    <t>22.11.11.100.000.01.0796.000000002498</t>
  </si>
  <si>
    <t>для легковых автомобилей, летняя, 235, 45, R19, пневматическая, радиальная, бескамерная</t>
  </si>
  <si>
    <t>453 Т</t>
  </si>
  <si>
    <t>22.11.11.100.000.01.0796.000000001801</t>
  </si>
  <si>
    <t>для легковых автомобилей, летняя, 215, 60, R16, пневматическая, радиальная, бескамерная, ГОСТ 4754-97</t>
  </si>
  <si>
    <t>454 Т</t>
  </si>
  <si>
    <t>22.11.11.100.000.01.0796.000000002161</t>
  </si>
  <si>
    <t>для легковых автомобилей, зимняя, 215, 60, R16, пневматическая, радиальная, бескамерная, шипованная, ГОСТ 4754-97</t>
  </si>
  <si>
    <t>455 Т</t>
  </si>
  <si>
    <t>22.11.11.100.000.01.0796.000000001750</t>
  </si>
  <si>
    <t>для легковых автомобилей, летняя, 195, 70, R15C, пневматическая, радиальная, бескамерная, ГОСТ 4754-97</t>
  </si>
  <si>
    <t>456 Т</t>
  </si>
  <si>
    <t>22.11.11.100.000.01.0796.000000002072</t>
  </si>
  <si>
    <t>для легковых автомобилей, зимняя, 195, 70, R15C, пневматическая, радиальная, бескамерная, шипованная, ГОСТ 4754-97</t>
  </si>
  <si>
    <t>457 Т</t>
  </si>
  <si>
    <t>22.11.11.100.000.01.0796.000000001796</t>
  </si>
  <si>
    <t>для легковых автомобилей, летняя, 205, 65, R16, пневматическая, радиальная, бескамерная, ГОСТ 4754-97</t>
  </si>
  <si>
    <t>для микроавтобуса, 205/65/R16С</t>
  </si>
  <si>
    <t>458 Т</t>
  </si>
  <si>
    <t>22.11.11.100.000.01.0796.000000002187</t>
  </si>
  <si>
    <t>для легковых автомобилей, зимняя, 205, 65, R16, пневматическая, радиальная, бескамерная, шипованная, ГОСТ 4754-97</t>
  </si>
  <si>
    <t>459 Т</t>
  </si>
  <si>
    <t>22.11.13.500.000.01.0796.000000000058</t>
  </si>
  <si>
    <t>для автобусов или автомобилей грузовых, пневматическая, радиальная, размер 295*80R22,5, бескамерная, ГОСТ 5513-97</t>
  </si>
  <si>
    <t>Шина зимняя не шипованная</t>
  </si>
  <si>
    <t>460 Т</t>
  </si>
  <si>
    <t>Летняя шина</t>
  </si>
  <si>
    <t>42.11.20.335.023.00.0999.000000000000</t>
  </si>
  <si>
    <t>Работы по обслуживанию зданий/сооружений/помещений и прилегающих территорий</t>
  </si>
  <si>
    <t>Техническое, 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</si>
  <si>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Работы по комплексному обслуживанию административного здания и прилегающей территории, расположенного в г. Павлодар, ул. Луговая, д.16</t>
  </si>
  <si>
    <t xml:space="preserve">декабрь-январь </t>
  </si>
  <si>
    <t>оплата по факту выполнения работ</t>
  </si>
  <si>
    <t>Работы по комплексному обслуживанию административного здания и прилегающей территории, расположенного в г. Атырау, ул. З.Гумарова, д.94 (блок А, Б)</t>
  </si>
  <si>
    <t>Работы по комплексному обслуживанию административного здания и прилегающей территории, расположенного в г. Атырау, ул. З.Гумарова, д.96</t>
  </si>
  <si>
    <t>4 Р</t>
  </si>
  <si>
    <t>Работы по комплексному обслуживанию административного здания и прилегающей территории, расположенного в г. Атырау, ул. Смагулова, 12</t>
  </si>
  <si>
    <t>5 Р</t>
  </si>
  <si>
    <t>Работы по комплексному обслуживанию административного здания и прилегающей территории, расположенного в г. Актау</t>
  </si>
  <si>
    <t>6 Р</t>
  </si>
  <si>
    <t>02.40.10.299.003.00.0999.000000000000</t>
  </si>
  <si>
    <t>Работы по озеленению и сопутствующие к ним (снос и подготовка к посадке зеленых насаждений, посадка, пересадка зеленых насаждений)</t>
  </si>
  <si>
    <t>март-апрель</t>
  </si>
  <si>
    <t>7 Р</t>
  </si>
  <si>
    <t>8 Р</t>
  </si>
  <si>
    <t>9 Р</t>
  </si>
  <si>
    <t>33.12.18.100.003.00.0999.000000000000</t>
  </si>
  <si>
    <t>Работы по ремонту/модернизации климатического оборудования и систем/вентиляционных систем и оборудования</t>
  </si>
  <si>
    <t>Ремонт чиллера (замена, очистка контура)</t>
  </si>
  <si>
    <t>10 Р</t>
  </si>
  <si>
    <t>33.14.11.100.001.00.0999.000000000000</t>
  </si>
  <si>
    <t>Работы по ремонту/модернизации электродвигателей/генераторов и аналогичного оборудования (кроме применяемых на транспорте)</t>
  </si>
  <si>
    <t>Перемотка электродвигателей</t>
  </si>
  <si>
    <t>11 Р</t>
  </si>
  <si>
    <t>33.14.11.200.000.00.0999.000000000000</t>
  </si>
  <si>
    <t>Работы по ремонту/реконструкции электрического, электрораспределительного/регулирующего оборудования и аналогичной аппаратуры</t>
  </si>
  <si>
    <t>Ремонт комплектных трансформаторных подстанций</t>
  </si>
  <si>
    <t xml:space="preserve"> г.Астана, ул.Кунаева, д.8, "Изумрудный квартал", блок Б</t>
  </si>
  <si>
    <t>12 Р</t>
  </si>
  <si>
    <t>95.21.10.000.000.00.0999.000000000000</t>
  </si>
  <si>
    <t>Работы по ремонту бытовых электроприборов</t>
  </si>
  <si>
    <t>13 Р</t>
  </si>
  <si>
    <t>Ремонт и техническое обслуживание холодильных установок и бытовых приборов (диагностика, чистка, замена комплектующих и др.)</t>
  </si>
  <si>
    <t>14 Р</t>
  </si>
  <si>
    <t>15 Р</t>
  </si>
  <si>
    <t>43.34.20.335.000.00.0999.000000000000</t>
  </si>
  <si>
    <t>Работы стекольные</t>
  </si>
  <si>
    <t>Замена стекол на дверях</t>
  </si>
  <si>
    <t>16 Р</t>
  </si>
  <si>
    <t>Ремонт и замена стеклопакетов</t>
  </si>
  <si>
    <t>г.Астана, пр.Кабанбай батыра, 19</t>
  </si>
  <si>
    <t>17 Р</t>
  </si>
  <si>
    <t>43.33.29.335.000.00.0999.000000000000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</si>
  <si>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</si>
  <si>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</si>
  <si>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облицовка гранитом лестничного марша</t>
  </si>
  <si>
    <t xml:space="preserve"> г.Астана, ул.Габдуллина, 2</t>
  </si>
  <si>
    <t>18 Р</t>
  </si>
  <si>
    <t>41.00.40.000.005.00.0999.000000000000</t>
  </si>
  <si>
    <t>Работы по ремонту нежилых зданий/сооружений/помещений (кроме оборудования, инженерных систем и коммуникаций)</t>
  </si>
  <si>
    <t>Текущий ремонт здания</t>
  </si>
  <si>
    <t>19 Р</t>
  </si>
  <si>
    <t>33.15.10.100.001.00.0999.000000000000</t>
  </si>
  <si>
    <t>Работы по ремонту/модернизации судов/ платформ/плавучих конструкций и аналогичного водного транспорта</t>
  </si>
  <si>
    <t>Текущий ремонт катера</t>
  </si>
  <si>
    <t>20 Р</t>
  </si>
  <si>
    <t>33.11.11.000.002.00.0999.000000000000</t>
  </si>
  <si>
    <t>Работы по ремонту/реконструкции дверей/ворот/турникетных систем/ограждений и аналогичных изделий</t>
  </si>
  <si>
    <t>Реставрация шпонированных дверных полотен</t>
  </si>
  <si>
    <t>21 Р</t>
  </si>
  <si>
    <t>95.29.14.000.000.00.0999.000000000000</t>
  </si>
  <si>
    <t>Работы по ремонту спортивных инвентаря и принадлежностей</t>
  </si>
  <si>
    <t>22 Р</t>
  </si>
  <si>
    <t>95.24.10.000.000.00.0999.000000000000</t>
  </si>
  <si>
    <t>Работы по ремонту/восстановлению мебели</t>
  </si>
  <si>
    <t>Ремонт и  реставрация мебели</t>
  </si>
  <si>
    <t>г.Астана, пр.Кабанбай батыра, 19, Блок А,Б</t>
  </si>
  <si>
    <t>ОП</t>
  </si>
  <si>
    <t>23 Р</t>
  </si>
  <si>
    <t>71.12.19.900.001.00.0999.000000000000</t>
  </si>
  <si>
    <t>Работы инженерные по проектированию</t>
  </si>
  <si>
    <t>Работы инженерные по проектированию и связанные с этим работы (кроме связанных с проектированием улиц/авто и железных дорог/полос, линий связи/транслирования, предприятий/технологических процессов, водных/ канализационных/дренажных систем, зданий/сооружений/территорий/объектов, электростанций, установок обработки отходов/отбросов</t>
  </si>
  <si>
    <t>Проектирование системы газового пожаротушения в помещениях архива и серверной</t>
  </si>
  <si>
    <t xml:space="preserve"> г.Астана, пр.Республики, 32</t>
  </si>
  <si>
    <t>24 Р</t>
  </si>
  <si>
    <t>43.21.10.335.002.00.0999.000000000000</t>
  </si>
  <si>
    <t>Работы по устройству (монтажу) пожарной/охранной сигнализации/ систем тушения/видеонаблюдения и аналогичного оборудования</t>
  </si>
  <si>
    <t>Установка системы газового пожаротушения в помещениях архива и серверной</t>
  </si>
  <si>
    <t>25 Р</t>
  </si>
  <si>
    <t>43.22.12.335.002.00.0999.000000000000</t>
  </si>
  <si>
    <t>Работы по прокладке местных теплопроводных/отопительных сетей и оборудования</t>
  </si>
  <si>
    <t>Строительно-монтажные работы по подключению к центральному теплоснабжению здания по адресу: г.Астана, пр.Республики, 32</t>
  </si>
  <si>
    <t>26 Р</t>
  </si>
  <si>
    <t>25.12.99.100.000.00.0999.000000000000</t>
  </si>
  <si>
    <t>Работы по изготовлению дверей/ворот и аналогичных изделий по заказу</t>
  </si>
  <si>
    <t>27 Р</t>
  </si>
  <si>
    <t>25.61.12.900.001.00.0999.000000000000</t>
  </si>
  <si>
    <t>Работы по нанесению огнезащитных покрытий</t>
  </si>
  <si>
    <t>Обработка - пропитка огнезащитным составом деревянных чердачных перекрытий и деревянных полок в складских помещениях</t>
  </si>
  <si>
    <t>28 Р</t>
  </si>
  <si>
    <t>62.01.11.900.006.00.0999.000000000000</t>
  </si>
  <si>
    <t>Работы по созданию (разработке) информационной системы</t>
  </si>
  <si>
    <t>Разработка Карты мониторинга местного содержания</t>
  </si>
  <si>
    <t>62.09.20.000.000.00.0777.000000000000</t>
  </si>
  <si>
    <t>Услуги по администрированию и техническому обслуживанию программного обеспечения</t>
  </si>
  <si>
    <t>Обслуживание программы 1С: Бухгалтерия</t>
  </si>
  <si>
    <t>оплата по факту оказания услуг</t>
  </si>
  <si>
    <t>81.29.13.000.001.00.0777.000000000000</t>
  </si>
  <si>
    <t>Услуги санитарные (дезинфекция, дезинсекция, дератизация и аналогичные)</t>
  </si>
  <si>
    <t>Услуги по дезнфекции, дезинсекции и дератизации на объекте, обслуживаемом ТОО "КазМунайГаз-Сервис", расположенном в г.Павлодар, ул. Луговая, д.16</t>
  </si>
  <si>
    <t>4 У</t>
  </si>
  <si>
    <t>82.30.11.000.000.00.0777.000000000000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</si>
  <si>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</si>
  <si>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праздничных,  культурно-массовых и детских мероприятий,  концертных программ, конкурсов, предоставление залов для проведения мероприятий (в т.ч. для спортивных мероприятий); предоставление подарочных ваучеров, подарков, призов; проведение официальных , праздничных обедов, ужинов, кофе-брейков, фуршетов, официальных и  праздничных приемов, банкетов; предоставление звукового, светового, музыкального сопровождения мероприятий,  оформление мест проведения мероприятий; организация спортивных мероприятий, а также организация конференций, брифингов, собраний, совещаний, заседаний, официальных встреч, тим-билдингов, форумов, выставок с предоставлением необходимого технического оборудования, мебели, залов, персонала.</t>
  </si>
  <si>
    <t>Акмолинская, Актюбинская,  Алматинская, Атырауская,  Восточно-Казахстанская, Жамбылская, Западно-Казахстанская, Карагандинская,  Костанайская, Кзыл-Ординская, Мангистауская, Павлодарская, Северо-Казахстанская, Южно-Казахстанская, области Республики Казахстан, Республика Кыргызстан, Россия, Грузия, Турция, Германия, Великобритания, Франция, Китай,  Беларусь, США</t>
  </si>
  <si>
    <t>5 У</t>
  </si>
  <si>
    <t>96.09.19.900.014.00.0777.000000000000</t>
  </si>
  <si>
    <t>Услуги по составлению цветочных композиций</t>
  </si>
  <si>
    <t>Составление цветочных композиций по индивидуальным заказам</t>
  </si>
  <si>
    <t>Услуги по предоставлению цветов и композиций из цветов</t>
  </si>
  <si>
    <t>11,23</t>
  </si>
  <si>
    <t>5-1 У</t>
  </si>
  <si>
    <t xml:space="preserve">декабрь-январь, февраль-март </t>
  </si>
  <si>
    <t>6 У</t>
  </si>
  <si>
    <t>55.10.10.335.000.00.0777.000000000000</t>
  </si>
  <si>
    <t>Услуги гостиниц и аналогичных мест для временного проживания</t>
  </si>
  <si>
    <t>Услуги по бронированию и предоставлению номеров в гостинице и аналогичных мест для временного проживания</t>
  </si>
  <si>
    <t>7 У</t>
  </si>
  <si>
    <t>18.12.19.900.002.00.0777.000000000000</t>
  </si>
  <si>
    <t>Услуги полиграфические по изготовлению/печатанию полиграфической продукции (кроме книг, фото, периодических изданий)</t>
  </si>
  <si>
    <t xml:space="preserve">Услуги по изготовлению полиграфической, печатной продукции и имиджевой продукции </t>
  </si>
  <si>
    <t>7-1 У</t>
  </si>
  <si>
    <t>8 У</t>
  </si>
  <si>
    <t>74.30.12.000.000.00.0777.000000000000</t>
  </si>
  <si>
    <t>Услуги по устному переводу</t>
  </si>
  <si>
    <t>Услуги по предоставлению оборудования для синхронного перевода, записи, предоставление услуг переводчиков</t>
  </si>
  <si>
    <t>8-1 У</t>
  </si>
  <si>
    <t>9 У</t>
  </si>
  <si>
    <t>74.20.23.000.000.00.0777.000000000000</t>
  </si>
  <si>
    <t>Услуги по фото/видеосъемке</t>
  </si>
  <si>
    <t>Получение и сохранение статичного цветного изображения на светочувствительном материале, дисках и других носителях при помощи фото/видеокамеры</t>
  </si>
  <si>
    <t>9-1 У</t>
  </si>
  <si>
    <t>10 У</t>
  </si>
  <si>
    <t>38.11.29.000.000.00.0777.000000000000</t>
  </si>
  <si>
    <t>Услуги по вывозу (сбору) неопасных отходов/имущества/материалов</t>
  </si>
  <si>
    <t>Услуги погрузки отходов на мусоровоз и разгрузки в специально отведенных местах с объектов, расположенных в г.Атырау</t>
  </si>
  <si>
    <t>11</t>
  </si>
  <si>
    <t>10-1 У</t>
  </si>
  <si>
    <t>11 У</t>
  </si>
  <si>
    <t>Услуги погрузки отходов на мусоровоз и разгрузки в специально отведенных местах с объектов, расположенных в г.Павлодар</t>
  </si>
  <si>
    <t>11-1 У</t>
  </si>
  <si>
    <t>12 У</t>
  </si>
  <si>
    <t>80.20.10.000.002.00.0777.000000000000</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</si>
  <si>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</si>
  <si>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пожарной/охранной сигнализации/систем тушения/видеонаблюдения и аналогичного оборудования на объекте, обслуживаемом ТОО "КазМунайГаз-Сервис", расположенном в г.Павлодар, ул. Луговая, д.16</t>
  </si>
  <si>
    <t>13 У</t>
  </si>
  <si>
    <t>Услуги по техническому обслуживанию пожарной/охранной сигнализации/систем тушения/видеонаблюдения и аналогичного оборудования на объектах, обслуживаемых ТОО "КазМунайГаз-Сервис", расположенных в г.Атырау: 
1) ул. З.Гумарова, д.94 (блок А); 
2) ул. З.Гумарова, д.94 (блок Б); 
3) ул.З.Гумарова, 96; 
4) по ул.Смагулова, 12</t>
  </si>
  <si>
    <t>14 У</t>
  </si>
  <si>
    <t>77.11.10.100.000.00.0777.000000000000</t>
  </si>
  <si>
    <t>Услуги по аренде легковых автомобилей без водителя</t>
  </si>
  <si>
    <t>Услуги по аренде легковых автомобилей без водителя в г. Астана (автомобиль повышенной проходимости, представительского класса - 8 ед., объем двигателя не менее 3955 куб.см, расчетный ежемесячный пробег - 3900 км, 6-дневная рабочая неделя)</t>
  </si>
  <si>
    <t>15 У</t>
  </si>
  <si>
    <t>Услуги по аренде легковых автомобилей без водителя в г. Астана (автомобиль повышенной проходимости, представительского класса - 2 ед., объем двигателя – не менее 5660 куб.см, расчетный ежемесячный пробег - 3900 км, 6-дневная рабочая неделя)</t>
  </si>
  <si>
    <t>16 У</t>
  </si>
  <si>
    <t>Услуги по аренде легковых автомобилей без водителя в г. Астана (автомобиль повышенной проходимости, бизнес класса - 3 ед., объем двигателя – не менее 2694 куб.см, расчетный ежемесячный пробег - 3900 км, 6-дневная рабочая неделя)</t>
  </si>
  <si>
    <t>17 У</t>
  </si>
  <si>
    <t>Услуги по аренде легковых автомобилей без водителя в г. Астана (легковой автомобиль, бизнес класса - 3 ед., объем двигателя – не менее 2490 куб.см, расчетный ежемесячный пробег - 3900 км, 6-дневная рабочая неделя)</t>
  </si>
  <si>
    <t>18 У</t>
  </si>
  <si>
    <t>49.39.31.000.000.00.0777.000000000000</t>
  </si>
  <si>
    <t>Услуги по аренде автобуса с водителем</t>
  </si>
  <si>
    <t>Услуги по аренде автобусов с водителем в г. Астана в количестве 2 единиц</t>
  </si>
  <si>
    <t>18-1 У</t>
  </si>
  <si>
    <t>19 У</t>
  </si>
  <si>
    <t>49.39.31.000.001.00.0777.000000000000</t>
  </si>
  <si>
    <t>Услуги по аренде микроавтобуса с водителем</t>
  </si>
  <si>
    <t>Услуги по аренде микроавтобусов с водителем в г. Астана  в количестве 6 единиц</t>
  </si>
  <si>
    <t>19-1 У</t>
  </si>
  <si>
    <t>20 У</t>
  </si>
  <si>
    <t>49.32.12.000.000.00.0777.000000000000</t>
  </si>
  <si>
    <t>Услуги по аренде легковых автомобилей с водителем</t>
  </si>
  <si>
    <t>Услуги по аренде легковых автомобилей с водителем в г. Астана  в количестве 9 единиц</t>
  </si>
  <si>
    <t>21 У</t>
  </si>
  <si>
    <t>Услуги по аренде легковых автомобилей с водителем на период проведения выставки Kioge-2016</t>
  </si>
  <si>
    <t>22 У</t>
  </si>
  <si>
    <t>35.30.22.000.001.00.0777.000000000000</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</si>
  <si>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</si>
  <si>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</si>
  <si>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23 У</t>
  </si>
  <si>
    <t>24 У</t>
  </si>
  <si>
    <t>25 У</t>
  </si>
  <si>
    <t>61.10.11.200.000.00.0777.000000000000</t>
  </si>
  <si>
    <t>Услуги телефонной связи</t>
  </si>
  <si>
    <t>Услуги фиксированной местной, междугородней, международной телефонной связи  - доступ и пользование</t>
  </si>
  <si>
    <t>26 У</t>
  </si>
  <si>
    <t>27 У</t>
  </si>
  <si>
    <t>28 У</t>
  </si>
  <si>
    <t>29 У</t>
  </si>
  <si>
    <t>30 У</t>
  </si>
  <si>
    <t>61.10.43.100.000.00.0777.000000000000</t>
  </si>
  <si>
    <t>Услуги по доступу к Интернету</t>
  </si>
  <si>
    <t>Услуги, направленные на предоставление доступа к Интернету широкополосному по сетям проводным</t>
  </si>
  <si>
    <t>31 У</t>
  </si>
  <si>
    <t>61.20.11.100.000.00.0777.000000000000</t>
  </si>
  <si>
    <t>Услуги сотовой связи</t>
  </si>
  <si>
    <t>32 У</t>
  </si>
  <si>
    <t>актив карты</t>
  </si>
  <si>
    <t>33 У</t>
  </si>
  <si>
    <t>34 У</t>
  </si>
  <si>
    <t>35 У</t>
  </si>
  <si>
    <t>53.10.12.900.000.00.0777.000000000000</t>
  </si>
  <si>
    <t>Услуги почтовые, связанные с письмами</t>
  </si>
  <si>
    <t>Отправка служебной корреспонденции</t>
  </si>
  <si>
    <t>авансовый платеж - 20%, оставшаяся часть по факту оказания услуг</t>
  </si>
  <si>
    <t>36 У</t>
  </si>
  <si>
    <t>37 У</t>
  </si>
  <si>
    <t>38 У</t>
  </si>
  <si>
    <t>39 У</t>
  </si>
  <si>
    <t>61.10.53.000.000.00.0777.000000000000</t>
  </si>
  <si>
    <t>Услуги по распространению программ по кабельной инфраструктуре</t>
  </si>
  <si>
    <t>40 У</t>
  </si>
  <si>
    <t>41 У</t>
  </si>
  <si>
    <t>96.09.19.900.012.00.0777.000000000000</t>
  </si>
  <si>
    <t>Услуги по техническому обслуживанию дверей/ворот/турникетных систем/ограждений и аналогичных изделий</t>
  </si>
  <si>
    <t>Услуги по техническому обслуживанию системы ограничения контроля доступа</t>
  </si>
  <si>
    <t>42 У</t>
  </si>
  <si>
    <t>81.21.10.000.000.00.0777.000000000000</t>
  </si>
  <si>
    <t>Услуги по уборке зданий/помещений/территории/транспорта и аналогичных объектов</t>
  </si>
  <si>
    <t>мойка окон, фасада административных зданий</t>
  </si>
  <si>
    <t>43 У</t>
  </si>
  <si>
    <t>мойка фасада административного здания</t>
  </si>
  <si>
    <t>44 У</t>
  </si>
  <si>
    <t>74.90.20.000.060.00.0777.000000000000</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</si>
  <si>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</si>
  <si>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</si>
  <si>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45 У</t>
  </si>
  <si>
    <t>Услуги по техническому обслуживанию пожарной сигнализации</t>
  </si>
  <si>
    <t>46 У</t>
  </si>
  <si>
    <t>33.19.10.900.008.00.0777.000000000000</t>
  </si>
  <si>
    <t>Услуги по техническому обслуживанию противопожарного инвентаря</t>
  </si>
  <si>
    <t>Услуги по обслуживанию пожарного инвентаря</t>
  </si>
  <si>
    <t>47 У</t>
  </si>
  <si>
    <t>33.12.29.900.021.00.0777.000000000000</t>
  </si>
  <si>
    <t>Услуги по техническому обслуживанию газовых установок/оборудования/систем/аппаратов/газопроводов</t>
  </si>
  <si>
    <t>48 У</t>
  </si>
  <si>
    <t>49 У</t>
  </si>
  <si>
    <t>33.12.18.200.000.00.0777.000000000000</t>
  </si>
  <si>
    <t>Услуги по техническому обслуживанию климатического (кондиционерного) оборудования и систем/вентиляционных систем и оборудования</t>
  </si>
  <si>
    <t>Услуги по техническому обслуживанию чиллеров</t>
  </si>
  <si>
    <t>50 У</t>
  </si>
  <si>
    <t>Услуги по техническому обслуживанию холодильного оборудования, чиллеров</t>
  </si>
  <si>
    <t>51 У</t>
  </si>
  <si>
    <t>71.20.19.000.010.00.0777.000000000000</t>
  </si>
  <si>
    <t>Услуги по диагностированию/экспертизе/анализу/испытаниям/тестированию/осмотру</t>
  </si>
  <si>
    <t>Услуги по испытаниям и анализу электросетей и электрооборудования</t>
  </si>
  <si>
    <t>52 У</t>
  </si>
  <si>
    <t>53 У</t>
  </si>
  <si>
    <t>54 У</t>
  </si>
  <si>
    <t>Энергетическая экспертиза технического состояния котельных установок</t>
  </si>
  <si>
    <t>55 У</t>
  </si>
  <si>
    <t>33.14.11.120.000.00.0777.000000000000</t>
  </si>
  <si>
    <t>Услуги по техническому обслуживанию генераторных установок и аналогичного электрогенерирующего оборудования</t>
  </si>
  <si>
    <t>Техническое обслуживание дизель-генераторной установки</t>
  </si>
  <si>
    <t>56 У</t>
  </si>
  <si>
    <t>Техническое обслуживание  дизель-генераторов</t>
  </si>
  <si>
    <t>57 У</t>
  </si>
  <si>
    <t>38.22.29.000.000.00.0777.000000000000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</si>
  <si>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</si>
  <si>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</si>
  <si>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Утилизация люминесцентных ламп</t>
  </si>
  <si>
    <t>58 У</t>
  </si>
  <si>
    <t>59 У</t>
  </si>
  <si>
    <t>38.21.29.000.000.00.0777.000000000000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</si>
  <si>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</si>
  <si>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</si>
  <si>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Утилизация мебели</t>
  </si>
  <si>
    <t>60 У</t>
  </si>
  <si>
    <t>61 У</t>
  </si>
  <si>
    <t>65.12.12.335.000.00.0777.000000000000</t>
  </si>
  <si>
    <t>Услуги по медицинскому страхованию на случай болезни</t>
  </si>
  <si>
    <t>ноябрь-декабрь</t>
  </si>
  <si>
    <t>365 дней со дня заключения договора</t>
  </si>
  <si>
    <t>авансовый платеж - 100%</t>
  </si>
  <si>
    <t>62 У</t>
  </si>
  <si>
    <t>65.12.11.335.000.00.0777.000000000000</t>
  </si>
  <si>
    <t>Услуги по страхованию от несчастных случаев</t>
  </si>
  <si>
    <t>Страхование гражданско-правовой ответственности работадателя за причинение вреда жизни и здоровью работникам при исполнении ими трудовых (служебных) обязанностей</t>
  </si>
  <si>
    <t>сентябрь-октябрь</t>
  </si>
  <si>
    <t>63 У</t>
  </si>
  <si>
    <t>65.12.41.335.000.00.0777.000000000000</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</si>
  <si>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</si>
  <si>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административного здания "Изумрудный квартал", блок Б, расположенного по адресу: г.Астана, пр.Кунаева, д.8</t>
  </si>
  <si>
    <t>май-июнь</t>
  </si>
  <si>
    <t>64 У</t>
  </si>
  <si>
    <t>Услуги по страхованию бизнес-центра в г. Ташкент, Республики Узбекистан</t>
  </si>
  <si>
    <t>июль-август</t>
  </si>
  <si>
    <t>65 У</t>
  </si>
  <si>
    <t>Услуги по страхованию административного здания по ул.Ауэзова,18</t>
  </si>
  <si>
    <t>октябрь-ноябрь</t>
  </si>
  <si>
    <t>66 У</t>
  </si>
  <si>
    <t>Услуги по страхованию объектов, расположенных по адресу: Акмолинская область, пос. Зеренда (ОК Сункар и ДО Малиновый Мыс)</t>
  </si>
  <si>
    <t>67 У</t>
  </si>
  <si>
    <t>65.12.21.335.000.00.0777.000000000000</t>
  </si>
  <si>
    <t>Услуги по страхованию гражданско-правовой ответственности владельцев автомобильного транспорта</t>
  </si>
  <si>
    <t>Услуги по обязательному страхованию гражданско-правовой ответственности владельцев автомобильного транспорта</t>
  </si>
  <si>
    <t>68 У</t>
  </si>
  <si>
    <t>69 У</t>
  </si>
  <si>
    <t>70 У</t>
  </si>
  <si>
    <t>65.12.50.335.000.00.0777.000000000000</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</si>
  <si>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</si>
  <si>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Обязательное страхование гражданско-правовой ответственности перевозчика перед пассажиром</t>
  </si>
  <si>
    <t>71 У</t>
  </si>
  <si>
    <t>Услуги по страхованию ответственности перевозчика перед пассажиром</t>
  </si>
  <si>
    <t>72 У</t>
  </si>
  <si>
    <t>Добровольное страхование гражданско-правовой ответственности владельцев специальной техники и тракторов</t>
  </si>
  <si>
    <t>73 У</t>
  </si>
  <si>
    <t>Услуги по страхованию ответственности турагентов и туроператоров</t>
  </si>
  <si>
    <t>74 У</t>
  </si>
  <si>
    <t>75 У</t>
  </si>
  <si>
    <t>68.20.12.970.000.00.0777.000000000000</t>
  </si>
  <si>
    <t>Услуги по аренде гаража</t>
  </si>
  <si>
    <t>Услуги по аренде гаража для автотранспорта 
Товарищества г. Астана с офисом и складами, 
а также со всеми расходами по эксплуатации (125 ед. транспорта)</t>
  </si>
  <si>
    <t>76 У</t>
  </si>
  <si>
    <t>71.20.14.000.000.00.0777.000000000000</t>
  </si>
  <si>
    <t>Услуги по техническому контролю (осмотру) дорожных транспортных средств</t>
  </si>
  <si>
    <t>77 У</t>
  </si>
  <si>
    <t>78 У</t>
  </si>
  <si>
    <t>79 У</t>
  </si>
  <si>
    <t>95.11.10.000.003.00.0777.000000000000</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</si>
  <si>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</si>
  <si>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t>
  </si>
  <si>
    <t>80 У</t>
  </si>
  <si>
    <t>81 У</t>
  </si>
  <si>
    <t>82 У</t>
  </si>
  <si>
    <t>74.90.20.000.007.00.0777.000000000000</t>
  </si>
  <si>
    <t>Услуги по проведению аудита систем менеджмента</t>
  </si>
  <si>
    <t>Инспекционный аудит системы менеджмента Товарищества на соответствие требованиям международного стандарта ИСО 50001:2011</t>
  </si>
  <si>
    <t>83 У</t>
  </si>
  <si>
    <t>Проведение аудита адекватности документации системы менеджмента и аудит систем менеджмента Товарищества на соответствие требованиям международных стандартов МС ИСО 9001:2015, ИСО 14001:2004, OHSAS 18001:2007</t>
  </si>
  <si>
    <t>84 У</t>
  </si>
  <si>
    <t>Проведение аудита адекватности документации системы менеджмента и аудит систем менеджмента Товарищества на соответствие требованиям государственных стандартов СТ РК ИСО 9001, СТ РК ИСО 14001, СТ РК OHSAS 18000</t>
  </si>
  <si>
    <t>85 У</t>
  </si>
  <si>
    <t>Обслуживание и сопровождение программы электронного документооборота</t>
  </si>
  <si>
    <t>86 У</t>
  </si>
  <si>
    <t>87 У</t>
  </si>
  <si>
    <t>Услуги по техническому сопровождению карты мониторинга местного содержания</t>
  </si>
  <si>
    <t>88 У</t>
  </si>
  <si>
    <t>62.09.20.000.005.00.0777.000000000000</t>
  </si>
  <si>
    <t>Услуги по пользованию информационной системой электронных закупок</t>
  </si>
  <si>
    <t>89 У</t>
  </si>
  <si>
    <t>74.90.20.000.050.00.0777.000000000000</t>
  </si>
  <si>
    <t>Услуги по актуализации/обеспечению нормативной/справочной/технической информацией/документацией (кроме разработки/корректировки/составлению)</t>
  </si>
  <si>
    <t>Услуги по актуализации Единого номенклатурного справочника товаров, работ и услуг</t>
  </si>
  <si>
    <t>90 У</t>
  </si>
  <si>
    <t>73.20.11.000.000.00.0777.000000000000</t>
  </si>
  <si>
    <t>Услуги по изучению/исследованию/мониторингу/анализу рынка/деятельности</t>
  </si>
  <si>
    <t>Услуги по предоставлению ценовых маркетинговых заключений</t>
  </si>
  <si>
    <t>91 У</t>
  </si>
  <si>
    <t>74.90.12.000.004.00.0777.000000000000</t>
  </si>
  <si>
    <t>Услуги по оценке долей участия в юридических лицах</t>
  </si>
  <si>
    <t>Услуги по оценке 100%  доли участия в уставном капитале ООО "КМГ-Сервис" Грузия</t>
  </si>
  <si>
    <t>Грузия</t>
  </si>
  <si>
    <t>92 У</t>
  </si>
  <si>
    <t>Услуги по оценке 100%  доли участия в уставном капитале ОсОО «Алтын Толкын»</t>
  </si>
  <si>
    <t>Республика Кыргызстан, село Бает</t>
  </si>
  <si>
    <t>93 У</t>
  </si>
  <si>
    <t>74.90.12.000.002.00.0777.000000000000</t>
  </si>
  <si>
    <t>Услуги по оценке стоимости ценных бумаг</t>
  </si>
  <si>
    <t>Услуги по оценке 75%  пакета акций АК “Aysir Turizm ve Insaat A.S.” (Турция)</t>
  </si>
  <si>
    <t>Турецкая Республика, г.Стамбул</t>
  </si>
  <si>
    <t>94 У</t>
  </si>
  <si>
    <t>68.31.16.100.000.00.0777.000000000000</t>
  </si>
  <si>
    <t>Услуги по оценке недвижимого имущества</t>
  </si>
  <si>
    <t>Услуги по по оценке бизнес-центра "Изумрудный квартал", блок Б, расположенного по адресу: г.Астана, пр.Кунаева, д.8</t>
  </si>
  <si>
    <t>95 У</t>
  </si>
  <si>
    <t>Услуги по оценке бизнес-центра в г. Ташкент, Республики Узбекистан</t>
  </si>
  <si>
    <t>г.Ташкент, Республика Узбекистан</t>
  </si>
  <si>
    <t>96 У</t>
  </si>
  <si>
    <t>74.90.12.000.001.00.0777.000000000000</t>
  </si>
  <si>
    <t>Услуги по оценке автотранспортных средств</t>
  </si>
  <si>
    <t>97 У</t>
  </si>
  <si>
    <t>93.19.19.900.001.00.0777.000000000000</t>
  </si>
  <si>
    <t>Услуги по размещению информационных материалов в средствах массовой информации</t>
  </si>
  <si>
    <t>98 У</t>
  </si>
  <si>
    <t>63.11.30.000.000.00.0777.000000000000</t>
  </si>
  <si>
    <t>Услуги по размещению рекламы в интернете</t>
  </si>
  <si>
    <t>99 У</t>
  </si>
  <si>
    <t>58.14.31.000.000.00.0777.000000000000</t>
  </si>
  <si>
    <t>Услуги по размещению рекламы в печатных периодических изданиях</t>
  </si>
  <si>
    <t>Услуги по размещению рекламы в в печатных периодических изданиях</t>
  </si>
  <si>
    <t>100 У</t>
  </si>
  <si>
    <t>60.20.40.000.000.00.0777.000000000000</t>
  </si>
  <si>
    <t>Услуги по размещению рекламы на телевидении</t>
  </si>
  <si>
    <t>101 У</t>
  </si>
  <si>
    <t>60.10.30.000.000.00.0777.000000000000</t>
  </si>
  <si>
    <t>Услуги по размещению рекламы на радио</t>
  </si>
  <si>
    <t>102 У</t>
  </si>
  <si>
    <t>74.30.11.000.001.00.0777.000000000000</t>
  </si>
  <si>
    <t>Услуги по письменному переводу</t>
  </si>
  <si>
    <t>103 У</t>
  </si>
  <si>
    <t>66.19.91.335.000.00.0777.000000000000</t>
  </si>
  <si>
    <t>Услуги по финансовым консультациям</t>
  </si>
  <si>
    <t>Услуги по осуществлению тестирования на обесценение активов/инвестиций Товарищества "КазМунайГаз-Сервис"</t>
  </si>
  <si>
    <t>104 У</t>
  </si>
  <si>
    <t>69.10.14.000.000.00.0777.000000000000</t>
  </si>
  <si>
    <t>Услуги юридические консультационные</t>
  </si>
  <si>
    <t>Услуги  юридические консультационные и услуги представительские в связи с гражданским правом</t>
  </si>
  <si>
    <t>105 У</t>
  </si>
  <si>
    <t>71.12.20.000.000.00.0777.000000000000</t>
  </si>
  <si>
    <t>Услуги по авторскому/техническому надзору/управлению проектами, работами</t>
  </si>
  <si>
    <t>Технический надзор за ходом строительно-монтажных работ по подключению к центральному теплоснабжению здания по адресу: г.Астана, пр.Республики, 32</t>
  </si>
  <si>
    <t>106 У</t>
  </si>
  <si>
    <t>Авторский надзор за ходом строительно-монтажных работ по подключению к центральному теплоснабжению здания по адресу: г.Астана, пр.Республики, 32</t>
  </si>
  <si>
    <t>107 У</t>
  </si>
  <si>
    <t>85.59.13.335.001.00.0777.000000000000</t>
  </si>
  <si>
    <t>Услуги по обучению (кроме в области начального, среднего, высшего образования)</t>
  </si>
  <si>
    <t>Услуги по обучению (обучению/подготовке/переподготовке/повышению квалификации)</t>
  </si>
  <si>
    <t>г.Астана, г.Алматы</t>
  </si>
  <si>
    <t>108 У</t>
  </si>
  <si>
    <t>58.29.50.000.001.00.0777.000000000000</t>
  </si>
  <si>
    <t>Услуги по предоставлению лицензий на право использования программного обеспечения</t>
  </si>
  <si>
    <t>Услуги по продлению лицензии на программу корпоративной антивирусной защиты</t>
  </si>
  <si>
    <t>109 У</t>
  </si>
  <si>
    <t>62.01.11.900.003.00.0777.000000000000</t>
  </si>
  <si>
    <t>Услуги по модификации программного обеспечения</t>
  </si>
  <si>
    <t>Услуги по изменению (модификации) программного обеспечения в соответствии с заказом</t>
  </si>
  <si>
    <t>Услуги по обновлению юридической базы</t>
  </si>
  <si>
    <t>110 У</t>
  </si>
  <si>
    <t xml:space="preserve">Услуги организации проведения семинара на тему "Техминимум по программе водитель автотранспорта" </t>
  </si>
  <si>
    <t>август-сентябрь</t>
  </si>
  <si>
    <t>111 У</t>
  </si>
  <si>
    <t>80.10.12.000.000.00.0777.000000000000</t>
  </si>
  <si>
    <t>Услуги охраны</t>
  </si>
  <si>
    <t>Услуги охраны (патрулирование/охрана объектов/помещений/имущества/людей и аналогичное)</t>
  </si>
  <si>
    <t>Услуги по организации въезда автотранспорта на первую линию аэропорта для высадки/посадки пассажиров</t>
  </si>
  <si>
    <t>112 У</t>
  </si>
  <si>
    <t>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</si>
  <si>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</si>
  <si>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и техническое обслуживание контрольных устройств регистрации режимов труда и отдыха (тахограф)</t>
  </si>
  <si>
    <t>113 У</t>
  </si>
  <si>
    <t>Поверка приборов для определения паров алкоголя в выдыхаемом воздухе</t>
  </si>
  <si>
    <t>114 У</t>
  </si>
  <si>
    <t>74.90.20.000.056.00.0777.000000000000</t>
  </si>
  <si>
    <t>Услуги по аттестации рабочих мест</t>
  </si>
  <si>
    <t>аттестация рабочих мест</t>
  </si>
  <si>
    <t>Аттестация производственных объектов по условиям труда в филиале г. Павлодар</t>
  </si>
  <si>
    <t>115 У</t>
  </si>
  <si>
    <t>74.90.13.000.004.00.0777.000000000000</t>
  </si>
  <si>
    <t>Услуги по проведению экологического контроля</t>
  </si>
  <si>
    <t xml:space="preserve">Замер выбросов загрязняющих веществ </t>
  </si>
  <si>
    <t>116 У</t>
  </si>
  <si>
    <t>80.20.10.000.000.00.0777.000000000000</t>
  </si>
  <si>
    <t>Услуги по обеспечению безопасности и мониторингу устройствами предупреждения, сигнализации и аналогичными системами обеспечения безопасности</t>
  </si>
  <si>
    <t>Оказание услуги по обслуживанию пульта централизованного наблюдения складского помещения</t>
  </si>
  <si>
    <t>117 У</t>
  </si>
  <si>
    <t>52.23.11.190.001.00.0777.000000000000</t>
  </si>
  <si>
    <t>Услуги сопровождения в аэропорту</t>
  </si>
  <si>
    <t>Встреча и обслуживание в зоне ВИП, СИП в аэропорту</t>
  </si>
  <si>
    <t>Пользование услугами VIP (CIP) залов аэропортов</t>
  </si>
  <si>
    <t>г.Астана, г.Алматы, г.Актау, г.Атырау, г.Москва</t>
  </si>
  <si>
    <t>118 У</t>
  </si>
  <si>
    <t>71.20.19.000.000.00.0777.000000000000</t>
  </si>
  <si>
    <t>Услуги по поверке средств измерений</t>
  </si>
  <si>
    <t>поверка манометров</t>
  </si>
  <si>
    <t>119 У</t>
  </si>
  <si>
    <t>37.00.11.100.001.00.0777.000000000000</t>
  </si>
  <si>
    <t>Услуги по промывке/чистке канализационных сетей/люков</t>
  </si>
  <si>
    <t>чистка жироуловителя</t>
  </si>
  <si>
    <t>120 У</t>
  </si>
  <si>
    <t>121 У</t>
  </si>
  <si>
    <t>33.19.10.800.000.00.0777.000000000000</t>
  </si>
  <si>
    <t>Услуги по промывке и опрессовке системы отопления</t>
  </si>
  <si>
    <t>122 У</t>
  </si>
  <si>
    <t>77.32.10.900.000.00.0777.000000000000</t>
  </si>
  <si>
    <t>Услуги по аренде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</si>
  <si>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услуги автогидроподъемника</t>
  </si>
  <si>
    <t>123 У</t>
  </si>
  <si>
    <t>96.09.19.900.008.00.0777.000000000000</t>
  </si>
  <si>
    <t>Услуги по уходу за рыбами</t>
  </si>
  <si>
    <t>Комплекс услуг по уходу за рыбами (обработка аквариума, чистка, корм и др.)</t>
  </si>
  <si>
    <t>124 У</t>
  </si>
  <si>
    <t>93.11.10.500.000.00.0777.000000000000</t>
  </si>
  <si>
    <t>Услуги по эксплуатации плавательных бассейнов</t>
  </si>
  <si>
    <t>125 У</t>
  </si>
  <si>
    <t>85.60.10.335.002.00.0777.000000000000</t>
  </si>
  <si>
    <t>Услуги по аттестации/оценке и проверке знаний/уровня подготовки (кроме в области начального, среднего, высшего образования)</t>
  </si>
  <si>
    <t>Услуги по проведению экзаменов для ответственных за тепловое хозяйство объектов в РГП "Госэнергоэкспертиза"</t>
  </si>
  <si>
    <t>126 У</t>
  </si>
  <si>
    <t>Услуги по обследованию теплоустановок для паспорта готовности объектов в РГП "Госэнергоэкспертиза"</t>
  </si>
  <si>
    <t>127 У</t>
  </si>
  <si>
    <t>33.14.11.200.001.00.0777.000000000000</t>
  </si>
  <si>
    <t>Услуги по техническому обслуживанию электрического, электрораспределительного/регулирующего оборудования и аналогичной аппаратуры</t>
  </si>
  <si>
    <t>Техническое обслуживание промышленных источников бесперебойного питания</t>
  </si>
  <si>
    <t>128 У</t>
  </si>
  <si>
    <t>74.90.20.000.006.00.0777.000000000000</t>
  </si>
  <si>
    <t>Услуги по проведению энергетического аудита</t>
  </si>
  <si>
    <t xml:space="preserve"> г.Астана</t>
  </si>
  <si>
    <t>129 У</t>
  </si>
  <si>
    <t>86.90.19.335.007.00.0777.000000000000</t>
  </si>
  <si>
    <t>Услуги по периодическому медицинскому осмотру персонала</t>
  </si>
  <si>
    <t>130 У</t>
  </si>
  <si>
    <t>Ежегодный плановый медицинский осмотр работников филиала Товарищества в г.Павлодар с выдачей заключения для санитарных книжек</t>
  </si>
  <si>
    <t>131 У</t>
  </si>
  <si>
    <t>93.29.19.900.002.00.0777.000000000000</t>
  </si>
  <si>
    <t>Услуги педагогического отряда для детей/подростков</t>
  </si>
  <si>
    <t xml:space="preserve">Услуги по педагогическому отряду для детей, приезжающих на отдых в ОК "Сункар" </t>
  </si>
  <si>
    <t>132 У</t>
  </si>
  <si>
    <t>70.22.16.200.004.00.0777.000000000000</t>
  </si>
  <si>
    <t>Услуги туристические экскурсионные</t>
  </si>
  <si>
    <t>Экскурсионные туристические услуги</t>
  </si>
  <si>
    <t>133 У</t>
  </si>
  <si>
    <t>74.90.20.000.024.00.0777.000000000000</t>
  </si>
  <si>
    <t>Услуги по сертификации продукции/процессов/работы/услуги</t>
  </si>
  <si>
    <t>134 У</t>
  </si>
  <si>
    <t>Услуги учреждений санитарно-эпидемиологической службы</t>
  </si>
  <si>
    <t>135 У</t>
  </si>
  <si>
    <t xml:space="preserve">  52.21.24.000.000.00.0777.000000000000</t>
  </si>
  <si>
    <t>Услуги стоянок (парковок) для транспортных средств</t>
  </si>
  <si>
    <t>Услуги стоянок для автотранспортных средств, включая мойку для автотранспорта Представительства в г. Алматы</t>
  </si>
  <si>
    <t>136 У</t>
  </si>
  <si>
    <t>Услуги парковок для транспортных средств в аэропорту г.Алматы</t>
  </si>
  <si>
    <t>137 У</t>
  </si>
  <si>
    <t>68.20.12.960.000.00.0777.000000000000</t>
  </si>
  <si>
    <t>Услуги по аренде административных/производственных помещений</t>
  </si>
  <si>
    <t>Услуги по аренде офисных помещений</t>
  </si>
  <si>
    <t>138 У</t>
  </si>
  <si>
    <t>139 У</t>
  </si>
  <si>
    <t>Услуги по аренде офисных помещений на территории ТОО "Павлодарский нефтехимический завод"</t>
  </si>
  <si>
    <t>140 У</t>
  </si>
  <si>
    <t>71.20.19.000.001.00.0777.000000000000</t>
  </si>
  <si>
    <t>Услуги по испытаниям средств индивидуальной защиты</t>
  </si>
  <si>
    <t>Проверка противогазов</t>
  </si>
  <si>
    <t>141 У</t>
  </si>
  <si>
    <t>68.20.12.950.000.00.0777.000000000000</t>
  </si>
  <si>
    <t>Услуги по аренде складских помещений</t>
  </si>
  <si>
    <t>на территории ТОО "Павлодарский нефтехимический завод"</t>
  </si>
  <si>
    <t>142 У</t>
  </si>
  <si>
    <t>77.29.12.000.000.00.0777.000000000000</t>
  </si>
  <si>
    <t>Услуги по аренде мебели</t>
  </si>
  <si>
    <t>143 У</t>
  </si>
  <si>
    <t>52.10.19.900.002.00.0777.000000000000</t>
  </si>
  <si>
    <t>Услуги по складированию/хранению грузов</t>
  </si>
  <si>
    <t>Услуги по складированию и хранению грузов (кроме услуг по хранению зерна, охлажденных, жидких, газообразных грузов, услуг таможенных складов и складов временного хранения)</t>
  </si>
  <si>
    <t>Услуги по ответственному хранению материалов на складе ТОО "Павлодарский нефтехимический завод"</t>
  </si>
  <si>
    <t>144 У</t>
  </si>
  <si>
    <t>49.41.19.900.000.00.0777.000000000000</t>
  </si>
  <si>
    <t>Услуги автомобильного транспорта по перевозкам грузов (кроме перевозки нефтепродуктов, замороженных или охлажденных грузов, жидких или газообразных грузов, животных, почты и грузов в контейнерах)</t>
  </si>
  <si>
    <t>Услуги автомобильного транспорта по перевозкам грузов (кроме перевозки почты и грузов в контейнерах)</t>
  </si>
  <si>
    <t>145 У</t>
  </si>
  <si>
    <t>33.13.19.100.003.00.0777.000000000000</t>
  </si>
  <si>
    <t>Услуги по техническому обслуживанию сетей и оборудования связи</t>
  </si>
  <si>
    <t>Услуги по техническому обслуживанию кабельных сетей</t>
  </si>
  <si>
    <t>146 У</t>
  </si>
  <si>
    <t>49.50.12.000.000.00.0777.000000000000</t>
  </si>
  <si>
    <t>Услуги по транспортированию по трубопроводам природного газа</t>
  </si>
  <si>
    <t>147 У</t>
  </si>
  <si>
    <t>33.12.15.200.000.00.0777.000000000000</t>
  </si>
  <si>
    <t>Услуги по техническому обслуживанию лифтов/лифтовых шахт и аналогичного оборудования</t>
  </si>
  <si>
    <t>148 У</t>
  </si>
  <si>
    <t>42.91.20.335.003.00.0777.000000000000</t>
  </si>
  <si>
    <t>Услуги по техническому обслуживанию береговых/портовых/ дамб/шлюзов и связанных с ними сооружений гидромеханических</t>
  </si>
  <si>
    <t>Содержание фонтана</t>
  </si>
  <si>
    <t>149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</si>
  <si>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</si>
  <si>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</si>
  <si>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Текущее обслуживание котлов отопления</t>
  </si>
  <si>
    <t>150 У</t>
  </si>
  <si>
    <t>услуги цифрового телевидения</t>
  </si>
  <si>
    <t>151 У</t>
  </si>
  <si>
    <t>услуги кабельного телевидения</t>
  </si>
  <si>
    <t>Приказ №43 от 02.02.2016 года</t>
  </si>
  <si>
    <t>С изменениями и дополнениями от 08.02.2016 года №53</t>
  </si>
  <si>
    <t>152 У</t>
  </si>
  <si>
    <t>153 У</t>
  </si>
  <si>
    <t>Услуги по аренде легковых автомобилей без водителя в г. Астана (автомобиль повышенной проходимости, представительского класса - 1 ед., объем двигателя не менее 4590 куб.см, расчетный ежемесячный пробег - 3900 км, 7-дневная рабочая неделя)</t>
  </si>
  <si>
    <t>с даты заключения договора по 31 декабря 2016 г.</t>
  </si>
  <si>
    <t>Услуги по аренде легковых автомобилей без водителя в г. Астана (автомобиль повышенной проходимости, бизнес класса - 4 ед., объем двигателя – не менее 2694 куб.см, расчетный ежемесячный пробег - 3900 км, 7-дневная рабочая неделя)</t>
  </si>
  <si>
    <t>29 Р</t>
  </si>
  <si>
    <t>43.21.10.335.000.00.0999.000000000000</t>
  </si>
  <si>
    <t>Работы по ремонту/модернизации пожарной/охранной сигнализации, систем тушения и аналогичного оборудования</t>
  </si>
  <si>
    <t>30 Р</t>
  </si>
  <si>
    <t>42.21.23.335.008.00.0999.000000000000</t>
  </si>
  <si>
    <t>Работы по ремонту/реконструкции систем водоснабжения/водопровода</t>
  </si>
  <si>
    <t>150-1 Т</t>
  </si>
  <si>
    <t>3,16,17</t>
  </si>
  <si>
    <t>С изменениями и дополнениями от 15.02.2016 года №61</t>
  </si>
  <si>
    <t>49-1 У</t>
  </si>
  <si>
    <t>7</t>
  </si>
  <si>
    <t>50-1 У</t>
  </si>
  <si>
    <t>122-1 У</t>
  </si>
  <si>
    <t>461 Т</t>
  </si>
  <si>
    <t>462 Т</t>
  </si>
  <si>
    <t>463 Т</t>
  </si>
  <si>
    <t>29.32.20.990.010.00.0796.000000000002</t>
  </si>
  <si>
    <t>Зеркало</t>
  </si>
  <si>
    <t>для транспортного средства, боковое левое</t>
  </si>
  <si>
    <t>Зеркало заднего вида левое на  Toyota HiAce</t>
  </si>
  <si>
    <t xml:space="preserve">Toyota HiAce </t>
  </si>
  <si>
    <t>464 Т</t>
  </si>
  <si>
    <t xml:space="preserve">Рулевая тяга на Toyota HiAce в комплекте </t>
  </si>
  <si>
    <t>465 Т</t>
  </si>
  <si>
    <t>466 Т</t>
  </si>
  <si>
    <t>467 Т</t>
  </si>
  <si>
    <t xml:space="preserve"> шаровая опора нижняя  для Toyota HiAce </t>
  </si>
  <si>
    <t>468 Т</t>
  </si>
  <si>
    <t xml:space="preserve"> Рычаг верхний для Toyota HiAce </t>
  </si>
  <si>
    <t>469 Т</t>
  </si>
  <si>
    <t>470 Т</t>
  </si>
  <si>
    <t>Ремень ГРМ с обводными роликами для Toyota HiAce</t>
  </si>
  <si>
    <t>471 Т</t>
  </si>
  <si>
    <t>472 Т</t>
  </si>
  <si>
    <t>29.32.20.990.013.00.0796.000000000000</t>
  </si>
  <si>
    <t>Стекло</t>
  </si>
  <si>
    <t>лобовое, для легкового автомобиля, триплекс</t>
  </si>
  <si>
    <t>473 Т</t>
  </si>
  <si>
    <t xml:space="preserve">Сайлент-блок в комплекте на Toyota HiAce </t>
  </si>
  <si>
    <t>474 Т</t>
  </si>
  <si>
    <t xml:space="preserve">Свеча зажигания в комплекте для Toyota HiAce </t>
  </si>
  <si>
    <t>22.19.40.300.000.00.0796.000000000044</t>
  </si>
  <si>
    <t>клиновый, приводный, с сечением А-1500, ГОСТ 1284.2-89</t>
  </si>
  <si>
    <t>ПАЗ 4234</t>
  </si>
  <si>
    <t>22.19.40.300.000.00.0796.000000000201</t>
  </si>
  <si>
    <t>клиновый, вентиляторный, размер 14*13-1280 мм, ГОСТ 5813-93.</t>
  </si>
  <si>
    <t>475 Т</t>
  </si>
  <si>
    <t>476 Т</t>
  </si>
  <si>
    <t>477 Т</t>
  </si>
  <si>
    <t>478 Т</t>
  </si>
  <si>
    <t>29.31.30.300.029.00.0796.000000000002</t>
  </si>
  <si>
    <t>Замок</t>
  </si>
  <si>
    <t>для легкового автомобиля, для двигателя с непосредственным впрыском (инжекторные), для зажигания стартера</t>
  </si>
  <si>
    <t>замок зажигания для ВАЗ 21213</t>
  </si>
  <si>
    <t>ремень генератора для ВАЗ 21213</t>
  </si>
  <si>
    <t>479 Т</t>
  </si>
  <si>
    <t>29.32.30.990.001.01.0839.000000000000</t>
  </si>
  <si>
    <t>Трапеция</t>
  </si>
  <si>
    <t>для легкового автомобиля, рулевая, цельная</t>
  </si>
  <si>
    <t>ВАЗ 21213</t>
  </si>
  <si>
    <t>480 Т</t>
  </si>
  <si>
    <t xml:space="preserve"> МТЗ 82</t>
  </si>
  <si>
    <t>481 Т</t>
  </si>
  <si>
    <t>Стартер с редуктором для МТЗ 82</t>
  </si>
  <si>
    <t>28.30.93.990.061.00.0796.000000000000</t>
  </si>
  <si>
    <t>Опора промежуточная</t>
  </si>
  <si>
    <t>для колесного трактора, в сборе</t>
  </si>
  <si>
    <t>482 Т</t>
  </si>
  <si>
    <t>483 Т</t>
  </si>
  <si>
    <t>29.32.30.300.004.00.0796.000000000059</t>
  </si>
  <si>
    <t>Вал</t>
  </si>
  <si>
    <t>промежуточный карданный, для специального и специализированного автомобиля, с шарниром неравных угловых скоростей</t>
  </si>
  <si>
    <t>Кардан привода переднего моста для МТЗ 82</t>
  </si>
  <si>
    <t>484 Т</t>
  </si>
  <si>
    <t>28.11.42.900.059.00.0839.000000000000</t>
  </si>
  <si>
    <t>Форсунка</t>
  </si>
  <si>
    <t>28.13.12.200.000.00.0796.000000000000</t>
  </si>
  <si>
    <t>Насос дозирующий</t>
  </si>
  <si>
    <t>для перекачки жидкостей, возвратно-поступательный, объемного действия</t>
  </si>
  <si>
    <t>485 Т</t>
  </si>
  <si>
    <t>486 Т</t>
  </si>
  <si>
    <t>29.32.30.650.018.00.0796.000000000005</t>
  </si>
  <si>
    <t>для специального и специализированного автомобиля, сцепления</t>
  </si>
  <si>
    <t>487 Т</t>
  </si>
  <si>
    <t>488 Т</t>
  </si>
  <si>
    <t>28.11.41.700.019.00.0796.000000000007</t>
  </si>
  <si>
    <t>Крышка</t>
  </si>
  <si>
    <t>головки блока цилиндров двигателя, для грузового автомобиля</t>
  </si>
  <si>
    <t>Отводка для МТЗ 82</t>
  </si>
  <si>
    <t>489 Т</t>
  </si>
  <si>
    <t>28.30.93.990.096.00.0796.000000000000</t>
  </si>
  <si>
    <t>для тракторной техники, уборочная</t>
  </si>
  <si>
    <t>Кольцо щеточное МТЗ 82</t>
  </si>
  <si>
    <t>МТЗ 82</t>
  </si>
  <si>
    <t>490 Т</t>
  </si>
  <si>
    <t>491 Т</t>
  </si>
  <si>
    <t>22.19.40.300.000.00.0796.000000000038</t>
  </si>
  <si>
    <t>клиновый, приводный, с сечением А-1250, ГОСТ 1284.2-89</t>
  </si>
  <si>
    <t>28.11.42.500.002.00.0796.000000000000</t>
  </si>
  <si>
    <t>Насос масляный</t>
  </si>
  <si>
    <t>односекционный, для дизельного двигателя, для грузового автомобиля</t>
  </si>
  <si>
    <t>Насос НШ для МТЗ 82</t>
  </si>
  <si>
    <t>492 Т</t>
  </si>
  <si>
    <t>493 Т</t>
  </si>
  <si>
    <t xml:space="preserve">тормозные колодки для КАМАЗ </t>
  </si>
  <si>
    <t>29.31.22.350.003.02.0796.000000000001</t>
  </si>
  <si>
    <t>для грузового автомобиля, с инерционным или комбинированным приводом</t>
  </si>
  <si>
    <t>494 Т</t>
  </si>
  <si>
    <t>495 Т</t>
  </si>
  <si>
    <t>29.32.30.610.000.02.0796.000000000000</t>
  </si>
  <si>
    <t>для грузового автомобиля, системы охлаждения</t>
  </si>
  <si>
    <t>29.32.30.250.012.00.0796.000000000002</t>
  </si>
  <si>
    <t>тормозной, для грузового автомобиля</t>
  </si>
  <si>
    <t>496 Т</t>
  </si>
  <si>
    <t>29.32.30.990.020.02.0796.000000000000</t>
  </si>
  <si>
    <t>для грузового автомобиля, привода вентилятора</t>
  </si>
  <si>
    <t>497 Т</t>
  </si>
  <si>
    <t xml:space="preserve">шланги тормозные в комплекте для КАМАЗ </t>
  </si>
  <si>
    <t xml:space="preserve">ремень вентилятора для КАМАЗ </t>
  </si>
  <si>
    <t>498 Т</t>
  </si>
  <si>
    <t xml:space="preserve"> КАМАЗ </t>
  </si>
  <si>
    <t>499 Т</t>
  </si>
  <si>
    <t>29.32.30.650.016.00.0796.000000000000</t>
  </si>
  <si>
    <t>Пневмогидроусилитель</t>
  </si>
  <si>
    <t>привода сцепления, для грузового автомобиля</t>
  </si>
  <si>
    <t>500 Т</t>
  </si>
  <si>
    <t>29.32.30.990.157.00.0796.000000000000</t>
  </si>
  <si>
    <t>Датчик привода спидометра</t>
  </si>
  <si>
    <t xml:space="preserve">Привод спидометра для КАМАЗ </t>
  </si>
  <si>
    <t>29.32.30.650.018.00.0796.000000000004</t>
  </si>
  <si>
    <t>для грузового автомобиля, сцепления</t>
  </si>
  <si>
    <t xml:space="preserve">Диск сцепления для двигателя для КАМАЗ </t>
  </si>
  <si>
    <t>501 Т</t>
  </si>
  <si>
    <t>29.32.30.990.059.00.0796.000000000000</t>
  </si>
  <si>
    <t>отопителя, для грузового автомобиля</t>
  </si>
  <si>
    <t>502 Т</t>
  </si>
  <si>
    <t>Mitsubishi-Grandis</t>
  </si>
  <si>
    <t>503 Т</t>
  </si>
  <si>
    <t>504 Т</t>
  </si>
  <si>
    <t>29.31.21.350.000.01.0839.000000000003</t>
  </si>
  <si>
    <t>505 Т</t>
  </si>
  <si>
    <t>Ремень ГРМ с обводными роликами для Mitsubishi-Grandis</t>
  </si>
  <si>
    <t>506 Т</t>
  </si>
  <si>
    <t>507 Т</t>
  </si>
  <si>
    <t xml:space="preserve"> ремень балансиров для Mitsubishi-Grandis</t>
  </si>
  <si>
    <t>508 Т</t>
  </si>
  <si>
    <t>29.32.30.990.020.01.0796.000000000000</t>
  </si>
  <si>
    <t>для легкового автомобиля, привода вентилятора</t>
  </si>
  <si>
    <t>509 Т</t>
  </si>
  <si>
    <t>510 Т</t>
  </si>
  <si>
    <t>29.32.30.990.010.00.0796.000000000004</t>
  </si>
  <si>
    <t>для автобуса, для подвески</t>
  </si>
  <si>
    <t>амортизатор передний для Мерседес-Бенц</t>
  </si>
  <si>
    <t>511 Т</t>
  </si>
  <si>
    <t>512 Т</t>
  </si>
  <si>
    <t>амортизатор задний для Мерседес-Бенц</t>
  </si>
  <si>
    <t>29.32.30.250.033.00.0796.000000000007</t>
  </si>
  <si>
    <t>тормозная, для автобуса, передняя</t>
  </si>
  <si>
    <t xml:space="preserve"> тормозные колодки для Мерседес-Бенц</t>
  </si>
  <si>
    <t>513 Т</t>
  </si>
  <si>
    <t>514 Т</t>
  </si>
  <si>
    <t>29.32.30.990.022.00.0839.000000000024</t>
  </si>
  <si>
    <t>продольной рулевой тяги, для легкового автомобиля</t>
  </si>
  <si>
    <t xml:space="preserve">ремкомплект реактивной тяги для Мерседес-Бенц </t>
  </si>
  <si>
    <t>29.32.30.990.050.00.0796.000000000000</t>
  </si>
  <si>
    <t>Фильтр-патрон</t>
  </si>
  <si>
    <t>воздухоочистителя, для легкового автомобиля</t>
  </si>
  <si>
    <t>патрон осушителя воздуха для Мерседес-Бенц</t>
  </si>
  <si>
    <t>515 Т</t>
  </si>
  <si>
    <t>516 Т</t>
  </si>
  <si>
    <t>29.20.30.900.007.00.0796.000000000000</t>
  </si>
  <si>
    <t>Пневмобаллон</t>
  </si>
  <si>
    <t>для прицепа</t>
  </si>
  <si>
    <t>пневмобаллон для автобуса Мерседес-Бенц</t>
  </si>
  <si>
    <t>29.32.30.990.098.02.0796.000000000004</t>
  </si>
  <si>
    <t>для грузового автомобиля, привода</t>
  </si>
  <si>
    <t xml:space="preserve">Сальник в комплекте для автобуса Мерседес-Бенц </t>
  </si>
  <si>
    <t>517 Т</t>
  </si>
  <si>
    <t>518 Т</t>
  </si>
  <si>
    <t>519 Т</t>
  </si>
  <si>
    <t>29.32.30.990.020.04.0796.000000000000</t>
  </si>
  <si>
    <t>для автобуса, привода компрессора</t>
  </si>
  <si>
    <t xml:space="preserve"> для автобуса Мерседес-Бенц </t>
  </si>
  <si>
    <t>29.32.30.990.020.04.0796.000000000001</t>
  </si>
  <si>
    <t>для автобуса, привода генератора</t>
  </si>
  <si>
    <t>29.32.30.990.020.04.0796.000000000002</t>
  </si>
  <si>
    <t>для автобуса, привода вентилятора</t>
  </si>
  <si>
    <t>29.32.30.990.020.02.0796.000000000001</t>
  </si>
  <si>
    <t>для грузового автомобиля, привода газораспределительного механизма</t>
  </si>
  <si>
    <t xml:space="preserve">для автобуса Мерседес-Бенц </t>
  </si>
  <si>
    <t>520 Т</t>
  </si>
  <si>
    <t>521 Т</t>
  </si>
  <si>
    <t>522 Т</t>
  </si>
  <si>
    <t>28.29.13.300.003.01.0796.000000000002</t>
  </si>
  <si>
    <t>топливный, для специальных автомобилей с карбюраторными двигателями внутреннего сгорания</t>
  </si>
  <si>
    <t xml:space="preserve">фильтр топливный для автобуса Мерседес-Бенц </t>
  </si>
  <si>
    <t>523 Т</t>
  </si>
  <si>
    <t xml:space="preserve"> фильтр масляный для автобуса Мерседес-Бенц </t>
  </si>
  <si>
    <t xml:space="preserve"> воздушный фильтр для автобуса Мерседес-Бенц </t>
  </si>
  <si>
    <t>524 Т</t>
  </si>
  <si>
    <t>525 Т</t>
  </si>
  <si>
    <t>29.32.30.670.019.03.0796.000000000000</t>
  </si>
  <si>
    <t>для специального и специализированного автомобиля, рулевая, цельная</t>
  </si>
  <si>
    <t xml:space="preserve">рулевая трапеция  в комплекте для автобуса Мерседес-Бенц </t>
  </si>
  <si>
    <t>29.32.30.950.016.03.0796.000000000002</t>
  </si>
  <si>
    <t>продольного рычага, для специального и специализированного автомобиля</t>
  </si>
  <si>
    <t xml:space="preserve">сайлентблок для автобуса Мерседес-Бенц </t>
  </si>
  <si>
    <t>526 Т</t>
  </si>
  <si>
    <t>527 Т</t>
  </si>
  <si>
    <t>29.31.23.100.007.00.0796.000000000015</t>
  </si>
  <si>
    <t>Фара</t>
  </si>
  <si>
    <t xml:space="preserve">поворотник в комплекте для автобуса Мерседес-Бенц </t>
  </si>
  <si>
    <t>Toyota Hilux</t>
  </si>
  <si>
    <t>29.32.30.990.090.00.0796.000000000004</t>
  </si>
  <si>
    <t>Шарнир</t>
  </si>
  <si>
    <t>регулировки угловых скоростей, для грузового автомобиля, наружный</t>
  </si>
  <si>
    <t>Кардан угловых скоростей (граната) для Toyota Hilux</t>
  </si>
  <si>
    <t>528 Т</t>
  </si>
  <si>
    <t>Шаровая опора нижняя для Toyota Hilux</t>
  </si>
  <si>
    <t>529 Т</t>
  </si>
  <si>
    <t>Шаровая опора верхняя для Toyota Hilux</t>
  </si>
  <si>
    <t>530 Т</t>
  </si>
  <si>
    <t>29.32.20.990.013.00.0796.000000000001</t>
  </si>
  <si>
    <t>лобовое, для легкового автомобиля, сталинит</t>
  </si>
  <si>
    <t>для Toyota Hilux</t>
  </si>
  <si>
    <t>29.31.30.530.006.00.0796.000000000000</t>
  </si>
  <si>
    <t>Механизм</t>
  </si>
  <si>
    <t>стеклоочистителя, для легкового автомобиля</t>
  </si>
  <si>
    <t>центральный переключатель стеклоочистителя для Toyota Hilux</t>
  </si>
  <si>
    <t>531 Т</t>
  </si>
  <si>
    <t xml:space="preserve">  Toyota Hilux</t>
  </si>
  <si>
    <t>532 Т</t>
  </si>
  <si>
    <t>533 Т</t>
  </si>
  <si>
    <t>534 Т</t>
  </si>
  <si>
    <t>29.32.30.650.013.03.0796.000000000000</t>
  </si>
  <si>
    <t>Пружина</t>
  </si>
  <si>
    <t>для специального и специализированного автомобиля, диафрагменная</t>
  </si>
  <si>
    <t>Пружина передняя для снегохода</t>
  </si>
  <si>
    <t>Пружина задняя для снегохода</t>
  </si>
  <si>
    <t>535 Т</t>
  </si>
  <si>
    <t>536 Т</t>
  </si>
  <si>
    <t>29.32.30.990.020.03.0796.000000000001</t>
  </si>
  <si>
    <t>для специального и специализированного автомобиля, вариаторный, для снегохода</t>
  </si>
  <si>
    <t>свеча зажигания для снегохода</t>
  </si>
  <si>
    <t>30.20.40.300.775.00.0796.000000000000</t>
  </si>
  <si>
    <t>Лыжа зимняя</t>
  </si>
  <si>
    <t>для искательной системы дефектоскопной автомотрисы</t>
  </si>
  <si>
    <t>лыжи в комплекте для снегохода</t>
  </si>
  <si>
    <t>537 Т</t>
  </si>
  <si>
    <t>538 Т</t>
  </si>
  <si>
    <t>539 Т</t>
  </si>
  <si>
    <t>28.29.13.500.000.01.0796.000000000004</t>
  </si>
  <si>
    <t>воздушный, для квадроцикла</t>
  </si>
  <si>
    <t>фильтр воздушный, для квадроцикла</t>
  </si>
  <si>
    <t>28.92.61.300.054.00.0796.000000000001</t>
  </si>
  <si>
    <t>топливный, для дизельного двигателя бульдозера, грубой очистки</t>
  </si>
  <si>
    <t>топливный фильтр для квадроцикла</t>
  </si>
  <si>
    <t>540 Т</t>
  </si>
  <si>
    <t>541 Т</t>
  </si>
  <si>
    <t>Toyota Hiace</t>
  </si>
  <si>
    <t>542 Т</t>
  </si>
  <si>
    <t>543 Т</t>
  </si>
  <si>
    <t>544 Т</t>
  </si>
  <si>
    <t>22.11.11.100.000.01.0796.000000001802</t>
  </si>
  <si>
    <t>для легковых автомобилей, летняя, 215, 65, R16, пневматическая, радиальная, бескамерная, ГОСТ 4754-97</t>
  </si>
  <si>
    <t>22.11.11.100.000.01.0796.000000002162</t>
  </si>
  <si>
    <t>для легковых автомобилей, зимняя, 215, 65, R16, пневматическая, радиальная, бескамерная, шипованная, ГОСТ 4754-97</t>
  </si>
  <si>
    <t>545 Т</t>
  </si>
  <si>
    <t>546 Т</t>
  </si>
  <si>
    <t>22.11.11.100.000.01.0796.000000002250</t>
  </si>
  <si>
    <t>для легковых автомобилей, всесезонная, 215, 65, R16, пневматическая, радиальная, бескамерная, нешипованная, ГОСТ 4754-97</t>
  </si>
  <si>
    <t>22.11.14.900.000.01.0796.000000000293</t>
  </si>
  <si>
    <t>на спецтехнику, размер 15,5-38, пневматическая, диагональная, ведущих колес, норма слойности 10, ГОСТ 25641-84</t>
  </si>
  <si>
    <t>МТЗ-82</t>
  </si>
  <si>
    <t>22.11.11.100.000.01.0796.000000002497</t>
  </si>
  <si>
    <t>для легковых автомобилей, всесезонная, 185, 75, R16C, пневматическая, радиальная, камерная</t>
  </si>
  <si>
    <t>Газель</t>
  </si>
  <si>
    <t>547 Т</t>
  </si>
  <si>
    <t>548 Т</t>
  </si>
  <si>
    <t>27.20.21.100.000.00.0796.000000000015</t>
  </si>
  <si>
    <t>Аккумулятор</t>
  </si>
  <si>
    <t>стартерный, марка 6СТ-110А, напряжение 12 В, емкость 110 А/ч, ГОСТ 959-2002</t>
  </si>
  <si>
    <t>549 Т</t>
  </si>
  <si>
    <t>27.20.21.100.000.00.0796.000000000029</t>
  </si>
  <si>
    <t>стартерный, марка 6СТ-60, напряжение 12 В, емкость 60 А/ч, кислотный, ГОСТ 959-2002</t>
  </si>
  <si>
    <t>550 Т</t>
  </si>
  <si>
    <t>27.20.21.100.000.00.0796.000000000007</t>
  </si>
  <si>
    <t>стартерный, марка 6СТ-190, напряжение 12 В, емкость 190 А/ч, ГОСТ 959-2002</t>
  </si>
  <si>
    <t>551 Т</t>
  </si>
  <si>
    <t>27.20.21.100.000.00.0796.000000000024</t>
  </si>
  <si>
    <t>стартерный, марка 6СТ-75, напряжение 12 В, емкость 75 А/ч, кислотный, ГОСТ 959-2002</t>
  </si>
  <si>
    <t>552 Т</t>
  </si>
  <si>
    <t>27.20.22.900.000.00.0796.000000000006</t>
  </si>
  <si>
    <t>напряжение 12 В, емкость 1,2-50 А/ч</t>
  </si>
  <si>
    <t>12 В, 18 Ah</t>
  </si>
  <si>
    <t>12 В, 20 Ah</t>
  </si>
  <si>
    <t>553 Т</t>
  </si>
  <si>
    <t>554 Т</t>
  </si>
  <si>
    <t>27.20.21.100.000.00.0796.000000000021</t>
  </si>
  <si>
    <t>стартерный, марка 6СТ-90, напряжение 12 В, емкость 90 А/ч, кислотный, ГОСТ 959-2002</t>
  </si>
  <si>
    <t>Ремень вариатора Снегоход</t>
  </si>
  <si>
    <t>109-1 У</t>
  </si>
  <si>
    <t>15,20,21</t>
  </si>
  <si>
    <t>С изменениями и дополнениями от 24.02.2016 года №83</t>
  </si>
  <si>
    <t>555 Т</t>
  </si>
  <si>
    <t>62.01.29.000.001.00.0796.000000000000</t>
  </si>
  <si>
    <t>Лицензия</t>
  </si>
  <si>
    <t>на программный продукт (кроме услуг по предоставлению лицензии)</t>
  </si>
  <si>
    <t>68.20.12.900.000.00.0777.000000000000</t>
  </si>
  <si>
    <t>Услуги по аренде земельного участка</t>
  </si>
  <si>
    <t>154 У</t>
  </si>
  <si>
    <t>Право аренды земельного участка 1,0062 га для обслуживания дома отдыха "Малиновый Мыс" сроком на 49 лет</t>
  </si>
  <si>
    <t>услуги по наружной облицовки фасада административного здания по пр.Кабанбай батыра, 19</t>
  </si>
  <si>
    <t>31 Р</t>
  </si>
  <si>
    <t>оплата по факту оказания работ</t>
  </si>
  <si>
    <t>С  дополнениями от 03.03.2016 года №96</t>
  </si>
  <si>
    <t>153-1 Т</t>
  </si>
  <si>
    <t>163-1 Т</t>
  </si>
  <si>
    <t>18,20,21</t>
  </si>
  <si>
    <t>11,18,19,20,21</t>
  </si>
  <si>
    <t>20.41.32.770.000.01.0796.000000000000</t>
  </si>
  <si>
    <t>Средство моющее</t>
  </si>
  <si>
    <t>для туалетов, гель, СТ РК ГОСТ Р 51696-2003</t>
  </si>
  <si>
    <t>Вода, кислота соляная 5-15%, катионные ПАВ &lt;5%, амфотерные ПАВ &lt;5%, отдушка, 2-(4-тертбутилбензил) пропиональдегид, краситель..состав: вода, кислота соляная, ПАВ, растворитель, краситель, отдушкаЖидкость для чистки санузлов ,  белая бутылка с изогнутым носиком и колпачком, объем 500 мл.</t>
  </si>
  <si>
    <t>20.41.32.590.000.02.0868.000000000000</t>
  </si>
  <si>
    <t>для мытья полов, жидкость, СТ РК ГОСТ Р 51696-2003</t>
  </si>
  <si>
    <t>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 полов, кухонной мебели, кафеля, металлических, стеклянных и пластиковых поверхностей. Эффективно удаляет ржавчину, водный камень, плесень, застарелые загрязнения, легко смывается водой, не оставляя разводов. Состав: менее 5% анионные ПАВ, неионогенные ПАВ, консерванты, ароматизирующие добавки, альфа-изометилионон, цитронеллол, гераниол, гексилкоричный пльдегид, линаллоол.</t>
  </si>
  <si>
    <t>20.41.32.590.000.01.5111.000000000000</t>
  </si>
  <si>
    <t>для чистки ванн и раковин, порошок, СТ РК ГОСТ Р 51696-2003</t>
  </si>
  <si>
    <t>Чистящий порошок глубоко очищает поверхности, удаляет повседневные загрязнения. В пластикой упаковке, объемом 475 гр. Состав: &lt;5% анионные ПАВ, хлоросодержащие отбеливатели; отдушка,</t>
  </si>
  <si>
    <t>20.41.32.750.000.01.0796.000000000000</t>
  </si>
  <si>
    <t>для мытья стекол и зеркальных поверхностей, жидкость, СТ РК ГОСТ Р 51696-2003</t>
  </si>
  <si>
    <t>Средство для стекол и других поверхностей с нашатырным спиртом.
Чистота и блеск без разводов.
Благодаря входящему в состав спирту, он эффективно удаляет грязь и жир,
придает поверхности блеск и не оставляет разводов.
Идеально подходит для окон, зеркал, кафеля, автомобильных стекол,
панелей бытовых электроприборов, поверхности холодильника. Состав: Вода, органические растворители, молочная кислота, н- ПАВ &lt; 5%, отдушка. В пластмассовой бутылке с распылителем, объемом: 500 мл.</t>
  </si>
  <si>
    <t>20.41.41.000.000.00.0778.000000000000</t>
  </si>
  <si>
    <t>Средство для дезинфекции дезодорации и санации</t>
  </si>
  <si>
    <t>для сливного бачка унитаза, таблетка</t>
  </si>
  <si>
    <t>Таблеток весом 3,4 г. Дезинфицирующие средство в таблетках:1 таблетка содержит натриевую соль дихлоризоциануровой кислоты с содержанием 1,5 г (44,2%) активного хлора. Хорошо растворимы в воде, водные растворы прозрачные и бесцветные, имеют слабый запах хлора.  Упаковка в пластиковой банки по 300 таблеток.</t>
  </si>
  <si>
    <t>20.20.14.900.000.00.0881.000000000000</t>
  </si>
  <si>
    <t>Средство дезинфицирующее</t>
  </si>
  <si>
    <t>на основе натриевой соли дихлоризоциануровой кислоты</t>
  </si>
  <si>
    <t>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(NaOCl) – гипохлорит натрия. Является сильным окислителем с содержанием активного хлора 95,2 % и обладает хорошими дезинфицирующими и антисептическими свойствами.  Объем 1л.</t>
  </si>
  <si>
    <t>881</t>
  </si>
  <si>
    <t>Банка условная</t>
  </si>
  <si>
    <t>20.41.32.590.000.11.0796.000000000001</t>
  </si>
  <si>
    <t>для любых видов поверхностей, в виде жидкости</t>
  </si>
  <si>
    <t>Эффективно удаляет известковый налет, мыльные разводы, ржавчину и
въевшуюся грязь. Состав: менее 5% неионогенные ПАВ, щавелевая кислота, ароматизатор.  В пластиковой упаковке с пульвилизатором объемом: 750 мл.</t>
  </si>
  <si>
    <t>20.41.31.530.000.01.0796.000000000000</t>
  </si>
  <si>
    <t>Порошок</t>
  </si>
  <si>
    <t>стиральный, для изделий из различных тканей, ГОСТ 25644-96</t>
  </si>
  <si>
    <t xml:space="preserve">Стиральный порошок для ручной стирки. Упаковка - 400 грамм.Синтетическое моющее средство для использования в стиральных машинах активаторного типа и ручной стирки. Не предназначен для стирки изделий из шерсти и шелка. Состав:5-15% Анионные ПАВ, фосфаты; &lt;5% неионогенные ПАВ, катионные ПАВ, поликарбоксилаты. Энзимы, оптический отбеливатель, отдушка.
</t>
  </si>
  <si>
    <t>20.41.31.530.000.01.0796.000000000001</t>
  </si>
  <si>
    <t>стиральный, специального назначения</t>
  </si>
  <si>
    <t>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6кг.</t>
  </si>
  <si>
    <t>20.41.31.950.000.00.0796.000000000000</t>
  </si>
  <si>
    <t>Мыло</t>
  </si>
  <si>
    <t>хозяйственное, твердое, 1 группа 72%, ГОСТ 30266-95</t>
  </si>
  <si>
    <t>Твердое,1 группы 72% Гост 30266- 95, 200гр</t>
  </si>
  <si>
    <t>20.30.22.700.000.00.0868.000000000001</t>
  </si>
  <si>
    <t>Растворитель</t>
  </si>
  <si>
    <t>для лакокрасочных материалов, марка 646, объем 1 литр,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</si>
  <si>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1л.</t>
  </si>
  <si>
    <t>20.30.22.700.000.00.0868.000000000004</t>
  </si>
  <si>
    <t>для лакокрасочных материалов, марка 646, объем 0,5 литра, ГОСТ 18188-72</t>
  </si>
  <si>
    <t>Жидкость от прозрачного до желтого цвета, сложная смесь растворителей и поверхностно-активных веществ, подобранных для эффективного удаления корок буровых растворов на водной основе. Состав: толуол 50%, этанол 15%, бутилацетат (или амилацетат) 10%, бутанол 10%, этилцеллозольв 8%, ацетон 7%. Удаление пятен от красок, жвачек. Объем  0,5 л.</t>
  </si>
  <si>
    <t>20.41.31.500.000.00.0112.000000000000</t>
  </si>
  <si>
    <t>туалетное, жидкое, гелеобразное, ГОСТ 23361-78</t>
  </si>
  <si>
    <t>Жидкое, гелеобразное в пластиковой канистре. Свежесть облаков. pH 1%-го раствора 5,5 - 7,0
Высококачественное жидкое мыло с антибактериальными компонентами, обладающее мягким очищающим эффектом, смягчающее и увлажняющее кожу рук. Не содержащее в своем компонентном составе красителей и ароматизаторов. В пластиковой канистре, объем 5л.</t>
  </si>
  <si>
    <t>20.41.31.900.000.00.0796.000000000001</t>
  </si>
  <si>
    <t>туалетное, жидкое, гелеобразное</t>
  </si>
  <si>
    <t>Мыло жидкое 1л.(1000мл.) в диспенсеры.  Содержит Aloe Vera. Цвет: янтарный. Диаметры картриджа внеш./ внутр. (рулона / втулки): 90 мм. Количество на паллете: 96
Объем упаковки: 0,012 м3</t>
  </si>
  <si>
    <t>Спрей для быстрой и простой промежуточной очистки напольных покрытий. Анионные тензиды - менее 5%, неионные тензиды - менее 5%, консерванты, красители, парфюмерное масло. Пластиковый бутыль емкостью 1 литр с насадкой для распыления.</t>
  </si>
  <si>
    <t xml:space="preserve">Средство для профилактического ухода и очистки всех наполных покрытий, 
мягкое, концентрированное очищающее средство. Состав: Анионные тензиды - 5-15 %, 
неионные тензиды - менее 5%, консерванты, парфюмерные масла. Объем 1л.
</t>
  </si>
  <si>
    <t>20.41.32.590.000.09.0796.000000000000</t>
  </si>
  <si>
    <t>для выведения пятен, жидкость, СТ РК ГОСТ Р 51696-2003</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</si>
  <si>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1 л</t>
  </si>
  <si>
    <t>В пластмассовой бутылке с дозатором, объемом 300 мл.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t>
  </si>
  <si>
    <t>20.41.41.000.002.00.0796.000000000000</t>
  </si>
  <si>
    <t>Освежитель воздуха</t>
  </si>
  <si>
    <t>аэрозоль</t>
  </si>
  <si>
    <t>Средство для глухих туалетных комнат. Освежитель воздуха автоматический  на аппарат "Paradise". Состав: изобутан, пропан, растворитель, ацетон (10-20%), 5% отдушка
(бензиловый спирт, кумарин).  Объем 269 гр</t>
  </si>
  <si>
    <t>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 объемом: 300мл. Обязательно в серии освежителя должны быть следующие запахи: Антитабак, Ландыш, Лотос, Нежность лепестков, Цитрус, Морской.</t>
  </si>
  <si>
    <t>22.29.23.900.002.00.0796.000000000000</t>
  </si>
  <si>
    <t>Диспенсер</t>
  </si>
  <si>
    <t>для освежителя воздуха</t>
  </si>
  <si>
    <t>Диспенсер автоматический, для сменных освежителей объемом 250мл.</t>
  </si>
  <si>
    <t>22.29.23.900.002.00.0796.000000000006</t>
  </si>
  <si>
    <t>для бумажных полотенец</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</si>
  <si>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t>
  </si>
  <si>
    <t>22.22.11.300.000.00.0736.000000000016</t>
  </si>
  <si>
    <t>Пакет</t>
  </si>
  <si>
    <t>мусорный, полиэтиленовый, объем 30л, 50шт в рулоне</t>
  </si>
  <si>
    <t xml:space="preserve">Полиэтиленовые мешки для мусора обычной прочности. Объем: 35л. Размер: 55см х 60 см, 50шт/рул. Толщина полиэтилена: 25 мкм. </t>
  </si>
  <si>
    <t>Рулон</t>
  </si>
  <si>
    <t>13.92.21.700.000.00.0796.000000000003</t>
  </si>
  <si>
    <t>Мешок</t>
  </si>
  <si>
    <t>упаковочный, для мусора, из полиэтилена, повышенной прочности, без ручек и завязок</t>
  </si>
  <si>
    <t>Полиэтиленовый. Мешки  для мусора. Объем: 120л. Размер: 70см х 110 см, 25шт/рул. Толщина полиэтилена: 40 мкм. грузоподьемность до 18 кг</t>
  </si>
  <si>
    <t>32.91.11.500.002.00.0796.000000000000</t>
  </si>
  <si>
    <t>Ерш</t>
  </si>
  <si>
    <t>унитазный</t>
  </si>
  <si>
    <t>для уборки чистки унитаза, цвет белый</t>
  </si>
  <si>
    <t>32.91.11.900.001.00.0778.000000000000</t>
  </si>
  <si>
    <t>Губка</t>
  </si>
  <si>
    <t>для мытья посуды, в упаковке 5-10 штук</t>
  </si>
  <si>
    <t>Универсальные кухонные губки с абразивной поверхностью предназначены для мытья посуды, раковин и кухонной мебели. Размер: 90х64х30мм 5 штук</t>
  </si>
  <si>
    <t>13.95.10.700.001.01.0778.000000000000</t>
  </si>
  <si>
    <t>Салфетка</t>
  </si>
  <si>
    <t>техническая, из микрофибры, сухая</t>
  </si>
  <si>
    <t>Упаковка из 3 салфеток из микрофибры
Зеленая - можно использовать для влажной и сухой уборки, универсальное применение.
Красная - для влажной и сухой уборки, для очистки и полировки деликатных поверхностей.
Желтая - влажной и сухой, отлично собирает пыль 100% микрофибры, 35х35. 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Плотность: 300 г/м2.</t>
  </si>
  <si>
    <t>13.92.29.990.008.00.0018.000000000000</t>
  </si>
  <si>
    <t>Ветошь</t>
  </si>
  <si>
    <t>хлопчатобумажная, тканая</t>
  </si>
  <si>
    <t>Ширина 90см.
плотность 140гр/кв.м.
состав 100% хлопок. Ткань обтирочная для протирки деталей и оборудования, вытирания рук, мытья полов.</t>
  </si>
  <si>
    <t>018</t>
  </si>
  <si>
    <t>Метр погонный</t>
  </si>
  <si>
    <t>13.20.20.200.000.01.0006.000000000000</t>
  </si>
  <si>
    <t>Ткань</t>
  </si>
  <si>
    <t>хлопчатобумажная, марлевая, с массовой долей хлопка не менее 85 %</t>
  </si>
  <si>
    <t>ткани хлопчатобумажные  марлевые с массовой долей  хлока не менее 85%</t>
  </si>
  <si>
    <t>006</t>
  </si>
  <si>
    <t>Метр</t>
  </si>
  <si>
    <t>13.20.13.130.000.02.0006.000000000002</t>
  </si>
  <si>
    <t>льняная, для полотенечных изделий, ширина полотна 35-150 см, ГОСТ 10138-93</t>
  </si>
  <si>
    <t>Полотенечная ткань – это специальный вид льняной ткани,  и как востребованный технический материал. Ширина полотна - 100см.</t>
  </si>
  <si>
    <t>22.29.23.700.000.01.0796.000000000000</t>
  </si>
  <si>
    <t>Стяжка-резинка</t>
  </si>
  <si>
    <t>насадка для швабры, с губкой</t>
  </si>
  <si>
    <t>Шубка для мойки окон, тонковористая для держателя,  длина: 35 см.</t>
  </si>
  <si>
    <t>13.95.10.700.001.01.0796.000000000000</t>
  </si>
  <si>
    <t xml:space="preserve">Двухслойная салфетка из 100% микрофибры с рельефными зонами. Не оставляет разводов, легко удаляет пыль и другие загрязнения. Имеет антибактериальные и антистатические свойства.
Размер: 40*40
</t>
  </si>
  <si>
    <t>13.92.29.590.000.00.0796.000000000000</t>
  </si>
  <si>
    <t>Тряпка</t>
  </si>
  <si>
    <t>для мытья полов, тканая</t>
  </si>
  <si>
    <t>Тряпка петельная , специальная текстильная  моечная насадка на швабру,  марки Моп, Mon Sprint Basic 50 см.</t>
  </si>
  <si>
    <t>22.19.60.500.000.00.0715.000000000001</t>
  </si>
  <si>
    <t>Перчатки</t>
  </si>
  <si>
    <t>для защиты рук технические, пропитанные резиной (латексом), из смесового волокна</t>
  </si>
  <si>
    <t xml:space="preserve">Перчатки резиновые -гелевые толщиной 0,7-0,9 мм . Перчатки изготовлены из высококачественного латекса, эластичны, долговечны, защищают от влаги,  водонепроницаемые, от воздействия моющих, чистящих средств. Гелевые перчатки имеют рельефный рисунок на ладони и пальцах, что способствует более надёжному захвату и позволяет надежно удерживать в руках сухие и влажные предметы. Предназначены для защиты рук от вредного воздействия агрессивных моющих и чистящих веществ во время уборки, стирки, мытья автомобиля, садовых работ. Увеличенная плотность латекса. 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t>
  </si>
  <si>
    <t>715</t>
  </si>
  <si>
    <t>Пара</t>
  </si>
  <si>
    <t>22.19.60.500.000.00.0715.000000000004</t>
  </si>
  <si>
    <t>для защиты рук технические, резиновые</t>
  </si>
  <si>
    <t>Перчатки резиновые - водонепроницаемые; предназначены для защиты рук человека от жидких и сухих химических реагентов, с внутренним утеплением</t>
  </si>
  <si>
    <t>32.91.11.900.006.00.0796.000000000000</t>
  </si>
  <si>
    <t>Швабра</t>
  </si>
  <si>
    <t>для уборки полов, механическая</t>
  </si>
  <si>
    <t>20.41.32.570.000.01.0796.000000000000</t>
  </si>
  <si>
    <t>для мытья посуды, гель, СТ РК ГОСТ Р 51696-2003</t>
  </si>
  <si>
    <t>гелеобразное для мытья посуды в пластиковой упаковке объем 500 мл.</t>
  </si>
  <si>
    <t>16.29.11.100.004.00.0796.000000000000</t>
  </si>
  <si>
    <t>деревянная</t>
  </si>
  <si>
    <t xml:space="preserve">Швабра деревянная 340 мм с черенком 1,5 м (осина). </t>
  </si>
  <si>
    <t>22.29.23.700.001.00.0796.000000000025</t>
  </si>
  <si>
    <t>Ведро</t>
  </si>
  <si>
    <t>пластиковое, круглое, объем 10 л</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</si>
  <si>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</si>
  <si>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22.29.23.700.001.00.0796.000000000028</t>
  </si>
  <si>
    <t>пластиковое, круглое, объем 5 л</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</si>
  <si>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зеленый, синий. Без посторонних запахов. </t>
  </si>
  <si>
    <t>32.91.11.900.004.00.0839.000000000000</t>
  </si>
  <si>
    <t>Комплект для уборки полов</t>
  </si>
  <si>
    <t>состоит из: щетка, совок</t>
  </si>
  <si>
    <t>со щеткой-сметкой, механический сбрасыватель, ручка 67 см, резиновая кромка</t>
  </si>
  <si>
    <t>для уборки</t>
  </si>
  <si>
    <t>Швабра для мытья полов и стекол  бытовая без насадок, 37х32х9 см.Насадка из микроволокна легко крепится на платформу с помощи особо прочной липучки.</t>
  </si>
  <si>
    <t>32.91.11.590.000.00.0796.000000000000</t>
  </si>
  <si>
    <t>хозяйственная</t>
  </si>
  <si>
    <t>Предназнчена для чистки  ковров средней жесткости на длинной ручке</t>
  </si>
  <si>
    <t>30.99.10.000.002.00.0796.000000000006</t>
  </si>
  <si>
    <t>Тележка</t>
  </si>
  <si>
    <t>ручная, для уборки помещений, четырехколесная</t>
  </si>
  <si>
    <t>Тележка с двумя вёдрами 2*25 л., в комплекте с отжимным устройством. С лотком для моющих средств. Держатель мешка для мусора. Качественное крепление колес к каркасу, сами колеса прорезинены, что обеспечивает бесшумность при перемещении, ведро из качественного пластика. Очень высока надежность и долговечность даже в самых тяжелых условиях эксплуатациях.</t>
  </si>
  <si>
    <t>22.29.25.900.007.00.0796.000000000000</t>
  </si>
  <si>
    <t>Корзина</t>
  </si>
  <si>
    <t>для бумаг, объем 10 л</t>
  </si>
  <si>
    <t>Корзина для бумаг пластиковая (полипропилен), решетчатая.
Объем: 10 л.
Цвет: серый, черный.  Изготовлена из высококачественного материала. Долговечность в самых тяжелых эксплуатациях. Без посторонних запахов.</t>
  </si>
  <si>
    <t>20.41.43.550.000.00.0796.000000000001</t>
  </si>
  <si>
    <t>Полироль</t>
  </si>
  <si>
    <t>для мебели, аэрозоль</t>
  </si>
  <si>
    <t>20.59.55.900.002.00.0868.000000000000</t>
  </si>
  <si>
    <t>Средство</t>
  </si>
  <si>
    <t>по уходу за изделиями из кожи, для очистки и обработки изделий из кожи</t>
  </si>
  <si>
    <t>средство по уходу за кожанной мебелью</t>
  </si>
  <si>
    <t>20.41.31.900.000.00.0796.000000000000</t>
  </si>
  <si>
    <t>туалетное, твердое, ГОСТ 28546-2002</t>
  </si>
  <si>
    <t>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t>
  </si>
  <si>
    <t>22.29.23.900.002.00.0796.000000000008</t>
  </si>
  <si>
    <t>для жидкого мыла</t>
  </si>
  <si>
    <t>Пластмассовый, объем 500 мл. белый. Надежная и удобная система дозировки жидкого мыла. Изготавлен из  высокопрочного пластика. Исключает протекание дозатора.</t>
  </si>
  <si>
    <t>22.29.23.290.001.00.0796.000000000001</t>
  </si>
  <si>
    <t>Держатель</t>
  </si>
  <si>
    <t>для туалетной бумаги, пластиковый</t>
  </si>
  <si>
    <t>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 кг. Хромированое покрытие устойчиво к потускнению, легко очищается и придает аксессуарам зеркальный блеск. При правильном уходе аксессуары для ванной на долгие годы сохранят свой первоначальный вид.</t>
  </si>
  <si>
    <t>32.91.11.300.000.00.0796.000000000002</t>
  </si>
  <si>
    <t xml:space="preserve">
Швабра для мытья полов и стекол  бытовая без насадок, 37х32х9 см.Насадка из микроволокна легко крепится на платформу с помощи особо прочной липучки.</t>
  </si>
  <si>
    <t>13.92.21.700.001.00.0736.000000000002</t>
  </si>
  <si>
    <t>упаковочный, из полиэтилена низкого давления (ПНД), с ручками типа «майка», грузоподъемность 1-3 кг</t>
  </si>
  <si>
    <t>в рулоне  200 шт.25*45</t>
  </si>
  <si>
    <t>27.51.23.500.001.00.0796.000000000000</t>
  </si>
  <si>
    <t>Электросушитель</t>
  </si>
  <si>
    <t>для рук, механический, пластиковый</t>
  </si>
  <si>
    <t>Пластик повышенной ударопрочности, автоматическое включение/отключение, мощность 2000 вт.Размеры (Д х Ш х В) 240 мм х 250 мм х 190 мм</t>
  </si>
  <si>
    <t>20.42.19.100.000.00.0796.000000000000</t>
  </si>
  <si>
    <t>Гель</t>
  </si>
  <si>
    <t>для душа, желеобразный, ароматизированный, СТ РК ГОСТ Р 52345-2007</t>
  </si>
  <si>
    <t>желеобразный, аромотизированный в пластиковой упаковке, объем 250 мл.</t>
  </si>
  <si>
    <t>20.42.16.300.000.00.0796.000000000000</t>
  </si>
  <si>
    <t>Шампунь</t>
  </si>
  <si>
    <t>для волос, в пластиковой упаковке, СТ РК ГОСТ Р 52345-2007</t>
  </si>
  <si>
    <t>17.22.12.900.003.00.0778.000000000000</t>
  </si>
  <si>
    <t>Палочки ватные</t>
  </si>
  <si>
    <t>гигиенические</t>
  </si>
  <si>
    <t>100% хлопок</t>
  </si>
  <si>
    <t>Материал: металл, нержавейка. Цвет: стальной. размеры: 56 х 34,5 х 55,5см.</t>
  </si>
  <si>
    <t>20.41.32.790.000.00.0796.000000000000</t>
  </si>
  <si>
    <t>Средство чистящее</t>
  </si>
  <si>
    <t>для моющего пылесоса, порошкообразное, концентрированное</t>
  </si>
  <si>
    <t>Средство для моющих пылесосов. Экстрагирующий агент с необычайной сильной очищающей способностью используется для чистки любых видов текстильных напольных покрытий и мягкой мебели.  Состав: 5% неионные тензиды, 30% фосфаты, ароматизаторы. Объем 10кг.</t>
  </si>
  <si>
    <t>20.41.44.000.000.00.0796.000000000002</t>
  </si>
  <si>
    <t>для моющего пылесоса, жидкость, СТ РК ГОСТ Р 51696-2003</t>
  </si>
  <si>
    <t>Средство для моющих пылесосов. Универсальное средство для удаления пятен с любых текстильных покрытий. Удаляет масляные пятна, смолу, обувной крем, чернила, нарисованное шариковой ручкой или фломастером.
  -Безопасный универсальный пятновыводитель
-Не содержит ароматических углеводородов. Упаковка: 0,5 л</t>
  </si>
  <si>
    <t>20.41.32.590.000.03.0778.000000000000</t>
  </si>
  <si>
    <t>для поломоечной машины, жидкость, СТ РК ГОСТ Р 51697-2008</t>
  </si>
  <si>
    <t xml:space="preserve"> Кислотное средство для общей чистки с использованием поломойных машин. Эффективно удаляет цементные разводы, известковый налет, ржавчину, пивной и молочный камень. Упаковка 10 л</t>
  </si>
  <si>
    <t xml:space="preserve"> 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Концентрат pH: 12. Дозировка: поддерживающая чистка 0,5-1 %, общая чистка 10-25%.Объем 20л.</t>
  </si>
  <si>
    <t>Состав вода,ПАВ,загуститель, комплексообразователь, регулятор PH глицин, антибоктериальный компонент, отдушка,консервант, краситель и др добавки форма пластик 500г, дозатор, крышка.</t>
  </si>
  <si>
    <t>шампунь для волос в пластиковой упаковке объем 250 мл. Экстракт водяной лилии и Алоэ вера</t>
  </si>
  <si>
    <t>20.41.32.790.000.00.0796.000000000001</t>
  </si>
  <si>
    <t>для дезинфекции поверхностей, порошкообразное, абразивное, СТ РК ГОСТ Р 51696-2003</t>
  </si>
  <si>
    <t>Отбеливание,удаление пятен при стиркелюбых видов тканей,используется для усиления действия порошка.Состав:кислородный отбеливатель,активаторТАЕД,ПАВ,комплексообразователи,полимеры,натриевые соли сульфата,карбоната,силиката,ароматические добавки. Расфасован в картонныекаробки по 0,6 кг.</t>
  </si>
  <si>
    <t>5% отбеливатель,ионовая смесь ББЗ,поликарбоксилат 15-30%фосфат.в таблетках.</t>
  </si>
  <si>
    <t>совок и щетка пластиковые в комплекте, совок с окантовкой</t>
  </si>
  <si>
    <t>Сменная тряпка МОП. Ширина 50см.,ворсистая, для влажной уборки.</t>
  </si>
  <si>
    <t>Швабра бабочка,материал насадки хлопок, тип ручки телескопическая,материал ручки пластик 150см. Размер швабры 50х14</t>
  </si>
  <si>
    <t>Ерш напольный для санузла, со стаканчиком пластиковый длина ручки 14см с жесткой щетиной.</t>
  </si>
  <si>
    <t>Ерш напольный для санузла, материал бронза</t>
  </si>
  <si>
    <t xml:space="preserve">Предназнчена для чистки  ковров </t>
  </si>
  <si>
    <t>17.12.20.900.001.00.0796.000000000000</t>
  </si>
  <si>
    <t>столовая, бумажная, квадратная/круглая</t>
  </si>
  <si>
    <t>Белая однослойная,100 % целюлоза, спаббонд, спанлейс. в полипропеленновом пакете 100листов.размер 24см-24см.Плотность 1м.2 *20г</t>
  </si>
  <si>
    <t>Размер: 40х40 см. Плотность: 280 г/м2. Цвет: серо-голубой.</t>
  </si>
  <si>
    <t xml:space="preserve"> Размер:40х40 цвет розовый, плотность 310г/м2</t>
  </si>
  <si>
    <t>13.92.29.990.006.02.0018.000000000000</t>
  </si>
  <si>
    <t>из вафельного полотна, обтирочная</t>
  </si>
  <si>
    <t>100%  хлопок, ширина 90 см.</t>
  </si>
  <si>
    <t>13.92.21.700.000.00.0736.000000000000</t>
  </si>
  <si>
    <t>упаковочный, для мусора, из полиэтилена, обычной прочности, с ручками</t>
  </si>
  <si>
    <t>Полиэтиленовые мешки,обычной прочности ,объем 60л,размер 60 см на 80 см.20 штук в рулоне.</t>
  </si>
  <si>
    <t>22.21.30.200.001.00.0736.000000000000</t>
  </si>
  <si>
    <t>Пленка</t>
  </si>
  <si>
    <t>полиэтиленовая, пищевая</t>
  </si>
  <si>
    <t>Термостойкая пищевая плёнка  стрейч на гильзе, белого или жёлтого цвета,ширина -30 см.,длина-18 м.Используется как упаковочный материал.</t>
  </si>
  <si>
    <t>24.42.25.200.000.00.0736.000000000000</t>
  </si>
  <si>
    <t>Фольга</t>
  </si>
  <si>
    <t>алюминиевая, для упаковки, ГОСТ 745-2014</t>
  </si>
  <si>
    <t>Пищевая алюминевая фольга на гильзе.Ширина рулона 45см.,длина 10м.</t>
  </si>
  <si>
    <t>20.42.18.900.001.00.0796.000000000001</t>
  </si>
  <si>
    <t>Зубочистки</t>
  </si>
  <si>
    <t>деревянные, в упаковке</t>
  </si>
  <si>
    <t>в индивидуальной упаковке, состав дерево</t>
  </si>
  <si>
    <t>изготовлен из 100% хлопка, в упаковке 100 шт</t>
  </si>
  <si>
    <t>17.22.12.900.000.00.0796.000000000000</t>
  </si>
  <si>
    <t>гигиенический, ватный</t>
  </si>
  <si>
    <t>изготовлен из 100% хлопка, в упаковке 50 шт</t>
  </si>
  <si>
    <t>25.71.12.420.000.00.0796.000000000004</t>
  </si>
  <si>
    <t>Бритва</t>
  </si>
  <si>
    <t>механическая</t>
  </si>
  <si>
    <t>Система с тройным лезв, со сменными кассетами 2 шт</t>
  </si>
  <si>
    <t>20.42.19.300.002.00.0778.000000000000</t>
  </si>
  <si>
    <t>Пена</t>
  </si>
  <si>
    <t>для бритья, ГОСТ 31692-2012</t>
  </si>
  <si>
    <t>Аэрозольная упаковка с дозирующим носиком, объём 200мл.</t>
  </si>
  <si>
    <t>20.42.19.300.000.00.0778.000000000000</t>
  </si>
  <si>
    <t>Лосьон</t>
  </si>
  <si>
    <t>после бритья, ГОСТ 31692-2012</t>
  </si>
  <si>
    <t>Белая  или матовая  бутылка из толстого стекла, ёмкость 100 мл.Используется для антибактериальной защиты,  предотвращает раздажение после бритья.Состав:очищенная вода,спирт этиловый,парфюмерная отдушка,водорастворимая серебряная соль лимонной кислоты,экстракт ромашки,касторовое масло,ЭДТА,жидкий селикон.</t>
  </si>
  <si>
    <t>25.71.12.420.000.00.0796.000000000002</t>
  </si>
  <si>
    <t>обыкновенная</t>
  </si>
  <si>
    <t>Станок для бритья разового пользования. Мягкая ручка из эластомера</t>
  </si>
  <si>
    <t>20.42.18.900.002.00.0796.000000000001</t>
  </si>
  <si>
    <t>зубная, средней жесткости, ГОСТ 6388-2003</t>
  </si>
  <si>
    <t>20.42.18.900.005.00.0704.000000000001</t>
  </si>
  <si>
    <t>Набор гигиенический</t>
  </si>
  <si>
    <t>для полости рта, в наборе 2 предмета</t>
  </si>
  <si>
    <t>В наборе паста зубная и щетка зубная одноразовая</t>
  </si>
  <si>
    <t>Набор</t>
  </si>
  <si>
    <t>20.42.18.500.001.00.0778.000000000000</t>
  </si>
  <si>
    <t>Паста</t>
  </si>
  <si>
    <t>для чистки зубов</t>
  </si>
  <si>
    <t xml:space="preserve">Зубная паста  с тройным действием </t>
  </si>
  <si>
    <t>32.91.11.590.000.00.0796.000000000001</t>
  </si>
  <si>
    <t>санитарно-бытовая</t>
  </si>
  <si>
    <t>Туалетная расческа. В картонной упаковке,тип зубье частые,длина зубьев 16мм, вес 10г</t>
  </si>
  <si>
    <t>Профессиональный препарат  для мытья полов паркет, ламинат, мрамор, линолеум (канистра объемом 10 л.). Концентрированный нейтральный препарат с моюще-ухаживающими свойствами и апельсиновым запахом. NANO средство на основе ионов серебра. Для мытья блестящих стекловидных поверхностей со слабым впитыванием. Не оставляет разводов, придаёт блеск, быстросохнущий. Препарат не требует полоскания водой. ПРИМЕНЕНИЕ: Водостойкие покрытия пола из керамических глазурованных, каменных половых плиток, ПЦВ, лакированого дерева, пробки, пластмасс также деревоподобных панелей, стекловидные, блесящие поверхности. СОСТАВ: Более &lt;5% анионовые поверхностно-активные средства, NANO состав, композиция запахов (Limonene), спирт. СПОСОБ УПОТРЕБЛЕНИЯ: В зависимости от метода мытия применять следующие разбавления - ручное мытьё: 25  мл/10 л воды, - cпрeep: 50-100 мл/10 л воды. СРОК ГОДНОСТИ: 72 месяцев от даты изготовления. Датa изготовления/серия также срок годности нанесены на упаковку.</t>
  </si>
  <si>
    <t xml:space="preserve">Профессиональный препарат для мытья и уходом за мебелью и пластикоых поверхностей (канистра объемом 10 л.). Концентрированное универсальное моющее средство, с легкостью удаляет жировые загрязнения. NANO средство на основе ионов серебра. Не оставляет полос и разводов, быстро высыхает. Оставляет приятный запах, создает деликатный, блестящий защитный слой. Рекомендуется для всех видов офисных поверностей, а также лакированных деревянных, ламинированных поверхностей и мебели. Не оставляет световых рефлексов. ПРЕДНАЗНАЧЕНИЕ: Мебель, офисное оборудование, элементы оснащения помещений, двери, перила, подоконники, стеновые панели, ламинированные панели, деревянные и древоподобные поверхности, эластичные напольные поверхности (ПВХ, линолеум). СОСТАВ: Более &lt;5% неионогенные и анионные поверхностно-активные вещества, NANO состав, ароматизатор (Limonene), вспомогательное вещества, спирт.
СПОСОБ ПРИМЕНЕНИЯ: В зависимости от способа мытья применять следующие растворы: - ежедневная уборка: 25-50 мл/10 л воды, - машинная мойка: 50-100 мл/10 л воды, - для мытья панелей использовать спрей-метод (распылитель + тряпка), -генеральная уборка – без разбавления. СРОК ГОДНОСТИ: 72 месяцев от даты изготовления. Датa изготовления/серия также срок годности нанесены на упаковку.
</t>
  </si>
  <si>
    <t>Препарат для мытья стекол, зеркал и других стеклянных и стекловидных поверхностей (канистра объемом 10 л.). Концентрированное NANO средство на основе ионов серебра для мытья стекол, зеркал, других стеклянных, остеклённых, блестящих элементов, не оставляет разводов, придаёт блеск, эффективнo устраняeт грязь, пыль. ПРИМЕНЕНИЕ: - стекло, оконные рамы, зеркала, витрины; - автомобильные окна. СОСТАВ: Более &lt;5% анионовыe поверхностно- активные средства, NANO состав, Запаховая композиция (Limonene, Butylphenyl mathylpropional, Hexyl cinnamal), спирт, РН 8.
СРОК ГОДНОСТИ: 72 месяцев от даты изготовления. Датa изготовления/серия также срок годности нанесены на упаковку.</t>
  </si>
  <si>
    <t xml:space="preserve">Препарат для мытья любых видов сантехники (канистра объемом 10 л.). Концентрированный кислотный моющее и защищающее средство для санузлов NANO на основе ионов сребра. Эффективно удаляет известковый налет, грязь, остатки мыла, ржавчину, натеки мочи. Хорошо прилегает к вертикальным поверхностям. Оставляет характерный, антисептический запах, придает блеск, не повреждает поверхность. Рекомендуется для ежедневного мытья любых устойчивых к кислотам поверхностей и материалов. Рекомендуется для часто загрязняющихся санузлов. ПРЕДНАЗНАЧЕНИЕ: - ванны, поддоны, душевые кабины, арматура для ванны (эмалированное оборудование), элементы из нержавеющей стали. - унитазы, писсуары, раковины (керамическое и пластмассовое оборудование). -напольные покрытия. СОСТАВ: Содержит NANO состав кислоту около 15%, Более &lt;5% фосфонаты, &lt;5% неионогенные ПАВ, ароматизатор (Linalool). СРОК ГОДНОСТИ: 72 месяцев от даты изготовления. Датa изготовления/серия также срок годности нанесены на упаковку.
</t>
  </si>
  <si>
    <t>20.20.14.500.000.00.0796.000000000000</t>
  </si>
  <si>
    <t>на основе соединений галогенов</t>
  </si>
  <si>
    <t>Препарат для мытья и дезинфекции сантехники (канистра объмом 5 л.). Концентрированное NANO, антибактериальное средство ДЛЯ САНУЗЛОВ на основе ионов серебра. Моет и дезинфицирует загрязненные поверхности и санитарное оборудование. Эффективно удаляет загрязнения органического происхождения, удаляет неприятные запахи, возникшие в результате процессов гниения. Отбеливает цементные и силиконовые межплиточные швы. Идеальное для мытье и дезинфекции каменных, керамических, эмалированных и окрашенных поверхностей. Рекомендуется для дезинфекции сточных колодцев, стоков, мусорных контейнеров (отходы). Обладает дезинфицирующими свойствами. ПРЕДНАЗНАЧЕНИЕ: - ванны, поддоны, душевые кабины. - унитазы, писсуары, раковины. - мусорные контейнеры, - цементные и силиконовые межплиточные швы. СОСТАВ: 100 мл средства содержит гипохлорит натрия (активное вещество) – 15 гр, более &lt;5% катионные ПАВ, гидроксид натрия около 5%. NANO состав 25%. 
СРОК ГОДНОСТИ: 72 месяцев от даты изготовления. Датa изготовления/серия также срок годности нанесены на упаковку.</t>
  </si>
  <si>
    <t>20.41.31.530.000.01.0778.000000000000</t>
  </si>
  <si>
    <t xml:space="preserve">Стиральный порошок для профессиональной ежедневной стирки мопов и тряпок (мешок объемом 15 кг.). Стиральный порошок для профессионалов. Отстирывает до 500 кг белых вещей. При среднем загрязнении белья, средней жесткости воды, для 5 кг стиральной машинки. Ингредиенты 5% и более, но менее 15%: анионные ПАВ, кислородсодержащий отбеливатель; менее 5%: катионные ПАВ; ЭДТА и ее соли, неионогенные ПАВ, фосфаты, фосфонаты, поликарбоксилаты, мыло, цеолиты; оптические отбеливатели, энзимы, отдушка. Особенности и преимущества   Лучшее качество в решении сложных проблем стирки. Эффективно удаляет белки, жир, остатки старых кондиционеров белья, пятна от натуральных красителей. Сбалансированная система энзимов и трех типов ПАВов. Новый энзим Celluclean разглаживает волокна при каждой стирке, благодаря чему одежда меньше пачкается. Ненавязчивая отдушка.
</t>
  </si>
  <si>
    <t>Концентрированный моющий препарат (канистра объемом 10 л.). Концентрированный, сильнокислотный препарат для удаления большого количества ржавчины, известковой накипи, бетона, цемента, котельного камня с устойчивых к кислотам поверхностей. NANO средство. Содержит соляную кислоту. ПРИМЕНЕНИЕ: Не использовать на эмалированных поверхностях и арматуре для ванны. Не допускать высыхания поверхности, покрытой рабочим раствором. Применение продукта - горизонтальные и вертикальные поверхности. Удаление камня с промышленных машин и оборудования (остатки цемента). Удаление ржавчины и камня со старого, изношенного санитарного оборудования (унитазы, писсуары, бойлеры, нагреватели). СОСТАВ: Соляная кислота до 22%, менее 5% анионовые поверхностно-активные средства. СРОК ГОДНОСТИ: 72 месяцев от даты изготовления. Датa изготовления/серия также срок годности нанесены на упаковку.</t>
  </si>
  <si>
    <t>Концентрированный моющий препарат (канистра объемом 10 л.). Концентрированное, слабо пенящееся, щелочное моющее средство для мытья сильно загрязненных, запущенных промышленных напольных покрытий с загрязнениями нефтяного происхождения. NANO препарат для шиpoкoгo применения. 
ПРИМЕНЕНИЕ: все твердые поверхности
СОСТАВ: Гидроокись натрия do 7%, &lt;5% Фосфонаты, &lt;5% Неионные поверхностно- активные средства, Kaтионовыe поверхностно- активные средства, 5÷15% Aнионовые поверхностно-активные средства , &lt;5% Натриевая соль NTA.
СПОСОБ УПОТРЕБЛЕНИЯ: Перед применением следует ознакомиться с картой характеристики химического препарата. Применять в качестве водного раствора в зависимости от степени загрязнения поверхности при разбавлении 50-200 мл/10 л воды. Наносить на мытую поверхность с помощью спреера возможно кисти (более безопасно), затем смыть водой. СРОК ГОДНОСТИ: 72 месяцев от даты изготовления. Датa изготовления/серия также срок годности нанесены на упаковку.</t>
  </si>
  <si>
    <t>20.41.44.000.000.00.0881.000000000000</t>
  </si>
  <si>
    <t>для смывки старой краски, жидкость</t>
  </si>
  <si>
    <t>Чистящее средство  (канистра объемом 5 л.). Готовое к применению NANO средство на базе натуральных растворителей и спирта, предназначенное для удаления не растворяемых водой пятен от маркеров, жевательной резинки, масляных загрязнений, клея от самоклеящихся этикеток, пасты для обуви, битумных масс, следов от резины на напольных покрытиях, смолы, типографской краски, некоторых красок типа «граффити» с гладких поверхностей, пластилина и парафина с ковров. Обладает интенсивным запахом свежего апельсина.
ПРЕДНАЗНАЧЕНИЕ:
- столы, прилавки, загрязнения на офисной и домашней мебели.
- стены в раздевалках, приемных, в школах (покрашенные маслянной краской), устойчивые к действию растворителей.
- глазурованные поверхности, лакированное дерево.
- ковролины.
- механические транспортные средства: легковые автомобили, автобусы, трамваи.
- твердые напольные покрытия.
СОСТАВ:
Спирты (этанол, изопропанол), оранжевые терпены 5-15%, вспомагательные вещества.</t>
  </si>
  <si>
    <t>20.41.31.590.002.01.0796.000000000000</t>
  </si>
  <si>
    <t>чистящая</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</si>
  <si>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голубой,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</si>
  <si>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красный,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</si>
  <si>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желтый,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</si>
  <si>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 xml:space="preserve">Профессиональная тканная микроволоконная салфетка для протирки пористых поверхностей из искуственной замши, размер 35х38 см. Состав: салфетка - 80% полиэстер, 20% полиамиды, пропитка - 100% PVA поливиниловый спирт. Вес салфетки 245 г/м2, толщина 1,44 мм. Цвет зеленый, для разделения зон работ. Протирка без разводов и ворса. Впитывает на 20% больше влаги. Отлично выполаскивается. Высокая долговечность в условиях ручной стирки. </t>
  </si>
  <si>
    <t>32.91.11.900.001.00.0796.000000000002</t>
  </si>
  <si>
    <t>для хозяйственных нужд</t>
  </si>
  <si>
    <t>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</si>
  <si>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13.92.29.530.000.00.0796.000000000000</t>
  </si>
  <si>
    <t>для мытья полов, нетканая</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</si>
  <si>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50*11 см.</t>
  </si>
  <si>
    <t xml:space="preserve">Перчатки для общей уборки, хлопковое покрытие с внутренней стороны. Цвет желтый. Размер S, M, L, XL </t>
  </si>
  <si>
    <t>28.93.13.000.000.00.0796.000000000000</t>
  </si>
  <si>
    <t>Дозатор</t>
  </si>
  <si>
    <t>для жидких и сыпучих ингредиентов</t>
  </si>
  <si>
    <t>Система дозирования и смешивания концентратов моющих и чистящих средств. Система расчитана на два вида средства шкала дозирования 0,25%</t>
  </si>
  <si>
    <t>28.30.60.900.000.00.0796.000000000000</t>
  </si>
  <si>
    <t>Распылитель</t>
  </si>
  <si>
    <t>для опрыскивания растений, объем 0,5 литра</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</si>
  <si>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голубой,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</si>
  <si>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красный,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</si>
  <si>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желтый, для разделения зон работ. Расчитан на долгий срок службы.</t>
  </si>
  <si>
    <t>Спреи профессиональный из полипропилена, для химических растворов выдерживающих щелочные и кислтоные растворы от PH 1-14. Спрей имеет шкалу дозирования от 0-10%. Цвет зеленый, для разделения зон работ. Расчитан на долгий срок службы.</t>
  </si>
  <si>
    <t>Ткань обтирочная для мойки пола</t>
  </si>
  <si>
    <t>Вафельное полотно отбеленное для протирания поверхностей (45см) (вес-200г/м.кв.)</t>
  </si>
  <si>
    <t xml:space="preserve">Для урн в туалетах, объем 30 л., в рулоне 50 шт. </t>
  </si>
  <si>
    <t>Объем 80 л., в рулоне 20 шт.</t>
  </si>
  <si>
    <t>20.41.31.500.000.00.0778.000000000000</t>
  </si>
  <si>
    <t xml:space="preserve">Жидкое, антибактериальное на основе натуральных природных компонентов. Канистра объемом 5 литров. Для диспенсеров.    </t>
  </si>
  <si>
    <t xml:space="preserve">Диспенсер для жидкого мыла, 500 мл, белый. </t>
  </si>
  <si>
    <t>Мыло туалетное, 100 гр.</t>
  </si>
  <si>
    <t>17.22.11.200.000.00.0736.000000000001</t>
  </si>
  <si>
    <t>Бумага</t>
  </si>
  <si>
    <t>туалетная, двухслойная</t>
  </si>
  <si>
    <t>Бумага туалетная, белая, 2-слойная, длинна рулона 20 м.</t>
  </si>
  <si>
    <t>Бумага туалетная, белая, 2-слойная, длинна рулона 25 м.</t>
  </si>
  <si>
    <t>17.22.11.200.000.00.0778.000000000000</t>
  </si>
  <si>
    <t>туалетная, многослойная</t>
  </si>
  <si>
    <t xml:space="preserve">Бумага туалетная, белая, 100% целлюлоза, 4-слойная, c растворимой втулкой, 2 штуки в упаковке. </t>
  </si>
  <si>
    <t>Освежитель воздуха, аэрозоль, 300 мл.</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</si>
  <si>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</si>
  <si>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Объем 50 л., в рулоне 15 шт.</t>
  </si>
  <si>
    <t>17.22.11.200.000.00.0778.000000000001</t>
  </si>
  <si>
    <t>Бумага туалетная, белая, 2-слойная (в упаковке 4 шт., 25 метров)</t>
  </si>
  <si>
    <t>17.22.11.350.000.00.0778.000000000000</t>
  </si>
  <si>
    <t>Полотенце</t>
  </si>
  <si>
    <t>общего назначения, бумажное</t>
  </si>
  <si>
    <t>Бумажные полотенца, двухслойные, рулонные, 15 метров в рулоне, в упаковке 2 рулона.)</t>
  </si>
  <si>
    <t xml:space="preserve">Бумажное полотенце, белые, двух слойные, 2 штуки в упаковке. </t>
  </si>
  <si>
    <t>Микроволоконная салфетка для протирки пористых поверхностей (в упаковке 3 шт.)</t>
  </si>
  <si>
    <t xml:space="preserve">Губка мягкая для оттирки слабо и среднезагрязненных деликатных поверхностей, размер 7х15 см. </t>
  </si>
  <si>
    <t xml:space="preserve">Туалетная бумага, 4-х слойная, 4 штуки в упаковке.  </t>
  </si>
  <si>
    <t>Салфетки, размер 33х33 см,  3-х слойные 20 штук в упаковке. Цветные.</t>
  </si>
  <si>
    <t>Салфетки, однослойные, 100 штук в упаковке. Цвет белый.</t>
  </si>
  <si>
    <t>г.Актау, 14 мкр, здание 70</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</si>
  <si>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голубой,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</si>
  <si>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красный,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</si>
  <si>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желтый,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</si>
  <si>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Профессиональная нетканная микроволоконная салфетка для протирки зеркальных поверхностей поверхностей, размер 40х38 см. Материал: 70% полиэстер, 30% полиамид. Цвет зеленый, для разделения зон работ. Расчитана на долгий срок службы.Изготовлена из бесконечных микроволокон с использованием запатентованной технологии с уникальными свойствами – низкое размочаливание, высокие показатели чистоты и результат без разводов. Отличается высокой стойкостью к большинству химических веществ таких как, сурфактанты, дезинфектанты и т.д. Производительность: Высококачественные показатели чистоты и результат без разводов за одно движение. Благодаря долговечности и возможности убирать без использования моющих средств сокращается стоимость уборки. Гигиена и безопасность: За счет системы цветной кодировки, процесс протирки соответствует требованиям гигиенических стандартов. Эргономичность: Скорость и удобство в использовании, благодаря низкому трению. Назначение: Любые глянцевые/стеклянные поверхности; Офисные площади (оргтехника, зеркала, ЖК-мониторы и т.д.); Туалетные комнаты (зеркала, витражи); Лабораторная зона ЛПУ (палаты, стерильные помещения).</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</si>
  <si>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голубой,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</si>
  <si>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красный,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</si>
  <si>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желтый,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</si>
  <si>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Белый абразив без твердых частиц позволяет чистить чувствительный поверхности, не оставляя царапин. Форма губки обеспечивает удобный захват и защиту пальцев рук. Материал Пенка: 100% Полиуретан. Не тканный ворс: 60% Акрил, 40% Полиамид. Размер 7х15 см. Цвет зеленый, для разделения зон работ. Расчитана на долгий срок службы. Удобна в работе, обеспечивает хороший захват и обладает повышенными эргономическими свойствами. Чистящая поверхность губки изготовлена из высококачественного материала без добавления абразивных волокон. Позволяет проводить мягкую очистку поверхностей. </t>
  </si>
  <si>
    <t xml:space="preserve">Экономичный ёрш для эффективной очистки унитазов. Щетина устойчива к воздействию химии.  Изготовлен из нержавеющих компонентов с использованием элементов из пластмассы со скрепками из нержавеющей стали для крепления щетинок.
Гладкий, полипропиленовый корпус помогает предотвратить налипание грязи на поверхность. </t>
  </si>
  <si>
    <t>22.29.23.900.001.00.0778.000000000000</t>
  </si>
  <si>
    <t>для мопов, поворотный, СТ РК ГОСТ Р 50962-2008</t>
  </si>
  <si>
    <t xml:space="preserve">Высококачественный держатель плоских мопов. Легкий, эргономичный имеет специальные крепления для мопов. Держатель используется с мопами для влажной уборки полов с креплением под прищепку, обеспечивает надежное крепление мопа, и позволяет работать без прикосновения рук. Зажимное кольцо у основания позволяет использовать данный держатель с ручкой (палкой), различного диаметра (от 18 до 23 мм). Для снятия мопа с держателя во время уборки, необходимо лишь нажать на клавишу ногой, после чего держатель складывается пополам. Мопы с данным держателем можно отжимать в тележка с отжимом. Материал: полипропилен. Вес: 510 гр. Размер: 40*11 см. В комплекте с держателем 3 запасных мопа.  </t>
  </si>
  <si>
    <t>Профессиональный МОП. Насадка с тремя видами волокон отличается высокими чистящими показателями, абсорбирующими свойствами и стойкостью. Идеально подходит для полов с открытыми порами. Размер: 40*11 см.</t>
  </si>
  <si>
    <t>Объем 60 л., в рулоне 20 шт.</t>
  </si>
  <si>
    <t xml:space="preserve">Полотенца листовые, белые, 2-слойные, 200 листов в упаковке, Z -укладка размер 22*22 см, для диспенсеров.  </t>
  </si>
  <si>
    <t xml:space="preserve">Бумага туалетная, белая, 100% целлюлоза, 2-слойная, ГОСТ 52354-2008, длинна рулона 150 м, ширина 9 см, для диспенсеров. </t>
  </si>
  <si>
    <t>г.Атырау, ул.З.Гумарова, 94</t>
  </si>
  <si>
    <t xml:space="preserve">Бумага туалетная, белая, 100% целлюлоза, 2-слойная, длина 25 метров. </t>
  </si>
  <si>
    <t>27.40.12.900.001.00.0796.000000000387</t>
  </si>
  <si>
    <t>Лампа накаливания</t>
  </si>
  <si>
    <t>тип цоколя Е-27, мощность 60 Вт, вакуумная</t>
  </si>
  <si>
    <t>Лампа накаливания Е27, 220 В, 59 Вт.</t>
  </si>
  <si>
    <t>27.40.15.990.003.00.0796.000000000001</t>
  </si>
  <si>
    <t>Лампа металлогалогенная</t>
  </si>
  <si>
    <t>мощность 70 Вт</t>
  </si>
  <si>
    <t>Лампа металлогалоген Е27 70Вт</t>
  </si>
  <si>
    <t>27.40.12.900.001.00.0796.000000000246</t>
  </si>
  <si>
    <t>тип цоколя R7S, мощность 150 Вт, галогенная</t>
  </si>
  <si>
    <t>Двухцокольная галогеновая лампа 150Вт Rx7s</t>
  </si>
  <si>
    <t>27.40.39.900.003.00.0796.000000000000</t>
  </si>
  <si>
    <t>Лампа газозарядная</t>
  </si>
  <si>
    <t>тип ДНаТ, мощность 250 Вт</t>
  </si>
  <si>
    <t>Лампа газоразрядная высокого давления Е27 125Вт</t>
  </si>
  <si>
    <t>27.40.15.990.001.00.0796.000000000043</t>
  </si>
  <si>
    <t>Лампа люминесцентная</t>
  </si>
  <si>
    <t>тип цоколя G24-d-2, мощность 18 Вт</t>
  </si>
  <si>
    <t xml:space="preserve">Лампа люминецентная энергосберегающая   18Вт цоколь G24d - 2 </t>
  </si>
  <si>
    <t>27.40.15.990.001.00.0796.000000000040</t>
  </si>
  <si>
    <t>тип цоколя G24-d-2, мощность 13 Вт</t>
  </si>
  <si>
    <t>Лампа люминецентная энергосберегающая  13Вт цоколь G24d - 4</t>
  </si>
  <si>
    <t>27.40.15.990.001.00.0796.000000000050</t>
  </si>
  <si>
    <t>тип цоколя G24-d-2, мощность 26 Вт</t>
  </si>
  <si>
    <t>Лампа люминецентная энергосберегающая  26 Вт цоколь G24d - 4</t>
  </si>
  <si>
    <t>27.40.15.990.003.00.0796.000000000004</t>
  </si>
  <si>
    <t>мощность 400 Вт</t>
  </si>
  <si>
    <t>Лампа металлогалогеновая цоколь Е40/400Вт</t>
  </si>
  <si>
    <t>27.40.15.990.001.00.0796.000000000153</t>
  </si>
  <si>
    <t>тип цоколя G13, мощность 36 Вт</t>
  </si>
  <si>
    <t>26.11.22.900.002.01.0796.000000000003</t>
  </si>
  <si>
    <t>для трубчатых люминесцентных ламп, тип 65С-220, ГОСТ 8799-90</t>
  </si>
  <si>
    <t>S10</t>
  </si>
  <si>
    <t>S2</t>
  </si>
  <si>
    <t>27.40.15.990.001.00.0796.000000000142</t>
  </si>
  <si>
    <t>тип цоколя G13, мощность 18 Вт</t>
  </si>
  <si>
    <t>27.40.15.990.001.00.0796.000000000167</t>
  </si>
  <si>
    <t>тип цоколя G5, мощность 35 Вт</t>
  </si>
  <si>
    <t xml:space="preserve"> Т5.Тип цоколя G5 21 Вт</t>
  </si>
  <si>
    <t>27.40.15.990.001.00.0796.000000000085</t>
  </si>
  <si>
    <t>тип цоколя 2G10, мощность 30 Вт</t>
  </si>
  <si>
    <t>Т9.Тип цоколя G10Q 32 Вт</t>
  </si>
  <si>
    <t>27.40.12.900.001.00.0796.000000000181</t>
  </si>
  <si>
    <t>тип цоколя GU9, мощность 50 Вт, галогенная</t>
  </si>
  <si>
    <t>Лампа галогеновая GU 10, 220В, мощ. 50Вт</t>
  </si>
  <si>
    <t>27.40.15.990.001.00.0796.000000000172</t>
  </si>
  <si>
    <t>тип цоколя Е-27, мощность 32 Вт</t>
  </si>
  <si>
    <t>Лампа энергосберегающая Е27, 220В, мощ. 32Вт</t>
  </si>
  <si>
    <t>27.40.15.990.001.00.0796.000000000181</t>
  </si>
  <si>
    <t>тип цоколя Е-27, мощность 40 Вт</t>
  </si>
  <si>
    <t>Лампа зеркальная R63 энергосберегающая</t>
  </si>
  <si>
    <t>27.40.15.990.001.00.0796.000000000171</t>
  </si>
  <si>
    <t>тип цоколя Е-27, мощность 25 Вт</t>
  </si>
  <si>
    <t>27.40.15.990.001.00.0796.000000000170</t>
  </si>
  <si>
    <t>тип цоколя Е-27, мощность 20 Вт</t>
  </si>
  <si>
    <t>27.12.40.300.003.00.0796.000000000001</t>
  </si>
  <si>
    <t>Дроссель</t>
  </si>
  <si>
    <t>для люминисцентных ламп</t>
  </si>
  <si>
    <t>Дроссель для люминецентных ламп 36 Вт.</t>
  </si>
  <si>
    <t>Дроссель для люминецентных ламп 2*36 Вт.</t>
  </si>
  <si>
    <t>Дроссель для люминецентных ламп 18 Вт.</t>
  </si>
  <si>
    <t>27.40.22.900.000.03.0796.000000000002</t>
  </si>
  <si>
    <t>Светильник</t>
  </si>
  <si>
    <t>местного освещения, настенный</t>
  </si>
  <si>
    <t>СС110 402-1-Н-036-В-КИ, 21W, 5500K</t>
  </si>
  <si>
    <t>27.40.39.900.002.00.0796.000000000019</t>
  </si>
  <si>
    <t>Лампа светодиодная</t>
  </si>
  <si>
    <t>тип цоколя G13, мощность 12 Вт</t>
  </si>
  <si>
    <t xml:space="preserve">Светодиодная лампа GU10 MR16 7.5W 4200K, тип цоколя GU10 </t>
  </si>
  <si>
    <t>27.40.22.900.000.01.0796.000000000000</t>
  </si>
  <si>
    <t>люминесцентный, пылевлагозащищенный</t>
  </si>
  <si>
    <t>Светильник люм. ЛВО 4х36 IP20</t>
  </si>
  <si>
    <t>Светильник люм. ЛВО 2х36 IP20</t>
  </si>
  <si>
    <t>27.40.24.000.004.00.0796.000000000007</t>
  </si>
  <si>
    <t>Знак указательный</t>
  </si>
  <si>
    <t>прямоугольный, размер 150*300 мм</t>
  </si>
  <si>
    <t>Световой указатель "Выход", IP 50</t>
  </si>
  <si>
    <t>27.40.22.900.000.02.0796.000000000000</t>
  </si>
  <si>
    <t>общего освещения, потолочный</t>
  </si>
  <si>
    <t>Светильник SPOT 1х50Вт</t>
  </si>
  <si>
    <t>27.40.22.900.000.02.0796.000000000001</t>
  </si>
  <si>
    <t>общего освещения, настенный</t>
  </si>
  <si>
    <t>Светильник с лампой накаливания до 100Вт, IP20, типа НПО</t>
  </si>
  <si>
    <t>Светильник с лампой накаливания до 100Вт, IP54, типа НББ</t>
  </si>
  <si>
    <t>27.12.23.500.000.00.0796.000000000020</t>
  </si>
  <si>
    <t>Рубильник</t>
  </si>
  <si>
    <t>тип ВР32-39А60120-00Т3</t>
  </si>
  <si>
    <t>Рубильник ВР-32-39 на 630А</t>
  </si>
  <si>
    <t>27.12.23.500.000.00.0796.000000000019</t>
  </si>
  <si>
    <t>тип ВР32-37А60120-00Т3</t>
  </si>
  <si>
    <t>Рубильник ВР-32-37 на 400А</t>
  </si>
  <si>
    <t>27.12.23.500.000.00.0796.000000000018</t>
  </si>
  <si>
    <t>тип ВР32-35А60120-00Т3</t>
  </si>
  <si>
    <t>Рубильник ВР-32-35 на 250А</t>
  </si>
  <si>
    <t>27.33.11.100.004.00.0796.000000000000</t>
  </si>
  <si>
    <t>Розетка</t>
  </si>
  <si>
    <t>трехместная, двухполюсная, боковые заземляющие контакты, тип закрытый, номинальный ток 16А, напряжение 250В, ГОСТ 7396.1-89</t>
  </si>
  <si>
    <t>Розетка чистого питания</t>
  </si>
  <si>
    <t>27.33.11.100.002.00.0796.000000000004</t>
  </si>
  <si>
    <t>Выключатель</t>
  </si>
  <si>
    <t>двухклавишный, внутренней установки</t>
  </si>
  <si>
    <t>27.32.13.700.000.00.0006.000000000233</t>
  </si>
  <si>
    <t>Кабель</t>
  </si>
  <si>
    <t>марка ВВГ, 5*2,5 мм2</t>
  </si>
  <si>
    <t>27.32.13.700.000.00.0006.000000000232</t>
  </si>
  <si>
    <t>марка ВВГ, 5*1,5 мм2</t>
  </si>
  <si>
    <t>27.32.13.700.000.00.0006.000000000203</t>
  </si>
  <si>
    <t>марка ВВГ, 3*2,5 мм2</t>
  </si>
  <si>
    <t>27.32.13.700.000.00.0008.000000000210</t>
  </si>
  <si>
    <t>марка ВВГ, 3*1,5 мм2</t>
  </si>
  <si>
    <t>27.32.13.700.000.00.0008.000000000244</t>
  </si>
  <si>
    <t>марка ВВГ, 5*16 мм2</t>
  </si>
  <si>
    <t>27.32.13.700.000.00.0006.000000000139</t>
  </si>
  <si>
    <t>марка АВВГ, 4*6 мм2</t>
  </si>
  <si>
    <t>27.32.13.700.000.00.0006.000000000127</t>
  </si>
  <si>
    <t>марка АВВГ, 3*35+1*16 мм2</t>
  </si>
  <si>
    <t xml:space="preserve">  </t>
  </si>
  <si>
    <t>27.32.13.700.000.00.0006.000000000131</t>
  </si>
  <si>
    <t>марка АВВГ, 3*120+1*70 мм2</t>
  </si>
  <si>
    <t xml:space="preserve"> </t>
  </si>
  <si>
    <t>27.32.13.700.000.00.0006.000000000130</t>
  </si>
  <si>
    <t>марка АВВГ, 3*95+1*50 мм2</t>
  </si>
  <si>
    <t>27.12.22.900.001.00.0796.000000000038</t>
  </si>
  <si>
    <t>автоматический, тип С, трехполюсный, с тепловым размыкателем</t>
  </si>
  <si>
    <t>Автоматические выключатели трёхполюсные - 16А</t>
  </si>
  <si>
    <t>Автоматические выключатели трёхполюсные - 25А</t>
  </si>
  <si>
    <t>Автоматические выключатели трёхполюсные - 32А</t>
  </si>
  <si>
    <t>Автоматические выключатели трёхполюсные - 40А</t>
  </si>
  <si>
    <t>Автоматические выключатели трёхполюсные - 63А</t>
  </si>
  <si>
    <t>Автоматические выключатели трёхполюсные - 100А</t>
  </si>
  <si>
    <t>Автоматические выключатели трёхполюсные - 125А</t>
  </si>
  <si>
    <t>27.12.22.900.001.00.0796.000000000002</t>
  </si>
  <si>
    <t>автоматический, тип С, однополюсный, с тепловым размыкателем</t>
  </si>
  <si>
    <t>Автоматические выключатели однополюсные - 16А</t>
  </si>
  <si>
    <t>Автоматические выключатели однополюсные - 25А</t>
  </si>
  <si>
    <t>Автоматические выключатели однополюсные - 32А</t>
  </si>
  <si>
    <t>Автоматические выключатели однополюсные - 40А</t>
  </si>
  <si>
    <t>26.51.51.700.004.00.0796.000000000000</t>
  </si>
  <si>
    <t>Преобразователь давления</t>
  </si>
  <si>
    <t>измерительный, с измерителем температуры</t>
  </si>
  <si>
    <t xml:space="preserve">Датчик давления для насосной станции. Измерение давления  от 0 до 25 bar. Выход: 4-20 mA. </t>
  </si>
  <si>
    <t>28.14.11.390.000.00.0796.000000000085</t>
  </si>
  <si>
    <t>Клапан регулирующий</t>
  </si>
  <si>
    <t>двухходовой, проходной</t>
  </si>
  <si>
    <t xml:space="preserve">AME15 QM, 24V. Двухходовой привод клапана приточной установки.Напряжение  24 VAC, частота 50 Hz, длина штока 15 мм, скорость 11 с/мм. Управление  0-10 V. </t>
  </si>
  <si>
    <t xml:space="preserve">AME120 NL, 24V. Двухходовой привод клапана приточной установки.Напряжение  24 VAC, частота 50 Hz, длина штока 5,5 мм, скорость 12 с/мм. </t>
  </si>
  <si>
    <t xml:space="preserve">Двухходовой привод клапана приточной установки.Напряжение  24 VAC, частота 50 Hz, длина штока20 мм, скорость 15/7,5 с/мм. Управление  0-10, 0-20 V. </t>
  </si>
  <si>
    <t>27.12.24.500.000.03.0796.000000000002</t>
  </si>
  <si>
    <t>тепловое, тип РТЛ, номинальное напряжение 380 В, номенальный ток 45 А</t>
  </si>
  <si>
    <t xml:space="preserve">Тепловое реле LR2-D1308, 2.5-4А </t>
  </si>
  <si>
    <t>Тепловое реле LR2-D1310, 4-6А</t>
  </si>
  <si>
    <t>Тепловое реле LR2-D1312, 5.5-8А</t>
  </si>
  <si>
    <t>28.30.60.300.002.00.0796.000000000000</t>
  </si>
  <si>
    <t>Соленоид</t>
  </si>
  <si>
    <t>электромагнитный клапан для системы пожаротушения</t>
  </si>
  <si>
    <t>Соленоидный клапан  EV224B, 220V</t>
  </si>
  <si>
    <t>27.20.23.300.000.00.0796.000000000000</t>
  </si>
  <si>
    <t>литиевый, напряжение 3 В, емкость 2,1 А/ч</t>
  </si>
  <si>
    <t>Цилиндрическая литиевая батарея CR-P2, 6V</t>
  </si>
  <si>
    <t>27.12.24.500.000.05.0796.000000000010</t>
  </si>
  <si>
    <t>промежуточное, тип РТ, для оборудования</t>
  </si>
  <si>
    <t xml:space="preserve">Реле промежуточное – 220 VAC, 4P, R4-2014-23-5230-WT </t>
  </si>
  <si>
    <t xml:space="preserve">Реле промежуточное – 24 VAC, 2P, RXM2AB1B7 </t>
  </si>
  <si>
    <t xml:space="preserve">Реле промежуточное – 24 VDC, 2P, RT424024 </t>
  </si>
  <si>
    <t>27.12.40.900.014.00.0796.000000000000</t>
  </si>
  <si>
    <t>Вентилятор</t>
  </si>
  <si>
    <t>для шкафов системы линейной телемеханики</t>
  </si>
  <si>
    <t>Вентилятор шкафа управления 150*150, 19W/18W, 0.12A</t>
  </si>
  <si>
    <t>28.29.86.000.005.00.0796.000000000000</t>
  </si>
  <si>
    <t>Электроклапан</t>
  </si>
  <si>
    <t>для портальной машины плазменной резки</t>
  </si>
  <si>
    <t>Электроклапан фанкойла – 220V-1PH-5W</t>
  </si>
  <si>
    <t>27.12.31.900.000.00.0796.000000000007</t>
  </si>
  <si>
    <t>Пускатель магнитный</t>
  </si>
  <si>
    <t>ПМЛ, нереверсивный, с реле, величина пускателя в зависимости от номинального тока 10 А</t>
  </si>
  <si>
    <t>IEK КМИ10910</t>
  </si>
  <si>
    <t xml:space="preserve">Элмарк LY4 </t>
  </si>
  <si>
    <t xml:space="preserve">IEK рэк77/4 </t>
  </si>
  <si>
    <t>22.29.29.900.065.00.0796.000000000000</t>
  </si>
  <si>
    <t>Щит защитный</t>
  </si>
  <si>
    <t>противоударный, пластиковый</t>
  </si>
  <si>
    <t>Пластиковый щит на 12 модулей</t>
  </si>
  <si>
    <t>26.20.40.000.033.00.0796.000000000001</t>
  </si>
  <si>
    <t>Пульт управления</t>
  </si>
  <si>
    <t>для подключения к модулям ввода/вывода и контроллера</t>
  </si>
  <si>
    <t xml:space="preserve">Пульт управления фанкойла TMS810FE </t>
  </si>
  <si>
    <t>27.11.22.300.000.00.0796.000000000414</t>
  </si>
  <si>
    <t>Электродвигатель</t>
  </si>
  <si>
    <t>переменного тока, асинхронный, однофазный, с номинальной частотой сети на 50 Гц, с синхронной частотой вращения 750 мин, номинальная мощность 0,37 кВт</t>
  </si>
  <si>
    <t>Двигатель HC40CM222LMW(4) 220V 400W от фанкойла 42CE (42СН)</t>
  </si>
  <si>
    <t>22.23.14.500.003.00.0006.000000000000</t>
  </si>
  <si>
    <t>Кабель-канал</t>
  </si>
  <si>
    <t>пластиковый</t>
  </si>
  <si>
    <t>размер 20*10 мм</t>
  </si>
  <si>
    <t>размер 100*60 мм</t>
  </si>
  <si>
    <t>размер 20*20 мм</t>
  </si>
  <si>
    <t>размер 30*10 мм</t>
  </si>
  <si>
    <t>кабель-канал с двойным замком, напольный, размеры 40х25</t>
  </si>
  <si>
    <t>кабель-канал с двойным замком, 25х25</t>
  </si>
  <si>
    <t>27.40.15.700.001.00.0796.000000000002</t>
  </si>
  <si>
    <t>Лампа дуговая</t>
  </si>
  <si>
    <t>ДРЛ-250, ртутная</t>
  </si>
  <si>
    <t>27.40.15.700.001.00.0796.000000000003</t>
  </si>
  <si>
    <t>ДРЛ-400, ртутная</t>
  </si>
  <si>
    <t>27.40.15.990.001.00.0796.000000000158</t>
  </si>
  <si>
    <t>тип цоколя G13, мощность 58 Вт</t>
  </si>
  <si>
    <t>27.40.39.900.002.00.0796.000000000009</t>
  </si>
  <si>
    <t>тип цоколя E27, мощность 11 Вт</t>
  </si>
  <si>
    <t>Лампа R63 светодиодная 11 ватт Е27</t>
  </si>
  <si>
    <t>27.40.39.900.002.00.0796.000000000008</t>
  </si>
  <si>
    <t>тип цоколя E14, мощность 7,8 Вт</t>
  </si>
  <si>
    <t>Лампа R50 светодиодная 9 ватт Е14</t>
  </si>
  <si>
    <t>27.40.12.900.001.00.0796.000000000077</t>
  </si>
  <si>
    <t>тип цоколя GU5.3, мощность 50 Вт, галогенная</t>
  </si>
  <si>
    <t>27.40.12.900.001.00.0796.000000000129</t>
  </si>
  <si>
    <t>тип цоколя GU6.35, мощность 50 Вт, галогенная</t>
  </si>
  <si>
    <t>27.40.42.500.003.00.0796.000000000001</t>
  </si>
  <si>
    <t>Патрон</t>
  </si>
  <si>
    <t>для электрических ламп, керамический, цоколь Е27</t>
  </si>
  <si>
    <t>27.40.42.500.004.00.0796.000000000000</t>
  </si>
  <si>
    <t>Драйвер</t>
  </si>
  <si>
    <t>для светодиодного светильника</t>
  </si>
  <si>
    <t>13.99.19.900.006.00.0796.000000000000</t>
  </si>
  <si>
    <t>Лента</t>
  </si>
  <si>
    <t>поливинилхлоридная, липкая, ГОСТ 16214-86</t>
  </si>
  <si>
    <t>13.99.19.900.007.00.0796.000000000000</t>
  </si>
  <si>
    <t>Изолента</t>
  </si>
  <si>
    <t>хлопчатобумажная, односторонняя, ГОСТ 2162-97</t>
  </si>
  <si>
    <t>27.12.40.300.003.00.0796.000000000000</t>
  </si>
  <si>
    <t>для металлогалогенных ламп</t>
  </si>
  <si>
    <t>Дроссель на металлогенную лампу 250 Вт</t>
  </si>
  <si>
    <t>Дроссель на металлогенную лампу 400 Вт</t>
  </si>
  <si>
    <t>27.33.13.520.001.00.0796.000000000000</t>
  </si>
  <si>
    <t>Вилка</t>
  </si>
  <si>
    <t>штепсельная, в разборном корпусе, с заземлением</t>
  </si>
  <si>
    <t xml:space="preserve">вилка однофазная </t>
  </si>
  <si>
    <t>27.40.24.000.006.00.0796.000000000001</t>
  </si>
  <si>
    <t>Знак предупреждающий</t>
  </si>
  <si>
    <t>длина 100 мм</t>
  </si>
  <si>
    <t>Знак "220В" 35*100мм (самоклеющийся) Осторожно! Электрическое напряжение</t>
  </si>
  <si>
    <t>27.90.12.500.002.00.0796.000000000000</t>
  </si>
  <si>
    <t>Коробка</t>
  </si>
  <si>
    <t>КЭМ 1, диаметр вводимых кабелей 12 мм, количество модулей 3</t>
  </si>
  <si>
    <t>H-55</t>
  </si>
  <si>
    <t>H-60</t>
  </si>
  <si>
    <t>H-45</t>
  </si>
  <si>
    <t>27.90.12.500.002.00.0796.000000000003</t>
  </si>
  <si>
    <t>КЭМ 4, диаметр вводимых кабелей 20 мм, количество модулей 4</t>
  </si>
  <si>
    <t>22.22.13.000.002.00.0796.000000000001</t>
  </si>
  <si>
    <t>Кожух защитный</t>
  </si>
  <si>
    <t>пластмассовый, закрывающий 4 автоматических выключателя, с ушком, под опломбировку</t>
  </si>
  <si>
    <t>кожух защитный на 12 автоматических выключателей</t>
  </si>
  <si>
    <t>кожух защитный на 24 автоматических выключателей</t>
  </si>
  <si>
    <t>Т-5х32Вт ,220 В</t>
  </si>
  <si>
    <t>LED E14 3 Вт</t>
  </si>
  <si>
    <t>27.40.39.900.002.00.0796.000000000023</t>
  </si>
  <si>
    <t>тип цоколя E27, мощность 5 Вт</t>
  </si>
  <si>
    <t>LED E27 5 Вт</t>
  </si>
  <si>
    <t>Цоколь G12</t>
  </si>
  <si>
    <t>27.40.15.990.001.00.0796.000000000173</t>
  </si>
  <si>
    <t>тип цоколя Е14, мощность 10 Вт</t>
  </si>
  <si>
    <t>Е14 10 Вт</t>
  </si>
  <si>
    <t>27.40.15.100.000.00.0796.000000000003</t>
  </si>
  <si>
    <t>тип цоколя E-27, мощность 23 Вт</t>
  </si>
  <si>
    <t>Е27 70 Вт</t>
  </si>
  <si>
    <t>Е27 100 Вт</t>
  </si>
  <si>
    <t>27.40.25.300.001.02.0796.000000000000</t>
  </si>
  <si>
    <t>местного освещения, подвесной</t>
  </si>
  <si>
    <t>LED панель 40 Вт 3000К</t>
  </si>
  <si>
    <t>27.40.22.900.000.03.0796.000000000004</t>
  </si>
  <si>
    <t>местного освещения, встраиваемый в мебель</t>
  </si>
  <si>
    <t>FR-63</t>
  </si>
  <si>
    <t>R-50</t>
  </si>
  <si>
    <t>R-80</t>
  </si>
  <si>
    <t>22.21.29.700.001.00.0778.000000000002</t>
  </si>
  <si>
    <t>Хомут</t>
  </si>
  <si>
    <t>пластиковый, монтажный</t>
  </si>
  <si>
    <t>тайсы-хомуты</t>
  </si>
  <si>
    <t>27.20.11.990.001.00.0796.000000000000</t>
  </si>
  <si>
    <t>светодиодный, для уличного освещения, Номинальное напряжение 220В (+/-20%)</t>
  </si>
  <si>
    <t>27.40.12.900.001.00.0796.000000000337</t>
  </si>
  <si>
    <t>тип цоколя E14, мощность 50 Вт, галогенная</t>
  </si>
  <si>
    <t>27.40.15.700.001.00.0796.000000000001</t>
  </si>
  <si>
    <t>ДРЛ-125, ртутная</t>
  </si>
  <si>
    <t>27.40.33.000.001.00.0796.000000000008</t>
  </si>
  <si>
    <t>Прожектор</t>
  </si>
  <si>
    <t>UTA 150, мощность 150 Вт, тип отражателя ассиметричный</t>
  </si>
  <si>
    <t>Лампа прожекторная 150 Вт</t>
  </si>
  <si>
    <t>26.51.45.500.002.00.0796.000000000002</t>
  </si>
  <si>
    <t>Указатель</t>
  </si>
  <si>
    <t>напряжения, однополюсный свыше 1000 В</t>
  </si>
  <si>
    <t>УВН 10 кВ</t>
  </si>
  <si>
    <t>26.51.45.500.002.00.0796.000000000000</t>
  </si>
  <si>
    <t>напряжения, однополюсный, до 1000 В</t>
  </si>
  <si>
    <t>УВН 0,4 кВ</t>
  </si>
  <si>
    <t>27.40.21.000.001.00.0796.000000000001</t>
  </si>
  <si>
    <t>Фонарь</t>
  </si>
  <si>
    <t>светодиодный, переносной</t>
  </si>
  <si>
    <t>27.12.23.700.007.02.0796.000000000000</t>
  </si>
  <si>
    <t>распределительная</t>
  </si>
  <si>
    <t xml:space="preserve">Катушка 25-50м. Номинальный ток 10А, 220В, 2200 ВТ. Вровод ПВС2*0,75, Длина 40м, С 4-х местной розеткой на корпусею Цвет провода-оранжевый </t>
  </si>
  <si>
    <t>27.40.15.990.001.00.0796.000000000176</t>
  </si>
  <si>
    <t>тип цоколя Е-27, мощность 60 Вт</t>
  </si>
  <si>
    <t>27.40.39.900.002.00.0796.000000000000</t>
  </si>
  <si>
    <t>тип цоколя Е27, мощность 5 Вт, теплота цвета 6400 К, световой поток 700 лм</t>
  </si>
  <si>
    <t>светодиодная лампа led, цоколь E 27, цвет светодиода белый, форма - груша, мощность 7 Вт</t>
  </si>
  <si>
    <t>27.40.12.900.001.00.0796.000000000335</t>
  </si>
  <si>
    <t>тип цоколя E14, мощность 40 Вт, галогенная</t>
  </si>
  <si>
    <t>27.40.12.900.001.00.0796.000000000334</t>
  </si>
  <si>
    <t>тип цоколя E14, мощность 36 Вт, галогенная</t>
  </si>
  <si>
    <t>Мощность 70 Вт, Напряжение 85-265 В, Световой поток 7000 Лм, Класс защиты 65 IP, Температурный режим -40 до +40 градусов, Вес 6 кг, размеры 440х306х80 мм, высоты подвеса от 4 до 6 м.</t>
  </si>
  <si>
    <t>27.32.13.700.000.00.0006.000000000967</t>
  </si>
  <si>
    <t>марка АВВГ, 2*1,5 мм2</t>
  </si>
  <si>
    <t>27.32.13.700.000.00.0006.000000000105</t>
  </si>
  <si>
    <t>марка АВВГ, 2*2,5 мм2</t>
  </si>
  <si>
    <t>27.32.13.700.000.00.0006.000000000950</t>
  </si>
  <si>
    <t>марка АВВГ, 4*2,5 мм2</t>
  </si>
  <si>
    <t>27.32.13.700.000.00.0006.000000000957</t>
  </si>
  <si>
    <t>марка ВВГ, сечение жил 5*16 мм2</t>
  </si>
  <si>
    <t>25А</t>
  </si>
  <si>
    <t>100А</t>
  </si>
  <si>
    <t>16А</t>
  </si>
  <si>
    <t>32А</t>
  </si>
  <si>
    <t xml:space="preserve">розетки двойные </t>
  </si>
  <si>
    <t>27.33.13.530.000.00.0796.000000000000</t>
  </si>
  <si>
    <t>Тройник</t>
  </si>
  <si>
    <t>электрический, бытовой, на три гнезда</t>
  </si>
  <si>
    <t>длина 5 м., 2х1,5 сечение</t>
  </si>
  <si>
    <t>размер 16 мм</t>
  </si>
  <si>
    <t>27.12.32.900.001.00.0796.000000000000</t>
  </si>
  <si>
    <t>Шкаф распределительный электрический</t>
  </si>
  <si>
    <t>для приема и распределения электрической энергии в сетях и защиты электрических установок, серия К-5900, на номинальное напряжение 6 и 10 кВ переменного тока</t>
  </si>
  <si>
    <t>Щит распределительный на 8 автоматов</t>
  </si>
  <si>
    <t>27.40.15.990.001.00.0796.000000000055</t>
  </si>
  <si>
    <t>тип цоколя G24-d-2, мощность 40 Вт</t>
  </si>
  <si>
    <t>27.40.22.900.000.03.0796.000000000003</t>
  </si>
  <si>
    <t>местного освещения, пристраиваемый</t>
  </si>
  <si>
    <t xml:space="preserve">Офисный светодиодный потолочный светильник. Технические характеристики: Напряжение питания, В: ~ 220 ± 20. Потребляемая мощность, Вт: 28,2/35,3/42,4. Количество светодиодов, шт.: 24/30/36. Цветовая температура, К: 6500. Степень защиты IP: 20.  Класс защиты от поражения электрическим током: 1. Источник питания:Высокий КПД &gt; 90%. Защита от перезагрузки по току, напряжению, температуре. Встроенный корректор мощности. Пульсации светового потока менее 5%. Защита от высоковольтных импульсов по сети. Габариты, мм: 595*595*50. Гарантийный срок: 3 года. </t>
  </si>
  <si>
    <t>Кабель-канал с двойным замком, напольный, размеры 40х24</t>
  </si>
  <si>
    <t>Кабель-канал с одним замком, размеры 25х25</t>
  </si>
  <si>
    <t>Кабельный канал 15*10, белый</t>
  </si>
  <si>
    <t>Кабельный канал 20*10, белый</t>
  </si>
  <si>
    <t>27.40.14.900.000.00.0796.000000000194</t>
  </si>
  <si>
    <t>тип БК235-245-60-П, мощность 60 Вт, ГОСТ 2239-79</t>
  </si>
  <si>
    <t>S9</t>
  </si>
  <si>
    <t>S1</t>
  </si>
  <si>
    <t xml:space="preserve">Лампа энергосберегающая R62 </t>
  </si>
  <si>
    <t>Светильник люм. ЛВО 4х36 IP19</t>
  </si>
  <si>
    <t>Светильник люм. ЛВО 2х36 IP19</t>
  </si>
  <si>
    <t>27.12.23.700.002.00.0796.000000000000</t>
  </si>
  <si>
    <t>Переключатель</t>
  </si>
  <si>
    <t>мгновенного действия, для коммутации электрических цепей постоянного и переменного тока, серия ТВ</t>
  </si>
  <si>
    <t xml:space="preserve">С2а - двухполюсная, с боковыми заземляющими контактами, рассчитана на силу тока не более 10/16 А, напряжение - 250 В. </t>
  </si>
  <si>
    <t xml:space="preserve">С1а - двухполюсная, без заземляющего контакта, рассчитана на силу тока не более 10/16 А, напряжение - 250 В. </t>
  </si>
  <si>
    <t>10А</t>
  </si>
  <si>
    <t>40А</t>
  </si>
  <si>
    <t>14.12.30.100.000.00.0715.000000000017</t>
  </si>
  <si>
    <t>для защиты рук технические, из латекса, бесшовные, диэлектрические</t>
  </si>
  <si>
    <t>27.40.12.900.001.00.0796.000000000288</t>
  </si>
  <si>
    <t>тип цоколя E27, мощность 60 Вт, галогенная</t>
  </si>
  <si>
    <t>27.12.31.900.000.00.0796.000000000012</t>
  </si>
  <si>
    <t>ПМЛ, реверсивный, с тепловым реле, величина пускателя в зависимости от номинального тока 25 А</t>
  </si>
  <si>
    <t xml:space="preserve">Пускатель КМЭ 25А 220В IP65 </t>
  </si>
  <si>
    <t xml:space="preserve">Пускатель КМЭ 32А 220В IP65 </t>
  </si>
  <si>
    <t>Автоматические выключатели трёхполюсные - 160А</t>
  </si>
  <si>
    <t>Автоматические выключатели трёхполюсные - 250А</t>
  </si>
  <si>
    <t>Светильник люм.  ЛВО 4х18 IP20</t>
  </si>
  <si>
    <t>Светильник люм. ЛВО 2х18 IP20</t>
  </si>
  <si>
    <t>Коробка распаечная для открытого монтажа 100*55 KSC 11-306</t>
  </si>
  <si>
    <t>Коробка распаечная под гипс глуб. ALS/KASA H-60  KSC 11-100</t>
  </si>
  <si>
    <t xml:space="preserve"> Коробка распаечная под гипс средн. ALS/KASA H-45  KSC 11-102</t>
  </si>
  <si>
    <t xml:space="preserve"> Коробка распаячная для открытого монтажа (11-309А)</t>
  </si>
  <si>
    <t>Коробка распаячная для открытого монтажа 65*65*40 KSC 11-301</t>
  </si>
  <si>
    <t xml:space="preserve">Осторожно! Электрическое напряжение. Знак "220В" 35*100мм (самоклеющийся) </t>
  </si>
  <si>
    <t xml:space="preserve">Осторожно! Электрическое напряжение. Знак "380В" 35*100мм (самоклеющийся) </t>
  </si>
  <si>
    <t>Осторожно! Электрическое напряжение. Знак "Молния" в треугольнике 100мм (самоклеющийся)</t>
  </si>
  <si>
    <t>27.40.24.000.006.00.0796.000000000002</t>
  </si>
  <si>
    <t>длина 150 мм</t>
  </si>
  <si>
    <t>Осторожно! Электрическое напряжение. Знак "Молния" в треугольнике 150мм (самоклеющийся)</t>
  </si>
  <si>
    <t>Световой указатель пожарный выход с наклейкой</t>
  </si>
  <si>
    <t>22.21.41.900.003.00.0055.000000000001</t>
  </si>
  <si>
    <t>Пленка высокого давления</t>
  </si>
  <si>
    <t>из полиэтилена, термоусадочная, перфорированная, толщина 40 мкм</t>
  </si>
  <si>
    <t>Термоусадочная перфорированная пленка из полиэтилена высокого давления. Труба термо усадочная Т2 д.16мм</t>
  </si>
  <si>
    <t>055</t>
  </si>
  <si>
    <t>Метр квадратный</t>
  </si>
  <si>
    <t>Термоусадочная перфорированная пленка из полиэтилена высокого давления. Труба термо усадочная Т2 д.60мм</t>
  </si>
  <si>
    <t>24.20.13.900.001.01.0006.000000000011</t>
  </si>
  <si>
    <t>Рукав</t>
  </si>
  <si>
    <t>металлический, оцинкованный, герметичный, диаметр 16 мм</t>
  </si>
  <si>
    <t>Стальной, оболочка типа РГТС - рукав герметичный трубный и из трубных сварных заготовок, диаметром Dу 20 мм. Для обеспечения изоляции</t>
  </si>
  <si>
    <t xml:space="preserve">Метр </t>
  </si>
  <si>
    <t>27.40.42.500.003.00.0796.000000000000</t>
  </si>
  <si>
    <t>для светодиодных ламп</t>
  </si>
  <si>
    <t>Для светодиодных ламп. Цоколь Е-27, фарфоровый</t>
  </si>
  <si>
    <t>25.40.13.100.000.00.0796.000000000001</t>
  </si>
  <si>
    <t>вышибной</t>
  </si>
  <si>
    <t xml:space="preserve">Вышибной, для подключения вилки с заземлением </t>
  </si>
  <si>
    <t>27.12.21.700.000.01.0796.000000000002</t>
  </si>
  <si>
    <t>Предохранитель</t>
  </si>
  <si>
    <t>плавкий, номинальный ток 250 А</t>
  </si>
  <si>
    <t>ПН2-250 250А УЗ ОТК</t>
  </si>
  <si>
    <t>27.32.13.700.000.00.0006.000000000672</t>
  </si>
  <si>
    <t>марка КСПВ, 4*0,5 мм2</t>
  </si>
  <si>
    <t>Кабель для монтажа систем сигнализации пучковой скрутки, жила - медная однопроволочная, изоляция - полиэтилен, оболочка - белый ПВХ пластик, без экрана. Число жил (пар) 4, диаметр жилы 0,5мм, наружный диаметр кабеля 4,2мм,</t>
  </si>
  <si>
    <t>27.32.13.700.000.00.0006.000000000673</t>
  </si>
  <si>
    <t>марка КСПВ, 6*0,4 мм2</t>
  </si>
  <si>
    <t>Кабель для монтажа систем сигнализации пучковой скрутки, жила - медная однопроволочная, изоляция - полиэтилен, оболочка - белый ПВХ, без экрана. Число жил(пар) 6, диаметр жилы 0,5мм, наружный диаметр кабеля 5,0мм</t>
  </si>
  <si>
    <t>27.32.13.700.000.00.0006.000000000405</t>
  </si>
  <si>
    <t>марка КВК+2П, 2*0,5 мм2</t>
  </si>
  <si>
    <t>Кабель для передачи телевизионных сигналов и сигналов управления в системах видеонаблюдения с одновременным подключением питания. Для внутренней прокладки, изоляция и оболочка - поливинилхлоридный пластикат. Радиочастотный элемент РК 75-2-13М (медь /7*0,12, изоляция сплошной полиэтилен, оплетка медь / плотность 88-92%), число жил питания - 2, сечение - 0,5мм, наружний диаметр кабеля 8,0 мм</t>
  </si>
  <si>
    <t>26.30.60.000.014.01.0006.000000000000</t>
  </si>
  <si>
    <t>монтажный</t>
  </si>
  <si>
    <t>ШВВП 2х0,75. Шнур для присоединения приборов, используемых в жилых и административных помещениях. Для внутренней прокладки. Шнур гибкий с параллельными жилами, изоляция - поливинилхлорид (ПВХ), оболочка - поливинилхлорид (ПВХ), число жил 2, диаметр шнура 3,4*5,6 мм</t>
  </si>
  <si>
    <t>22.22.13.000.013.00.0796.000000000000</t>
  </si>
  <si>
    <t>распределительная, электрическая</t>
  </si>
  <si>
    <t>УК-2П. Коробка круглая под винт на 4 пары проводов</t>
  </si>
  <si>
    <t>23.64.10.100.000.01.0778.000000000000</t>
  </si>
  <si>
    <t>Смесь</t>
  </si>
  <si>
    <t>строительная, сухая</t>
  </si>
  <si>
    <t>Байрамикс, ведро 25 кг</t>
  </si>
  <si>
    <t>23.51.12.300.000.01.0166.000000000000</t>
  </si>
  <si>
    <t>Портландцемент</t>
  </si>
  <si>
    <t>без минеральных добавок, марка ПЦ 400-Д0 (М 400-Д0), ГОСТ 10178-85</t>
  </si>
  <si>
    <t>мешок 50кг</t>
  </si>
  <si>
    <t>20.30.22.550.000.00.0778.000000000002</t>
  </si>
  <si>
    <t>Шпатлевка</t>
  </si>
  <si>
    <t>для выравнивания стен и потолков в помещениях, на гипсовой основе</t>
  </si>
  <si>
    <t>Ветонит шпатлевка финишная цементная белая 25 кг.</t>
  </si>
  <si>
    <t>23.52.10.330.000.00.0166.000000000003</t>
  </si>
  <si>
    <t>Известь</t>
  </si>
  <si>
    <t>негашеная, 1 сорт, комовая, магнезиальная и доломитовая, быстрогасящаяся, ГОСТ 9179-77</t>
  </si>
  <si>
    <t>мешок на 25 кг</t>
  </si>
  <si>
    <t>23.64.10.100.000.01.0796.000000000000</t>
  </si>
  <si>
    <t>строительная, сухая, гипсовая, кладочная, СТ РК 1168-2006</t>
  </si>
  <si>
    <t>мешок по 25 кг</t>
  </si>
  <si>
    <t>08.11.20.300.000.00.0166.000000000000</t>
  </si>
  <si>
    <t>Затирка</t>
  </si>
  <si>
    <t>строительная, для межплиточных швов, фасовка 5 кг</t>
  </si>
  <si>
    <t>в пакетах 5 кг</t>
  </si>
  <si>
    <t>20.30.11.900.000.00.0166.000000000004</t>
  </si>
  <si>
    <t>Краска</t>
  </si>
  <si>
    <t>марка ВД-КЧ-577, ГОСТ 28196-89</t>
  </si>
  <si>
    <t>Краска водоэмульсионная, моющая,  ведро по 25 кг</t>
  </si>
  <si>
    <t>20.59.30.000.001.00.0778.000000000000</t>
  </si>
  <si>
    <t>на водной основе, металлическая</t>
  </si>
  <si>
    <t xml:space="preserve">Краска фасадная в железных ведрах </t>
  </si>
  <si>
    <t>20.30.22.100.000.00.0881.000000000000</t>
  </si>
  <si>
    <t>марка МА-015, ГОСТ 8292-85</t>
  </si>
  <si>
    <t>в баллончиках, цвет белый, 400мг</t>
  </si>
  <si>
    <t>20.30.12.700.000.00.0881.000000000027</t>
  </si>
  <si>
    <t>Эмаль</t>
  </si>
  <si>
    <t>ХВ-110, ГОСТ 18374-79</t>
  </si>
  <si>
    <t>краска эмалевая 2,7 кг</t>
  </si>
  <si>
    <t>20.12.21.700.001.00.0166.000000000001</t>
  </si>
  <si>
    <t>Лак</t>
  </si>
  <si>
    <t>каменноугольный, сорт А</t>
  </si>
  <si>
    <t xml:space="preserve">кузбасслак </t>
  </si>
  <si>
    <t>20.30.12.700.001.00.0112.000000000054</t>
  </si>
  <si>
    <t>марка ХВ, ГОСТ 7313-75</t>
  </si>
  <si>
    <t>20.30.22.200.000.00.0112.000000000001</t>
  </si>
  <si>
    <t>Олифа</t>
  </si>
  <si>
    <t>оксоль, марка ПВ, ГОСТ 190-78</t>
  </si>
  <si>
    <t>20.41.44.000.001.00.0796.000000000000</t>
  </si>
  <si>
    <t>Жидкость</t>
  </si>
  <si>
    <t>техническая, для удаления ржавчины, чистки и снятия деталей и механизмов, очищающее, влагоотталкивающее, аэрозоль</t>
  </si>
  <si>
    <t>WD 40, 200мл</t>
  </si>
  <si>
    <t>20.30.12.700.003.00.0796.000000000001</t>
  </si>
  <si>
    <t>Колер</t>
  </si>
  <si>
    <t>жидкость</t>
  </si>
  <si>
    <t>разные цвета в ассортименте</t>
  </si>
  <si>
    <t>20.52.10.900.005.00.0778.000000000017</t>
  </si>
  <si>
    <t>Клей</t>
  </si>
  <si>
    <t>кафельный</t>
  </si>
  <si>
    <t>Влагостойкий, морозостойкий, эластичный клеевой состав на основе цемента, фракционного песка и комплекса химических добавок. Мешок 25 кг.</t>
  </si>
  <si>
    <t>Клей для мрамора и гранитаю двухкомпонентный на основе полиэфирной смолы для мрамора и гранита. Устойчик к воздействю УФ лучей.В банках. Мешок 25кг</t>
  </si>
  <si>
    <t>20.52.10.900.005.00.0778.000000000002</t>
  </si>
  <si>
    <t>бустилат, для линолеума</t>
  </si>
  <si>
    <t>Клей фиксация для флокированных ковровых плиток</t>
  </si>
  <si>
    <t>20.52.10.900.005.00.0796.000000000017</t>
  </si>
  <si>
    <t>ПВА, марка Д 50Н, ГОСТ 18992-97</t>
  </si>
  <si>
    <t>Клей ХВАТ вес: 0,5кг</t>
  </si>
  <si>
    <t>В пластиковых банках; 1кг</t>
  </si>
  <si>
    <t>20.52.10.900.005.00.0796.000000000018</t>
  </si>
  <si>
    <t>жидкие гвозди</t>
  </si>
  <si>
    <t>Клей монтажный жидкие гвозди. Особопрочный 400гр</t>
  </si>
  <si>
    <t>20.52.10.900.005.00.0778.000000000001</t>
  </si>
  <si>
    <t>обойный, на основе высококачественной хлопковой целлюлозы, для наклеевания всех видов обоев на бумажной основе</t>
  </si>
  <si>
    <t>клей обойный 500гр.</t>
  </si>
  <si>
    <t>20.52.10.900.005.00.0796.000000000001</t>
  </si>
  <si>
    <t>на основе этилцианакрилата, для склеивания в любых сочетаниях фарфор, керамику, дерево, кожу, резину,металл, пробку,картон, большинство пластиков</t>
  </si>
  <si>
    <t>Супер клей. Прозрачный жидкий клей мгновенного действия. Цвет:прозрачный. Время схватывания: 6 сек.</t>
  </si>
  <si>
    <t>17.24.11.990.004.00.0736.000000000008</t>
  </si>
  <si>
    <t>Обои виниловые и текстильные на бумажной основе</t>
  </si>
  <si>
    <t>марка М-1, рельефные, ГОСТ 6810-2002</t>
  </si>
  <si>
    <t>1,06*10</t>
  </si>
  <si>
    <t>736</t>
  </si>
  <si>
    <t>17.24.11.990.004.00.0736.000000000000</t>
  </si>
  <si>
    <t>марка В-0, гладкие, ГОСТ 6810-2002</t>
  </si>
  <si>
    <t>обои кабинетные, текстильные 35пм</t>
  </si>
  <si>
    <t>20.52.10.900.011.00.0796.000000000002</t>
  </si>
  <si>
    <t>Герметик силиконовый</t>
  </si>
  <si>
    <t>марка У-30М, ГОСТ 13489-79</t>
  </si>
  <si>
    <t>310мл</t>
  </si>
  <si>
    <t>20.59.59.730.000.00.5108.000000000002</t>
  </si>
  <si>
    <t>Монтажная пена</t>
  </si>
  <si>
    <t>всесезонная, бытовая (с трубкой-адаптером), в аэрозольной упаковке, однокомпонентная</t>
  </si>
  <si>
    <t>5108</t>
  </si>
  <si>
    <t>Один баллон</t>
  </si>
  <si>
    <t>23.62.10.510.000.00.0625.000000000929</t>
  </si>
  <si>
    <t>Лист гипсокартонный</t>
  </si>
  <si>
    <t>марка ГКЛВ, влагостойкий, размер 2500*1200*9,5 мм, ГОСТ 6266-97</t>
  </si>
  <si>
    <t>625</t>
  </si>
  <si>
    <t>Лист</t>
  </si>
  <si>
    <t>25.11.10.300.007.01.0006.000000000007</t>
  </si>
  <si>
    <t>Профиль</t>
  </si>
  <si>
    <t>металлический, стоечный, размер 75*50*0,6 мм, марка ПС-4</t>
  </si>
  <si>
    <t>профиль стеновой</t>
  </si>
  <si>
    <t>профиль направляющий 75*50</t>
  </si>
  <si>
    <t>22.19.72.000.006.00.0055.000000000000</t>
  </si>
  <si>
    <t>Ковролан</t>
  </si>
  <si>
    <t>резиновый</t>
  </si>
  <si>
    <t>флокированная ковровая плитка 50*50 см</t>
  </si>
  <si>
    <t>22.23.15.000.000.00.0055.000000000000</t>
  </si>
  <si>
    <t>Линолеум</t>
  </si>
  <si>
    <t>из поливинилхлорида, бытовой, на тканой подоснове</t>
  </si>
  <si>
    <t>16.21.14.100.002.00.0055.000000000000</t>
  </si>
  <si>
    <t>Ламинат</t>
  </si>
  <si>
    <t>напольное покрытие</t>
  </si>
  <si>
    <t>32 класс с восковой пропиткой замков, 8мм</t>
  </si>
  <si>
    <t>31 класс</t>
  </si>
  <si>
    <t>22.23.11.900.002.00.0055.000000000006</t>
  </si>
  <si>
    <t>Подстил под ламинат</t>
  </si>
  <si>
    <t>из вспененного полиэтилена, толщина 3 мм, ширина листа 100 см</t>
  </si>
  <si>
    <t>22.23.14.700.017.00.0006.000000000000</t>
  </si>
  <si>
    <t>Плинтус</t>
  </si>
  <si>
    <t>пластиковый, ламинированный, с кабель-каналом, с защелкой, с резиновым уплотнителем</t>
  </si>
  <si>
    <t>22.23.14.700.016.01.0796.000000000002</t>
  </si>
  <si>
    <t>Соединитель</t>
  </si>
  <si>
    <t>для пластикового плинтуса, с резиновым уплотнителем, с кабель-каналом</t>
  </si>
  <si>
    <t>22.23.14.700.005.00.0796.000000000003</t>
  </si>
  <si>
    <t>Угол</t>
  </si>
  <si>
    <t>для пластикового плинтуса, наружный, с кабель-каналом, с резиновым уплотнителем</t>
  </si>
  <si>
    <t>22.23.14.700.006.00.0796.000000000002</t>
  </si>
  <si>
    <t>Заглушка</t>
  </si>
  <si>
    <t>для пластикового плинтуса, с кабель-каналом, с резиновым уплотнителем</t>
  </si>
  <si>
    <t>23.31.10.790.002.00.0055.000000000001</t>
  </si>
  <si>
    <t>Плитка</t>
  </si>
  <si>
    <t>керамическая, основная, квадратная, размер 250*250 мм</t>
  </si>
  <si>
    <t>Кафель для пола</t>
  </si>
  <si>
    <t>23.31.10.790.002.00.0055.000000000083</t>
  </si>
  <si>
    <t>керамогранитная, напольная, размер 300*300 мм</t>
  </si>
  <si>
    <t>23.31.10.790.002.00.0055.000000000031</t>
  </si>
  <si>
    <t>керамическая, фасадная, квадратная, размер 60*60 мм</t>
  </si>
  <si>
    <t>23.31.10.790.002.00.0055.000000000078</t>
  </si>
  <si>
    <t>керамогранитная, напольная, размер 150*300 мм</t>
  </si>
  <si>
    <t>Кафель напольный 15*60</t>
  </si>
  <si>
    <t>23.31.10.790.002.00.0055.000000000000</t>
  </si>
  <si>
    <t>керамическая, основная, квадратная, размер 300*300 мм</t>
  </si>
  <si>
    <t>23.31.10.790.002.00.0055.000000000007</t>
  </si>
  <si>
    <t>керамическая, основная, прямоугольная, размер 300*200 мм</t>
  </si>
  <si>
    <t>кафель настенный 20*30</t>
  </si>
  <si>
    <t>08.11.11.340.000.00.0055.000000000000</t>
  </si>
  <si>
    <t>Травертин</t>
  </si>
  <si>
    <t>распиленный, толщина не более 4 см</t>
  </si>
  <si>
    <t xml:space="preserve">травертин фасадный </t>
  </si>
  <si>
    <t>23.14.12.900.015.00.0736.000000000000</t>
  </si>
  <si>
    <t>Утеплитель</t>
  </si>
  <si>
    <t>на основе стекловолокна</t>
  </si>
  <si>
    <t>Изоляция с фольгированным покрытием</t>
  </si>
  <si>
    <t>25.94.11.900.000.01.0796.000000000002</t>
  </si>
  <si>
    <t>Саморез</t>
  </si>
  <si>
    <t>оцинкованный, с полукруглой головкой</t>
  </si>
  <si>
    <t>5*20 универсальный</t>
  </si>
  <si>
    <t>саморез анкерный клин потолочный 6*40мм</t>
  </si>
  <si>
    <t>25.94.11.900.000.01.0796.000000000000</t>
  </si>
  <si>
    <t>оцинкованный, с потайной головкой</t>
  </si>
  <si>
    <t>4,8*50</t>
  </si>
  <si>
    <t>Саморезы по металлу (семечки) диаметр 3,5мм</t>
  </si>
  <si>
    <t>Саморезы метал сосверлом 3,5*9,5</t>
  </si>
  <si>
    <t>25.93.14.900.000.00.0166.000000000001</t>
  </si>
  <si>
    <t>Гвоздь</t>
  </si>
  <si>
    <t>тарный, с плоской головкой, диаметр 1,4 мм, длина 30 мм, ГОСТ 4034-63</t>
  </si>
  <si>
    <t>25.94.13.900.008.00.0796.000000000000</t>
  </si>
  <si>
    <t>Анкер</t>
  </si>
  <si>
    <t>усиленный, с болтом</t>
  </si>
  <si>
    <t>3,5см</t>
  </si>
  <si>
    <t>25.94.13.900.007.00.0796.000000000065</t>
  </si>
  <si>
    <t>Шуруп</t>
  </si>
  <si>
    <t>с потайной головкой, самонарезающий, диаметр 3,5 мм, длина 30 мм</t>
  </si>
  <si>
    <t>25.94.13.900.004.00.0778.000000000000</t>
  </si>
  <si>
    <t>Дюбель-гвоздь</t>
  </si>
  <si>
    <t>с резьбой</t>
  </si>
  <si>
    <t>Дюбель по гипсокартону</t>
  </si>
  <si>
    <t>22.21.29.700.010.00.0796.000000000000</t>
  </si>
  <si>
    <t>Дюбель</t>
  </si>
  <si>
    <t>из полипропилена</t>
  </si>
  <si>
    <t>пластиковый дюбель</t>
  </si>
  <si>
    <t>25.94.11.310.002.00.0796.000000000053</t>
  </si>
  <si>
    <t>Болт</t>
  </si>
  <si>
    <t>с шестигранной головкой, диаметр резьбы 10 мм, длина 25 мм</t>
  </si>
  <si>
    <t>Метизы в ассортименте гайка М12</t>
  </si>
  <si>
    <t>25.94.11.310.002.00.0166.000000000112</t>
  </si>
  <si>
    <t>с шестигранной головкой  , диаметр резьбы 10 мм, длина 95 мм</t>
  </si>
  <si>
    <t>Метизы в ассортименте Болт М16</t>
  </si>
  <si>
    <t>25.94.11.310.000.00.0796.000000000000</t>
  </si>
  <si>
    <t>Болт фундаментный</t>
  </si>
  <si>
    <t>тип 1, диаметр резьбы 12-48 мм, ГОСТ 24379.1-2012</t>
  </si>
  <si>
    <t>болт анкерный</t>
  </si>
  <si>
    <t>25.94.13.900.007.00.0796.000000000006</t>
  </si>
  <si>
    <t>с шестигранной головкой, стальной, размер 4,8*80 мм</t>
  </si>
  <si>
    <t>шурупы в ассортименте</t>
  </si>
  <si>
    <t>22.21.30.200.000.00.0796.000000000000</t>
  </si>
  <si>
    <t>оградительная, сигнальная, полипропилен</t>
  </si>
  <si>
    <t>сигнальная лента рулон 20 метров.ЛЕНТА СИГНАЛЬНАЯ 75мм Х 200м  красная</t>
  </si>
  <si>
    <t>22.29.21.900.000.00.0796.000000000000</t>
  </si>
  <si>
    <t>сетчатая (серпянка), самоклеющаяся</t>
  </si>
  <si>
    <t>Серпянка 50м. Ширина 5м.</t>
  </si>
  <si>
    <t>изолента</t>
  </si>
  <si>
    <t>24.42.24.590.001.00.0796.000000000001</t>
  </si>
  <si>
    <t>на основе алюминиевой фольги, липкая (клейкая)</t>
  </si>
  <si>
    <t>22.29.21.500.000.00.0736.000000000000</t>
  </si>
  <si>
    <t>липкая, дактилоскопическая, прозрачная</t>
  </si>
  <si>
    <t>32.99.59.900.084.00.0796.000000000006</t>
  </si>
  <si>
    <t>Скотч</t>
  </si>
  <si>
    <t>двухсторонний, ширина до 3 см, узкий</t>
  </si>
  <si>
    <t>50мм</t>
  </si>
  <si>
    <t>32.99.59.900.084.00.0796.000000000010</t>
  </si>
  <si>
    <t>полиэтиленовый, ширина до 3 см</t>
  </si>
  <si>
    <t>40*35мм</t>
  </si>
  <si>
    <t>22.21.30.200.001.00.5111.000000000000</t>
  </si>
  <si>
    <t>полиэстеровая, прозрачная, монтажная</t>
  </si>
  <si>
    <t>Полиэтилен. Бухта 100м. Толщина 100 микрон</t>
  </si>
  <si>
    <t>23.91.11.800.001.00.0055.000000000000</t>
  </si>
  <si>
    <t>Шкурка шлифовальная</t>
  </si>
  <si>
    <t>бумажная, водостойкая</t>
  </si>
  <si>
    <t xml:space="preserve">Шкурка шлифовальная бумажная водостойкаяЛист шлифовальный универсальный на бумажной основе, водостойкий,  230х280мм </t>
  </si>
  <si>
    <t>20*20</t>
  </si>
  <si>
    <t>16.23.11.500.003.00.0839.000000000000</t>
  </si>
  <si>
    <t>Дверь</t>
  </si>
  <si>
    <t>деревянная, внутренняя  , ГОСТ 6629-88</t>
  </si>
  <si>
    <t>дверь в комплекте (дверное полотно+наличники, доборная панка, ручки, замок, коробка)</t>
  </si>
  <si>
    <t>25.72.14.430.000.00.0796.000000000000</t>
  </si>
  <si>
    <t>Навес</t>
  </si>
  <si>
    <t>дверной, стальной</t>
  </si>
  <si>
    <t>в парах</t>
  </si>
  <si>
    <t>25.12.10.300.002.01.0796.000000000000</t>
  </si>
  <si>
    <t>Порог</t>
  </si>
  <si>
    <t>для дверей, металлический</t>
  </si>
  <si>
    <t>90см</t>
  </si>
  <si>
    <t>25.11.23.600.007.00.0796.000000000004</t>
  </si>
  <si>
    <t>Уголок</t>
  </si>
  <si>
    <t>металлический, размер 25*25 мм</t>
  </si>
  <si>
    <t>уголок мебельный</t>
  </si>
  <si>
    <t>25.72.14.690.001.00.0796.000000000000</t>
  </si>
  <si>
    <t>Фиксатор</t>
  </si>
  <si>
    <t>дверной, дверной, металлический</t>
  </si>
  <si>
    <t>магнитный держатель двери</t>
  </si>
  <si>
    <t>25.11.23.900.004.00.0796.000000000000</t>
  </si>
  <si>
    <t>Воздуховод</t>
  </si>
  <si>
    <t>из алюминиевой фольги</t>
  </si>
  <si>
    <r>
      <t>воздуховод гофрированный φ</t>
    </r>
    <r>
      <rPr>
        <sz val="7.3"/>
        <rFont val="Times New Roman"/>
        <family val="1"/>
        <charset val="204"/>
      </rPr>
      <t>150</t>
    </r>
  </si>
  <si>
    <t>22.19.20.700.006.00.0778.000000000000</t>
  </si>
  <si>
    <t>Уплотнитель</t>
  </si>
  <si>
    <t>резиновый, самоклеящийся</t>
  </si>
  <si>
    <t>уплотнительная резинка лдя окон. Бухта.</t>
  </si>
  <si>
    <t>25.72.13.900.001.00.0796.000000000001</t>
  </si>
  <si>
    <t>Задвижка</t>
  </si>
  <si>
    <t>врезная</t>
  </si>
  <si>
    <t>шпинголет на металлопластик двери</t>
  </si>
  <si>
    <t>В составе известь, цвет белый,цемент, гипс, песок, клей ПВА,вода в разных сочитаниях и пропорциях, мешок 25 кг</t>
  </si>
  <si>
    <t>Сухая смесь шпатлевочная,клеевая,цвет белый,органический клей,не водостойкая, упак. 25 кг</t>
  </si>
  <si>
    <t xml:space="preserve">Водоэмульсионная краска ведро 25 кг            </t>
  </si>
  <si>
    <t>20.30.12.700.000.00.0881.000000000057</t>
  </si>
  <si>
    <t>ПФ-133, ГОСТ 926-82</t>
  </si>
  <si>
    <t>Эмаль,расфсованная в железные банки по 3 кг.,беля, жёлтая, зелённая</t>
  </si>
  <si>
    <t>20.30.12.700.001.00.0166.000000000027</t>
  </si>
  <si>
    <t>пентафталевый, марка ПФ-283 пентафталевый, ГОСТ 5470-75</t>
  </si>
  <si>
    <t>20.30.12.200.000.01.0796.000000000000</t>
  </si>
  <si>
    <t>аэрозольная, в балончике, емкость 400 мл</t>
  </si>
  <si>
    <t>20.30.12.700.003.00.0872.000000000000</t>
  </si>
  <si>
    <t>жидкий для водоэмульсии, разноцветный, в флаконах 100мм</t>
  </si>
  <si>
    <t>872</t>
  </si>
  <si>
    <t>Флакон</t>
  </si>
  <si>
    <t>20.30.22.200.000.00.0112.000000000000</t>
  </si>
  <si>
    <t>оксоль, марка В, ГОСТ 190-78</t>
  </si>
  <si>
    <t>70% раствор в уайт спирте смеси полимеризхованного касторового масла с окисленным или прогретым (обезвоженным)</t>
  </si>
  <si>
    <t>Уайт-спирт,в пластиковых канистрах по 5 литров</t>
  </si>
  <si>
    <t xml:space="preserve"> Белый, бесцветный. Для наружных и внутренних работ. Санитарный (содержит антигрибковые добавки против образования черноты и плесени) </t>
  </si>
  <si>
    <t>20.59.59.730.000.00.5108.000000000003</t>
  </si>
  <si>
    <t>всесезонная, профессиональная (пистолетная), в аэрозольной упаковке, двухкомпонентная</t>
  </si>
  <si>
    <t>25.93.14.900.000.00.0166.000000000063</t>
  </si>
  <si>
    <t>строительный, с плоской головкой, диаметр 4,0 мм, длина 100 мм, ГОСТ 4028-63</t>
  </si>
  <si>
    <t xml:space="preserve"> разм. 10 мм. ГОСТ 4028-63)          </t>
  </si>
  <si>
    <t>25.93.14.900.000.00.0166.000000000068</t>
  </si>
  <si>
    <t>строительный, с плоской головкой, диаметр 6,0 мм, длина 200 мм, ГОСТ 4028-63</t>
  </si>
  <si>
    <t>разм. 20 мм. ГОСТ 4028-63)</t>
  </si>
  <si>
    <t xml:space="preserve">разм. 30 мм.  ГОСТ 4028-63)        </t>
  </si>
  <si>
    <t>разм. 40 мм. ГОСТ 4028-63)</t>
  </si>
  <si>
    <t>разм. от 50 до 60 мм. ГОСТ 4028-63)</t>
  </si>
  <si>
    <t xml:space="preserve"> разм. от 70 до 120 мм.  ГОСТ 4028-63)   </t>
  </si>
  <si>
    <t xml:space="preserve">от 1,5 до 10 мм с потайной головкой          </t>
  </si>
  <si>
    <t xml:space="preserve"> от 10-50 мм  с потайной головкой          </t>
  </si>
  <si>
    <t xml:space="preserve">от 50-70 мм с потайной головкой        </t>
  </si>
  <si>
    <t>Дюбель по бетону</t>
  </si>
  <si>
    <t>Материал изготовлен из стекловолокна самого высокого качества  ,плотнось до 30кг на кубическии метр</t>
  </si>
  <si>
    <t>20.52.10.900.005.00.0796.000000000023</t>
  </si>
  <si>
    <t xml:space="preserve"> Влагостоикий, морозостойкий, В мешках объемом 25 кг</t>
  </si>
  <si>
    <t>23.31.10.790.002.00.0055.000000000050</t>
  </si>
  <si>
    <t>керамическая, глазурованная, глазурованная прямоугольная без завала, размер 200*300 мм</t>
  </si>
  <si>
    <t>Полиэтиленовая в рулоне 100 метров</t>
  </si>
  <si>
    <t>Ветонит шпаклевка финишная цементная белая 25 кг.</t>
  </si>
  <si>
    <t>23.64.10.100.000.01.0166.000000000030</t>
  </si>
  <si>
    <t>строительная, сухая, известково-дисперсионная, самонивелирующаяся, СТ РК 1168-2006</t>
  </si>
  <si>
    <t>Краска водоэмульсионная, моющая, ведро по 25 кг</t>
  </si>
  <si>
    <t>темно-серый, краска эмалевая 2,7 кг</t>
  </si>
  <si>
    <t>алкидно-акриловая, краска эмалевая 2,7 кг</t>
  </si>
  <si>
    <t>белый, краска эмалевая 2,7 кг</t>
  </si>
  <si>
    <t>23.99.13.900.021.01.0166.000000000000</t>
  </si>
  <si>
    <t>Праймер</t>
  </si>
  <si>
    <t>битумный, эмульсионный</t>
  </si>
  <si>
    <t>холодного применения</t>
  </si>
  <si>
    <t>23.99.13.900.006.00.0166.000000000006</t>
  </si>
  <si>
    <t>Мастика</t>
  </si>
  <si>
    <t>марка МБК-Г</t>
  </si>
  <si>
    <t xml:space="preserve">Мастика битумная </t>
  </si>
  <si>
    <t>колер разный</t>
  </si>
  <si>
    <t>25.12.10.500.000.01.0006.000000000000</t>
  </si>
  <si>
    <t>для дверей, алюминевый</t>
  </si>
  <si>
    <t>22.23.11.900.000.00.0055.000000000037</t>
  </si>
  <si>
    <t>потолочная, акустическая, размер 600*600*17 мм</t>
  </si>
  <si>
    <t>23.31.10.790.002.00.0055.000000000112</t>
  </si>
  <si>
    <t>керамогранитная, фасадная, размер 600*600 мм</t>
  </si>
  <si>
    <t>4,0*34</t>
  </si>
  <si>
    <t>25.94.13.900.005.00.0796.000000000000</t>
  </si>
  <si>
    <t>латунный, анкерный</t>
  </si>
  <si>
    <t>22.21.30.200.001.00.0018.000000000001</t>
  </si>
  <si>
    <t>полипропиленовая, перфорированная</t>
  </si>
  <si>
    <t>26.51.33.900.005.01.0796.000000000003</t>
  </si>
  <si>
    <t>Рулетка</t>
  </si>
  <si>
    <t>из нержавеющей стали, шкала номинальной длины 5 м, ГОСТ 7502-98</t>
  </si>
  <si>
    <t>25.72.12.990.000.00.0796.000000000002</t>
  </si>
  <si>
    <t>врезной</t>
  </si>
  <si>
    <t>замок дверной</t>
  </si>
  <si>
    <t>наждачная бумага</t>
  </si>
  <si>
    <t>13.92.14.300.006.01.0796.000000000009</t>
  </si>
  <si>
    <t>туалетное, из махровой ткани, размер 70*140 см, ГОСТ 11027-80</t>
  </si>
  <si>
    <t>Полотенце  белые, плотность 500 гр. Хлопок 100%</t>
  </si>
  <si>
    <t>ОИН</t>
  </si>
  <si>
    <t>13.92.12.530.005.00.0796.000000000034</t>
  </si>
  <si>
    <t>Простыня</t>
  </si>
  <si>
    <t>из хлопка, полуторная, размер 150*210 см, плотность плетения средняя (50-65 нитей/см2)</t>
  </si>
  <si>
    <t>Простынь белая, хлопок 100%, р-р 150-215 см.</t>
  </si>
  <si>
    <t>13.92.14.300.006.03.0796.000000000000</t>
  </si>
  <si>
    <t>банное, из махровой ткани, размер 100*60 см, ГОСТ 11027-80</t>
  </si>
  <si>
    <t>Цвет белый</t>
  </si>
  <si>
    <t>13.92.12.530.002.00.0839.000000000009</t>
  </si>
  <si>
    <t>Комплект постельного белья</t>
  </si>
  <si>
    <t>из хлопка, двуспальный, состоит из одного пододеяльника, одной простыни и двух наволочек, плотность плетения выше средней (65-80 нитей/см2), ГОСТ 31307-2005</t>
  </si>
  <si>
    <t>100% хлопок, цветное (подод.2,150х2,прост.2,0х2,20,навол.2шт 0,7х0,5)</t>
  </si>
  <si>
    <t>13.92.12.530.002.00.0839.000000000019</t>
  </si>
  <si>
    <t>из хлопка, односпальный, состоит из одного пододеяльника, одной простыни,одной наволочки , плотность плетения ниже среднего (35-40 нитей/см2), ГОСТ 31307-2005</t>
  </si>
  <si>
    <t>100% хлопок пододеялник 2,1х1,5,простыня 2,1х1,5,наволочка 1шт 0,7х0,7</t>
  </si>
  <si>
    <t>13.92.14.300.005.00.0704.000000000000</t>
  </si>
  <si>
    <t>Набор полотенец</t>
  </si>
  <si>
    <t>туалетный, из хлопка, состоит из двух полотенец, одного размера</t>
  </si>
  <si>
    <t>100%хлопка  Размеры полотенц: 70х140, 50х90</t>
  </si>
  <si>
    <t>13.92.11.500.000.00.0796.000000000002</t>
  </si>
  <si>
    <t>Одеяло</t>
  </si>
  <si>
    <t>с синтетическим наполнителем, размер 180*200 см, двухспальное, СТ РК 1017-2000</t>
  </si>
  <si>
    <t>Наполнитель халафайбер</t>
  </si>
  <si>
    <t>13.92.12.530.000.00.0796.000000000000</t>
  </si>
  <si>
    <t>Наматрасник</t>
  </si>
  <si>
    <t>для матраса, из хлопка</t>
  </si>
  <si>
    <t>наполнитель - силиконизированное волокно, ткань - хлопок, размер 90х200</t>
  </si>
  <si>
    <t>14.14.22.410.000.00.0796.000000000000</t>
  </si>
  <si>
    <t>Халат</t>
  </si>
  <si>
    <t>мужской, из хлопчатобумажной ткани, ГОСТ 25296-2003</t>
  </si>
  <si>
    <t>Халат махровый, 100% хлопок, цвет белый.</t>
  </si>
  <si>
    <t>13.92.14.300.006.01.0796.000000000007</t>
  </si>
  <si>
    <t>туалетное, из махровой ткани, размер 50*70 см, ГОСТ 11027-80</t>
  </si>
  <si>
    <t xml:space="preserve">Полотенце махровое ,100% хлопок , цвет белый, р-р 50-70 см. </t>
  </si>
  <si>
    <t>13.92.14.300.006.01.0796.000000000008</t>
  </si>
  <si>
    <t>туалетное, из махровой ткани, размер 50*100 см, ГОСТ 11027-80</t>
  </si>
  <si>
    <t xml:space="preserve">Полотенце махровое ,100% хлопок , цвет белый, р-р 50-100 см. </t>
  </si>
  <si>
    <t>13.92.14.300.006.01.0796.000000000011</t>
  </si>
  <si>
    <t>туалетное, из махровой ткани, размер 100*150 см, ГОСТ 11027-80</t>
  </si>
  <si>
    <t xml:space="preserve">Полотенце махровое ,100% хлопок , цвет белый, р-р 100-150 см. </t>
  </si>
  <si>
    <t>Картридж HP CE285A - Black оригинал от производителя принтера для доукомплектования HP LaserJet Professional P1102/P1102w, цвет - черный, 1600 страниц А4 при 5% заполнении</t>
  </si>
  <si>
    <t>Картридж HP CE470A - Black оригинал от производителя принтера для доукомплектования  HP Color LaserJet CP5225, цвет - черный, 7000 страниц А4 при 5% заполнении</t>
  </si>
  <si>
    <t>Картридж HP CE471A - Cyan оригинал от производителя принтера для доукомплектования  HP Color LaserJet CP5225, цвет - голубой, 7000 страниц А4 при 5% заполнении</t>
  </si>
  <si>
    <t>Картридж HP CE472A - Yellow оригинал от производителя принтера для доукомплектования  HP Color LaserJet CP5225, цвет - желтый, 7000 страниц А4 при 5% заполнении</t>
  </si>
  <si>
    <t>Картридж HP CE473A - Magnet оригинал от производителя принтера для доукомплектования  HP Color LaserJet CP5225, цвет - пурпурный, 7000 страниц А4 при 5% заполнении</t>
  </si>
  <si>
    <t>CE285A, для принтеров HP LaserJet P1102/M1132/M1212</t>
  </si>
  <si>
    <t xml:space="preserve">Картридж для принтеров НР LaserJet P1102/M1132  </t>
  </si>
  <si>
    <t>17.23.14.500.000.00.5111.000000000066</t>
  </si>
  <si>
    <t>для офисного оборудования, формат А4, плотность 80 г/м2, ГОСТ 6656-76</t>
  </si>
  <si>
    <t>17.21.15.350.001.00.0796.000000000007</t>
  </si>
  <si>
    <t>Конверты</t>
  </si>
  <si>
    <t>формат Евро Е65 (110 х 220 мм)</t>
  </si>
  <si>
    <t>17.21.15.350.001.00.0796.000000000004</t>
  </si>
  <si>
    <t>формат C5 (162 х 229 мм)</t>
  </si>
  <si>
    <t>17.21.15.350.000.00.0796.000000000008</t>
  </si>
  <si>
    <t>Конверт</t>
  </si>
  <si>
    <t>бумажный, формат А4</t>
  </si>
  <si>
    <t>с логотипом Товарищества</t>
  </si>
  <si>
    <t>17.23.13.500.003.00.0796.000000000001</t>
  </si>
  <si>
    <t>Скоросшиватель</t>
  </si>
  <si>
    <t>картонный, размер 320x230x40 мм, формат А4</t>
  </si>
  <si>
    <t>14.12.11.210.001.01.0839.000000000003</t>
  </si>
  <si>
    <t>Костюм (комплект)</t>
  </si>
  <si>
    <t>спецодежда для сферы обслуживания (униформа), мужской, из хлопчатобумажной ткани, состоит из куртки и полукомбинезона, зимний, ГОСТ 27575-87</t>
  </si>
  <si>
    <t>Куртка и полукомбинезон. Рекомендуется использовать для защиты от пониженных температур. Застежка: на молнии. Воротник: стойка, отделанная изнутри флисом. Капюшон: утепленный, съемный, регулируется по лицевому вырезу. Световозвращающие полосы. Защитные элементы: двойная ветрозащитная планка, ветрозащитная юбка, внутренние трикотажные манжеты на рукавах, снегозащитные напульсники на полукомбинезоне. Регулировки по ширине: по низу куртки, рукавам и капюшону. Карманы: накладные с двусторонним входом с клапанами, нагрудные на молнии. С фирменным логотипом Заказчика. Утеплитель: синтепон, в куртке пл.360 г/м2; в п/к – пл.240 г/м2. Ткань смесовая ( 65 % полиэфир, 35% хлопок). Цвет: темно-синий с черным. С предоставлением образца.</t>
  </si>
  <si>
    <t>14.12.11.210.001.06.0839.000000000000</t>
  </si>
  <si>
    <t>для защиты от производственных загрязнений, мужской, из хлопчатобумажной ткани, состоит из куртки и брюк, летний, ГОСТ 27575-87</t>
  </si>
  <si>
    <t>костюм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Ткань: смесовая (65% хлопок, 35% полиэфир) плотность 300 г/м2. Цвет: темно-синий. С предоставлением образца.</t>
  </si>
  <si>
    <t>14.12.21.210.001.00.0839.000000000017</t>
  </si>
  <si>
    <t>женский, для защиты от производственных загрязнений, из хлопчатобумажной ткани, состоит из куртки и брюк, летний, ГОСТ 27574-87</t>
  </si>
  <si>
    <t>удлиненный блузон и классические прямые брюки. 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Пояс брюк  на резиновой основе. Ткань: смесовая (65% хлопок, 35% полиэфир) плотность 250 г/кв.м. Цвет: Блузон  василькового цвета с  голубой отделкой. Брюки темно-синего цвета. Индивидуальный пошив. С предоставлением образца.</t>
  </si>
  <si>
    <t>14.12.11.290.001.13.0839.000000000000</t>
  </si>
  <si>
    <t>для защиты от химических факторов (изолирующий), мужской, из прорезиненной ткани, состоит из куртки и брюк, ГОСТ 12.4.064-84</t>
  </si>
  <si>
    <t>14.12.11.290.001.18.0839.000000000000</t>
  </si>
  <si>
    <t>для защиты от искр и брызг расплавленного металла, мужской, из брезентовый ткани, состоит из куртки и полукомбинезона</t>
  </si>
  <si>
    <t>22.29.10.000.000.00.0796.000000000000</t>
  </si>
  <si>
    <t>Плащ-дождевик</t>
  </si>
  <si>
    <t>защита от влаги и неконцентрированных растворов кислот, нейлон-ПВХ, с капюшоном, рукавами и застежкой, ГОСТ 12.4.134-83</t>
  </si>
  <si>
    <t xml:space="preserve">Плащ прямого силуэта с центральной бортовой застёжкой на кнопках. Полочки с боковыми накладными карманами с клапанами. В верхней части полочек под проймой — вентиляционные отверстия. Спинка с отлетной кокеткой, под кокеткой — отверстия для лучшего воздухообмена. Рукава реглан. Капюшон по лицевому срезу стягивается шнуром. Все швы проклеены. Ткань: полиэфир — 100%, двустороннее ПВХ покрытие. Цвет: темно-синий. Толщина: 32 микрон. </t>
  </si>
  <si>
    <t>14.19.22.110.000.00.0796.000000000000</t>
  </si>
  <si>
    <t>Футболка</t>
  </si>
  <si>
    <t>мужская, спортивная, из хлопчатобумажной ткани, СТ РК 1964-2010</t>
  </si>
  <si>
    <t xml:space="preserve">с короткими рукавами, из хлопчатобумажной ткани 100% </t>
  </si>
  <si>
    <t>14.19.43.990.004.00.0796.000000000001</t>
  </si>
  <si>
    <t>Фуражка</t>
  </si>
  <si>
    <t>мужская, из льняной ткани</t>
  </si>
  <si>
    <t>14.19.43.990.005.00.0796.000000000002</t>
  </si>
  <si>
    <t>Шапка</t>
  </si>
  <si>
    <t>мужская, из шерстяной ткани</t>
  </si>
  <si>
    <t>15.20.13.510.002.00.0715.000000000002</t>
  </si>
  <si>
    <t>Ботинки</t>
  </si>
  <si>
    <t>мужские, общего назначения, из хромовой кожи, утепленные, ГОСТ 26167-2005</t>
  </si>
  <si>
    <t xml:space="preserve">зимние ботинки, 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подошва имеет широкий температурный диапазон использования от -35º до +120ºC, удобная колодка обеспечивает комфорт при длительной носке. Цвет: чёрный, верх: натуральная кожа, подкладка: искусственный мех
подошва: ПУ/ТПУ. С предоставлением образца.
</t>
  </si>
  <si>
    <t>15.20.32.990.008.01.0715.000000000001</t>
  </si>
  <si>
    <t>Полуботинки</t>
  </si>
  <si>
    <t>общего назначения, женские, из юфтевой кожи, ГОСТ 26167-2005</t>
  </si>
  <si>
    <t>Белые/бежевые летние туфли, не скользящая, закрытые с переди и сзади. верх: натуральная кожа, подкладка: бесподкладочные, подошва: ПУ, – мелкая перфорация. С предоставлением образца.  Удобная, обеспечивает комфорт при длительной носке.</t>
  </si>
  <si>
    <t>15.20.32.990.008.01.0715.000000000000</t>
  </si>
  <si>
    <t>общего назначения, мужские, из юфтевой кожи, ГОСТ 26167-2005</t>
  </si>
  <si>
    <t>Летние мужские полуботинки. Универсальная модель. Полностью выполненные 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 Внешний «ходовой» слой из полиуретана (ПУ) обладает стойкостью к агрессивным веществам, механическим воздействиям. Специальное рифление на подошве препятствует скольжению. Металлический подносок ударной прочностью. Устойчивая к проколам стелька. Цвет черный. С предоставлением образца.</t>
  </si>
  <si>
    <t>15.20.11.200.005.01.0715.000000000000</t>
  </si>
  <si>
    <t>Сапоги</t>
  </si>
  <si>
    <t>общего назначения, мужские, резиновые, ГОСТ 5375-79</t>
  </si>
  <si>
    <t>водонепроницаемые, материал: резина, высота: 38 см</t>
  </si>
  <si>
    <t>15.20.32.900.004.00.0715.000000000000</t>
  </si>
  <si>
    <t>Боты</t>
  </si>
  <si>
    <t>мужские, диэлектрические, резиновые</t>
  </si>
  <si>
    <t>15.20.11.200.002.00.0715.000000000008</t>
  </si>
  <si>
    <t>Галоши</t>
  </si>
  <si>
    <t>мужские, специальные диэлектрические, резиновые, ГОСТ 13385-78</t>
  </si>
  <si>
    <t>22.19.72.000.001.00.0796.000000000000</t>
  </si>
  <si>
    <t>Коврик диэлектрический</t>
  </si>
  <si>
    <t>резиновый, первой группы, длина 500-1000мм, ширина 500-1200мм, ГОСТ 4997-75</t>
  </si>
  <si>
    <t>32.99.11.300.000.01.0715.000000000005</t>
  </si>
  <si>
    <t>Рукавицы</t>
  </si>
  <si>
    <t>для защиты от механических воздействий, из хлопчатобумажной ткани с брезентовым наладонником, тип Б, ГОСТ 12.4.010-75</t>
  </si>
  <si>
    <t>Размер -1-3, плотность сукно грубошерстное -760 г/м2, плотность брезента -500-530 г/м2, защитные свойства - Ми 3 Тр</t>
  </si>
  <si>
    <t>22.19.60.500.000.00.0715.000000000002</t>
  </si>
  <si>
    <t>для защиты рук технические, со сплошным покрытием резиной, хлопчатобумажные</t>
  </si>
  <si>
    <t xml:space="preserve"> трикотажные, хлопчатобумажные</t>
  </si>
  <si>
    <t>14.12.30.100.000.00.0715.000000000009</t>
  </si>
  <si>
    <t>для защиты рук технические, спилковые</t>
  </si>
  <si>
    <t>Перчатки брезентовые сварочные, комбинированные, спилковые с х/б</t>
  </si>
  <si>
    <t>до 1000 вольт</t>
  </si>
  <si>
    <t>32.50.42.900.000.00.0796.000000000003</t>
  </si>
  <si>
    <t>Очки</t>
  </si>
  <si>
    <t>защитные, из пластмассы</t>
  </si>
  <si>
    <t>32.99.11.900.009.00.0796.000000000002</t>
  </si>
  <si>
    <t>Маска</t>
  </si>
  <si>
    <t>сварочная</t>
  </si>
  <si>
    <t>32.99.11.900.017.05.0796.000000000000</t>
  </si>
  <si>
    <t>Респиратор</t>
  </si>
  <si>
    <t>пыле-газозащитный</t>
  </si>
  <si>
    <t>15.12.12.100.001.00.0796.000000000003</t>
  </si>
  <si>
    <t>Саквояж</t>
  </si>
  <si>
    <t>из искусственной кожи, ГОСТ 28631-2005</t>
  </si>
  <si>
    <t>14.12.11.210.001.15.0839.000000000000</t>
  </si>
  <si>
    <t>спецодежда, мужской, из хлопчатобумажной ткани, состоит из рубашки и брюк, летний</t>
  </si>
  <si>
    <t>хлопок, блуза и штаны раздельные, без пуговиц, для массажиста</t>
  </si>
  <si>
    <t>14.19.12.110.000.00.0839.000000000000</t>
  </si>
  <si>
    <t>Костюм</t>
  </si>
  <si>
    <t>мужской, спортивный, трикотажный, из хлопчатобумажной пряжи, ГОСТ 31410-2009</t>
  </si>
  <si>
    <t>14.19.12.900.001.00.0796.000000000000</t>
  </si>
  <si>
    <t>Шорты</t>
  </si>
  <si>
    <t>мужские, трикотажные, из хлопчатобумажной пряжи, ГОСТ 31410-2009</t>
  </si>
  <si>
    <t>14.31.10.600.000.00.0715.000000000000</t>
  </si>
  <si>
    <t>Носки</t>
  </si>
  <si>
    <t>мужские, из хлопчатобумажной пряжи, ГОСТ 8541-94</t>
  </si>
  <si>
    <t>13.92.15.500.004.00.0796.000000000042</t>
  </si>
  <si>
    <t>Шторы</t>
  </si>
  <si>
    <t>из смешанной ткани, классические на петлях</t>
  </si>
  <si>
    <t>шторка для душа, тканевая</t>
  </si>
  <si>
    <t>14.12.11.210.001.14.0839.000000000000</t>
  </si>
  <si>
    <t>для сферы обслуживания (повара), мужской, из хлопчатобумажной ткани, состоит из куртки, брюк,колпака, фарктука, ГОСТ 9897-88</t>
  </si>
  <si>
    <t>куртка и брюки. Куртка двубортная с застежкой на пукли, цвет белый. Ткань куртки 65% полиэфир, 35% хлопок. Брюки 50% вискоза,50% полиэфир.Брюки темного цвета(бордовые, синие, зеленые)</t>
  </si>
  <si>
    <t>для кухрабочей, полуприлегающий силуэт с застежкой на пуговицы, воротник стойка, нижние накладные карманы, рукав короткий, боковые разрезы, регулировка брюк по талии, цвет куртки и брюк (синий, бордовый, зеленый), ткань смесовая 65% полиэфир, 35% вискоза</t>
  </si>
  <si>
    <t>14.12.30.110.006.01.0796.000000000001</t>
  </si>
  <si>
    <t>Рубашка</t>
  </si>
  <si>
    <t>мужская, спецодежда для сферы обслуживания (униформа), из  хлопчатобумажной  ткани, с длинным рукавом</t>
  </si>
  <si>
    <t xml:space="preserve">для официанта, Цвет белый,рукав длинный,ткань смесовая,полиэфир 65%, 35% хлопок.Застежка на пуговицы. мужская </t>
  </si>
  <si>
    <t>14.19.43.900.001.00.0796.000000000000</t>
  </si>
  <si>
    <t>Колпак</t>
  </si>
  <si>
    <t>мужской, спецодежда медицинская, из  хлопчатобумажной  ткани, ГОСТ 23134-78</t>
  </si>
  <si>
    <t>поварской, высокая тулья, заложенная складками, вставка из трикотажноц сетки вверху колпака для дополнительного воздухообмена, застежка на липучке, Цвет белый, ткань верха смесовая 65% полиэфир, 35% хлопок</t>
  </si>
  <si>
    <t>14.19.43.900.000.00.0796.000000000000</t>
  </si>
  <si>
    <t>Косынка</t>
  </si>
  <si>
    <t>женская, спецодежда медицинская, из хлопчатобумажной ткани, ГОСТ 23134-78</t>
  </si>
  <si>
    <t>для кухрабочей, ткань вискоза 50%, полиэфир 50%, темного цвета</t>
  </si>
  <si>
    <t>13.92.14.990.001.00.0796.000000000000</t>
  </si>
  <si>
    <t>Фартук</t>
  </si>
  <si>
    <t>кухонный, из ткани из искусственных волокон</t>
  </si>
  <si>
    <t>поварской, карманы по бокам, длинный пояс, цвет (бордовый,синий,зеленый), смесовая ткань "Тиси" плотн, 120г/м2</t>
  </si>
  <si>
    <t>14.19.32.350.010.00.0796.000000000001</t>
  </si>
  <si>
    <t>защитный, прорезиненный</t>
  </si>
  <si>
    <t>фартук прорезиненый КЩС, для посудомоек</t>
  </si>
  <si>
    <t>14.12.21.210.001.00.0839.000000000004</t>
  </si>
  <si>
    <t>женский, спецодежда медицинская (санитарный), из хлопчатобумажной ткани, состоит из блузки и брюк, тип А, ГОСТ 9896-88</t>
  </si>
  <si>
    <t>Курта и брюки. Куртка белая полуприлегающего силуэта с рельефами, длиной ниже бедер. Брюки прямые контрастного цвета. Ткань габардин.</t>
  </si>
  <si>
    <t>14.12.11.210.001.05.0839.000000000000</t>
  </si>
  <si>
    <t>спецодежда медицинская (санитарный), мужской, из хлопчатобумажной ткани, тип А, ГОСТ 9897-88</t>
  </si>
  <si>
    <t>Куртка и брюки, куртка белая прямого силуэта комбинированная, полочки с центральной бортовой застежкой на обметанные петли, боковые накладные прямоугольные карманы, нагрудный накладной карман. Воротник стойка с закругленными концами, рукав втачной, одношовный, короткий. на боковых швах куртки разрезы. Брюки прямые темного цвета со стрелочками по передним половинкам, пояс притачной с продернутой эластичной тесьмой. Ткань габардин.</t>
  </si>
  <si>
    <t>14.12.30.110.001.00.0796.000000000001</t>
  </si>
  <si>
    <t>мужской, спецодежда медицинская, из  хлопчатобумажной  ткани, тип А, ГОСТ 25194-82</t>
  </si>
  <si>
    <t>прямой силуэт, белого цвета, застежка центральная на сквозные петли, спинка с завязывающимся хлястиком, боковые накладные прямоугольные карманы, стандартная длина</t>
  </si>
  <si>
    <t>14.19.22.290.002.00.0796.000000000000</t>
  </si>
  <si>
    <t>женский, спецодежда медицинская, из  хлопчатобумажной  ткани, тип А, ГОСТ 24760-81</t>
  </si>
  <si>
    <t>прилегающий силуэт, универсальной длины. Застежка центральная на сквозные петли и пуговицы с бортиками. Спинка сзавязывающим хлястиком, накладные карманы прямоугольные, рукав втачные, одношовные, короткие, горловина с у-образным вырезом. Ткань панацея 160г/м2 (35% вискоза, 65% полиэстр)</t>
  </si>
  <si>
    <t>Костюм летний из куртки и брюк с накладными карманами. Кокетка и воротник отделаны кантом из ткани контрастного цвета. Ткань смесовая, ВО, полиэфир-65%, хлопок 35%, Цвет темно-синий с желтым.</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</si>
  <si>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t>
  </si>
  <si>
    <t>14.12.21.210.001.00.0839.000000000013</t>
  </si>
  <si>
    <t>женский, спецодежда для сферы обслуживания (униформа), из хлопчатобумажной ткани, состоит из костюма и брюк</t>
  </si>
  <si>
    <t>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t>
  </si>
  <si>
    <t>15.20.11.300.000.00.0715.000000000000</t>
  </si>
  <si>
    <t>Тапочки</t>
  </si>
  <si>
    <t>мужские, общего назначения, из поливинилхлорида, ГОСТ 1135-2005</t>
  </si>
  <si>
    <t>верх и подошва из полимерных материалов</t>
  </si>
  <si>
    <t>15.20.32.990.010.02.0715.000000000000</t>
  </si>
  <si>
    <t>Сабо</t>
  </si>
  <si>
    <t>женские, общего назначения, из полимерных материалов, ГОСТ 26167-2005</t>
  </si>
  <si>
    <t>ГОСТ 26167-2005, цвет белый,верх: натуральная кожа, подкладка подкладочная кожа, подошва ПХВ</t>
  </si>
  <si>
    <t>15.20.32.990.010.01.0715.000000000000</t>
  </si>
  <si>
    <t>мужские, общего назначения, из полимерных материалов, ГОСТ 26167-2005</t>
  </si>
  <si>
    <t>32.99.11.300.000.07.0715.000000000000</t>
  </si>
  <si>
    <t>для защиты от пониженных температур, из хлопчатобумажной ткани, тип В, утепленные, ГОСТ 12.4.010-75</t>
  </si>
  <si>
    <t>утеплитель-ватин</t>
  </si>
  <si>
    <t>порошковое покрытие изнутри, стойкие к воздействию кислот,оснований, спиртов</t>
  </si>
  <si>
    <t>22.19.60.500.000.00.0715.000000000000</t>
  </si>
  <si>
    <t>для защиты рук технические, пропитанные резиной (латексом), хлопчатобумажные</t>
  </si>
  <si>
    <t>трикотажные, класс вязки -7,5</t>
  </si>
  <si>
    <t>100% хлопок, с круглым вырезом, коротким рукавом, с логотипом КМГ и «Сункар», (цвет - салатовый)</t>
  </si>
  <si>
    <t>14.19.42.700.000.00.0796.000000000000</t>
  </si>
  <si>
    <t>Бейсболка</t>
  </si>
  <si>
    <t>спортивная, из хлопчатобумажной ткани</t>
  </si>
  <si>
    <t>100% хлопок, со стандартным козырьком с логотипом «Сункар», цвет зеленый</t>
  </si>
  <si>
    <t>14.13.24.670.000.00.0796.000000000000</t>
  </si>
  <si>
    <t>мужские, из искусственной ткани, ГОСТ 25294-2003</t>
  </si>
  <si>
    <t>комбинированные с боковыми принто-ванными вставками, состав нейлон 80%, спандекс 20%, цвет черный, разм 52, 54, 50</t>
  </si>
  <si>
    <t>Костюм из ткани смешанной с вложением капронового волокна (не более 15%) с масловодоотталкивающей пропиткой (Куртка и брюки),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</si>
  <si>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комплект</t>
  </si>
  <si>
    <t>14.12.21.210.001.00.0839.000000000006</t>
  </si>
  <si>
    <t>женский, спецодежда для сферы обслуживания (униформа), из хлопчатобумажной ткани, состоит из куртки и полукомбинезона, летний</t>
  </si>
  <si>
    <t>Костюм из ткани смешанной с вложением капронового волокна (не более 15%)  с  масловодоотталкивающей пропиткой (Куртка и полукомбинезон)  из ткани  смешанной с вложением капронового волокна (не более 15%)  с  масловодоотталкивающей пропиткой, с логотипом- нашивкой на спинке и передней полочке, со светоотражающими полосами (ширина20 мм) на спинке, полочках, рукавах и брюках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</si>
  <si>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Костюм летний: рубашка с коротким рукавом  и брюки.  Состав ткани: 100 % хлопок. Цвет рубашки - голубой, цвет брюк - темно-серый или синий. перед пошивом произвести замеры персонала индивидуально.</t>
  </si>
  <si>
    <t>14.12.11.390.000.00.0796.000000000003</t>
  </si>
  <si>
    <t>Куртка</t>
  </si>
  <si>
    <t>мужская, для защиты от пониженных температур, из смесовой ткани, ГОСТ 29335-92</t>
  </si>
  <si>
    <t xml:space="preserve">Куртка, утепленная из ткани хлопчатобумажной с масловодоотталкивающей пропиткой, подкладка отстегивающаяся, устойчивая к ветру (не продувается), с логотипом- нашивкой на спинке и передней полочке, со светоотражающими полосами (ширина 20 мм) на спинке, полочках и рукавах. Состав ткани: 85 % хлопок, капроновое волокно 15%. с капюшоном. перед пошивом произвести замеры персонала индивидуально.  </t>
  </si>
  <si>
    <t>14.12.30.190.000.00.0796.000000000009</t>
  </si>
  <si>
    <t>Полукомбинезон</t>
  </si>
  <si>
    <t>мужской, для защиты от производственных загрязнений, из хлопчатобумажной ткани, смешанной с другими волокнами, летний, ГОСТ 27575-87</t>
  </si>
  <si>
    <t>Полукомбинизон из ткани смешанной с вложением капронового волокна (не более 15%) с масловодоотталкивающей пропиткой. Состав ткани: 85 % хлопок, капроновое волокно 15%. Цвет: синий.  Требование к ткани  для спецодежды - плотность 360 гр/м2, согласно ГОСТ 11209-85, перед пошивом произвести замеры персонала индивидуально.</t>
  </si>
  <si>
    <t>14.12.30.200.001.00.0839.000000000000</t>
  </si>
  <si>
    <t>Костюм (комплек)</t>
  </si>
  <si>
    <t>женский, спецодежда медицинская (хирургическая), из хлопчатобумажной ткани, состоит из блузы и брюк</t>
  </si>
  <si>
    <t>Костюм медицинский  из ткани смешанной с вложением капронового волокна (не более 15%)  с  масловодоотталкивающей пропиткой. Состав ткани: 85 % хлопок, капроновое волокно 15%. Цвет: белый с голубым-бирюзовым.  Требование к ткани  для спецодежды - плотность 360 гр/м2, согласно ГОСТ 11209-85, перед пошивом произвести замеры персонала индивидуально.</t>
  </si>
  <si>
    <t>32.99.11.500.002.00.0796.000000000001</t>
  </si>
  <si>
    <t>Каска</t>
  </si>
  <si>
    <t>пластмассовая, с защитой для глаз</t>
  </si>
  <si>
    <t>ГОСТ 12.4.128-83, ГОСТ Р 12.4.207-99. С максимальным диапазоном регулирования размеров внутренней оснастки каски. С вентиляционными отверстиями в верхней трети оболочки.  С внутренней налобной лентой. Материалы для нее с абсорбционной способностью, со следующими свойствами:
толщина - не менее 0,8 мм;
значение рН - не менее 3,5;
содержание вымывающихся компонентов - не более 6 %.</t>
  </si>
  <si>
    <t>15.20.13.510.002.00.0715.000000000000</t>
  </si>
  <si>
    <t>мужские, общего назначения, из юфтевой кожи, ГОСТ 26167-2005</t>
  </si>
  <si>
    <t>ботинки кожаные с жестким подноском или сапоги кожаные с жестким подноском, нескользкая литая подошва. ГОСТ 12.4.137-2001 подошва с улучшенным сопротивлением к скольжению женские/мужские</t>
  </si>
  <si>
    <t>32.99.11.900.015.02.0839.000000000000</t>
  </si>
  <si>
    <t>Противогаз</t>
  </si>
  <si>
    <t>фильтрующий, фильтрование окружающего воздуха</t>
  </si>
  <si>
    <t>В комплект входят: шлем -маска, фильтр, сумка для противогаза. Шлем-маска ШМП: для защиты органов дыхания,  зрения и лица -имеет два раздельных очковых узла, узел вдоха и выдоха, полностью закрывает голову, используется в комплекте промышленного противогаза ППФ-95. ГОСТ 12.4.166-85. Размеры масок №№  1, 2, 3 и 4  по 100 шт. Фильтр комбинированный марки 89  А2В2Е2К2 Hg-Р3 RD,  для противогаза ППФ-95.  ГОСТ Р  12.4.193-99, марка 89  А2В2Е2К2 Hg-Р3 RD, масса 370 гр, используется без гофрированной трубки, в алюминиевом корпусе предназначен  для комплектования промышленного противогаза ППФ-95. Срок службы 7 лет.  Сумка матерчатая для противогаза ППФ-95.</t>
  </si>
  <si>
    <t>32.99.11.900.010.01.0796.000000000000</t>
  </si>
  <si>
    <t>Самоспасатель</t>
  </si>
  <si>
    <t>фильтрующий</t>
  </si>
  <si>
    <t>Фильтрующий самоспасатель с загубником, тип/класс ABEK 15 в прочном пластиковом футляре зеленого цвета. Самоспасатель  предназначены для эвакуации людей из опасной (загазованной) зоны. Время защитного действия 15 минут.</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</si>
  <si>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</si>
  <si>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Костюм из куртки и брюк с накладными карманами. Кокетка и воротник отделаны кантом из ткани контрастного цвета. Ткань смесовая, ВО, полиэфир-65%, хлопок 35%, Цвет согласно заявки Заказчика. С фирменным логотипом Заказчика, на груди с левой стороны бейдж.</t>
  </si>
  <si>
    <t>14.12.11.290.001.05.0839.000000000001</t>
  </si>
  <si>
    <t>для защиты от производственных загрязнений, мужской, из хлопчатобумажной ткани с химическими волокнами, состоит из куртки и полукомбинезона, утепленный, ГОСТ 27575-87</t>
  </si>
  <si>
    <t>Костюм из куртки и полукомбинезона. Куртка на синтепоне, с застежкой на молнию, закрытую на ветрозащитную планку на липучках. Полочки и спинка на кокетках из отделочной ткани. Рукава с трикотажными напульсниками. Объем по линии талии регулируются с помощью резинового шнура и фиксатора. Воротник -стойка с пристегивающимся на пуговицы капюшоном.По краю капюшона кулиса со шнуром. Полукомбинезон на синтепоне с застежкой на молнию, с накладными боковыми карманами, с наколенниками с отвестиями для амортизационных накладок. бретели полукомбинезона с эластичными вставками и карабинами. С фирменным логотипом Заказчика</t>
  </si>
  <si>
    <t>32.91.11.530.000.00.0796.000000000001</t>
  </si>
  <si>
    <t>Метла</t>
  </si>
  <si>
    <t>из материалов растительного происхождения</t>
  </si>
  <si>
    <t>Метла "Сорго" на длинном черенке из натурального материала.</t>
  </si>
  <si>
    <t>Веник Сорго без черенка</t>
  </si>
  <si>
    <t>16.29.11.100.005.00.0796.000000000000</t>
  </si>
  <si>
    <t>Черенок</t>
  </si>
  <si>
    <t>для лопаты, деревянный</t>
  </si>
  <si>
    <t>Черенок березовый 1 сорта. Размеры: D40мм. L 1200мм.</t>
  </si>
  <si>
    <t>25.73.10.100.000.00.0796.000000000003</t>
  </si>
  <si>
    <t>Лопата</t>
  </si>
  <si>
    <t>совковая</t>
  </si>
  <si>
    <t xml:space="preserve">Лопата совковая , черенок из ясеня. Инструмент покрыт порошковой краской и имеет длительный срок эксплуатации. Размер: 270*230*1440 мм. </t>
  </si>
  <si>
    <t>25.73.10.100.000.00.0796.000000000000</t>
  </si>
  <si>
    <t>копальная, остроконечная</t>
  </si>
  <si>
    <t>Лопата штыковая из нержавеющей стали ЗУБР. Предназначена для выполнения садово-огородных и строительных работ.Размер 205*290/1200 мм. Черенок из ясеня.</t>
  </si>
  <si>
    <t>28.30.52.350.000.00.0796.000000000000</t>
  </si>
  <si>
    <t>Грабли</t>
  </si>
  <si>
    <t>садовые</t>
  </si>
  <si>
    <t>Пластиковые грабли для газонов Gardena</t>
  </si>
  <si>
    <t>25.73.10.100.000.00.0796.000000000008</t>
  </si>
  <si>
    <t>снегоуборочная</t>
  </si>
  <si>
    <t>Лопата снеговая . Ударопрочный морозостойкий пластик, алюминиевый кант,эргономичный стальной черенок, алюминиевыц кант, эргономичный стальной черенок, пластиковая рукоятка, 550*385*1440 м.</t>
  </si>
  <si>
    <t>25.73.30.970.003.00.0796.000000000000</t>
  </si>
  <si>
    <t>Совок</t>
  </si>
  <si>
    <t>металлический</t>
  </si>
  <si>
    <t>Совок для мусора. Длина ручки 220мм, материал: металл.</t>
  </si>
  <si>
    <t>25.73.30.650.016.00.0796.000000000000</t>
  </si>
  <si>
    <t>Скребок</t>
  </si>
  <si>
    <t>для уборки снега, металлический</t>
  </si>
  <si>
    <t xml:space="preserve">Скрепер для убоки снега ударопрочный морозостойкий пластик, алюминиевый кант, эргономичный стальной черенок, 820*440*1270 мм. </t>
  </si>
  <si>
    <t>25.73.30.650.010.00.0796.000000000002</t>
  </si>
  <si>
    <t>Лом</t>
  </si>
  <si>
    <t>для скола/рубки льда</t>
  </si>
  <si>
    <t>ледоруб металлический</t>
  </si>
  <si>
    <t>25.73.30.650.010.00.0796.000000000003</t>
  </si>
  <si>
    <t>строительный, ГОСТ 1405-83</t>
  </si>
  <si>
    <t>Лом из черного металла</t>
  </si>
  <si>
    <t>32.99.59.900.058.00.0796.000000000001</t>
  </si>
  <si>
    <t>Носилки</t>
  </si>
  <si>
    <t>пластиковый кузов</t>
  </si>
  <si>
    <t>Носилки строительные пластиковые без ручек</t>
  </si>
  <si>
    <t>Грабли витые изготовлены из стали толщиной 2мм. Грабли витые окрашены порошковой краской. Ширина рабочей части 12 зубю -385 мм, вес-0,70кг. Черенок-дерево</t>
  </si>
  <si>
    <t>25.99.12.400.009.00.0796.000000000000</t>
  </si>
  <si>
    <t>Тяпка</t>
  </si>
  <si>
    <t>из нержавеющей стали</t>
  </si>
  <si>
    <t>Кетмень. Инструмент из заточенной стальной пластины треугольной формы, насаженной на деревянную рукоятку</t>
  </si>
  <si>
    <t>Рабочая ширина: 16 см Длина: 29.5 см Ширина: 16 см Высота: 3.5 см • Лёгкая работа на мягкой почве • Изготавливается из прочной закалённой стали</t>
  </si>
  <si>
    <t>25.71.11.920.001.00.0796.000000000002</t>
  </si>
  <si>
    <t>Ножницы</t>
  </si>
  <si>
    <t>Газонные ножницы. Механические поворотные ножницы для стрижки травы</t>
  </si>
  <si>
    <t>28.22.19.300.011.00.0796.000000000001</t>
  </si>
  <si>
    <t>Колесо</t>
  </si>
  <si>
    <t>для грузовой тележки, диаметр 20 см</t>
  </si>
  <si>
    <t>Колесо для тележки</t>
  </si>
  <si>
    <t>22.29.23.200.003.00.0796.000000000000</t>
  </si>
  <si>
    <t>Лейка</t>
  </si>
  <si>
    <t>для цветов</t>
  </si>
  <si>
    <t>Кружка для полива цветок пластиковая. Объем 800мл.</t>
  </si>
  <si>
    <t>Спрейер для опрыскивания пластиковый, объем 2л.</t>
  </si>
  <si>
    <t>23.49.11.000.001.00.0796.000000000000</t>
  </si>
  <si>
    <t>Горшок</t>
  </si>
  <si>
    <t>Горшок для цветов пластиковый, производство Россия, с системой контроля полива, цвет коричневый, диаметр - 35см, объем 20 литров</t>
  </si>
  <si>
    <t>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t>
  </si>
  <si>
    <t>Грабли витые изготовлены и стали толщиной 2 мм. Грабли витые окрашены порошковой краской. Ширина рабочей части 12 зуб.- 385 мм, вес – 0,70 кг. Ширина рабочей части 10 зуб.- 352 мм, вес – 0,49 кг. Ширина рабочей части   8 зуб.- 280 мм, вес – 0,45 кг</t>
  </si>
  <si>
    <t>32.91.11.900.002.00.0796.000000000006</t>
  </si>
  <si>
    <t xml:space="preserve">Метла комнатная 40 см , с ручкой 140 см. Материал: высококачественный пластик. Имеет удобную литую ручку и пластиковую щетку. </t>
  </si>
  <si>
    <t>22.19.30.500.002.13.0006.000000000002</t>
  </si>
  <si>
    <t>поливочный, резиновый, простой, диаметр 20 мм</t>
  </si>
  <si>
    <t>28.30.60.100.001.00.0796.000000000000</t>
  </si>
  <si>
    <t>Установка поливальная</t>
  </si>
  <si>
    <t>вращательная</t>
  </si>
  <si>
    <t>вращающааяся поливальная установка с двумя соплами на большой ровной поверхности  Площадь орошен до 30/200 кв.м.</t>
  </si>
  <si>
    <t>25.11.23.900.006.00.0796.000000000000</t>
  </si>
  <si>
    <t>для растения, металлическая</t>
  </si>
  <si>
    <t>Опора моховая пластмассовая, обернутая натуральным мхом, длина от 1-2,5м</t>
  </si>
  <si>
    <t>22.21.29.700.001.00.0796.000000000000</t>
  </si>
  <si>
    <t>стяжка пластиковая, крепежная, длина 80 мм, ширина 3 мм</t>
  </si>
  <si>
    <t>Хомут пластмассовый с резьбой на 18мм</t>
  </si>
  <si>
    <t>30.99.10.000.002.00.0796.000000000017</t>
  </si>
  <si>
    <t>ручная, для помещения грузов, четырехколесная, грузоподъемность 450- 500 кг</t>
  </si>
  <si>
    <t>30.99.10.000.002.00.0796.000000000009</t>
  </si>
  <si>
    <t>ручная, для помещения грузов, четырехколесная, грузоподъемность 200-250 кг</t>
  </si>
  <si>
    <t xml:space="preserve">Тележка платформенная ТП-1, 800х1000, 350 кг. Каркас - сочетание круглой и профильной трубы. Настил - металлический лист. Площадки для крепления колес универсальные и расчитаны на установку от 125 до 250 диаметра. В комплекте полный набор метизов для сборки </t>
  </si>
  <si>
    <t>Пластиовые с системой контроля полива, цвет коричневый, диаметр - 35 см., объем 13 литров</t>
  </si>
  <si>
    <t>Пластиовые с системой контроля полива, цвет коричневый, диаметр - 45см., объем 28,8 литров</t>
  </si>
  <si>
    <t>22.22.13.000.006.00.0796.000000000011</t>
  </si>
  <si>
    <t>Урна</t>
  </si>
  <si>
    <t>пластиковая, мусорная, на колесиках</t>
  </si>
  <si>
    <t>Тележка для мусора пластмассовая на колесиках, объем 120-200 л.</t>
  </si>
  <si>
    <t>Тележка для мусора пластмассовая на колесиках, объем 60 л.</t>
  </si>
  <si>
    <t>460х340 мм, из морозостойкого пластика,стальная окантовка металлич. Черенок</t>
  </si>
  <si>
    <t>32.91.11.900.005.00.0796.000000000001</t>
  </si>
  <si>
    <t>Веник</t>
  </si>
  <si>
    <t>Веник из стеблей сарго высота 70-85см с шириной рабочей зоны от 25 до 40см</t>
  </si>
  <si>
    <t>веники березовые для бани</t>
  </si>
  <si>
    <t>32.91.19.500.002.00.0796.000000000000</t>
  </si>
  <si>
    <t>Валик</t>
  </si>
  <si>
    <t>для лакокрасочных работ, малярный, тип ВМП, ГОСТ 10831-87</t>
  </si>
  <si>
    <t>валик малярный меховой ВММ-150, с ручкой, диаметр 6 см</t>
  </si>
  <si>
    <t>Материал-сталь,ширина ковша 235 мм.</t>
  </si>
  <si>
    <t>Лопата штыковая</t>
  </si>
  <si>
    <t>32.91.11.530.000.00.0796.000000000002</t>
  </si>
  <si>
    <t>материал изготовления - химическая нить</t>
  </si>
  <si>
    <t>Метла уличная пластиковая с металлической рукояткой</t>
  </si>
  <si>
    <t>25.73.10.300.002.00.0796.000000000000</t>
  </si>
  <si>
    <t>садово-огородные, металлические, 8-зубовые с круглым сечением зуба, деревянный черенок</t>
  </si>
  <si>
    <t>13.99.19.900.004.00.0796.000000000000</t>
  </si>
  <si>
    <t>Веревка</t>
  </si>
  <si>
    <t>капроновая</t>
  </si>
  <si>
    <t>Бельевая веревка с капроновой нитью 15 метровые</t>
  </si>
  <si>
    <t>22.29.23.700.004.00.0796.000000000000</t>
  </si>
  <si>
    <t>Прищепка</t>
  </si>
  <si>
    <t>для крепления предметов, из пластмасс</t>
  </si>
  <si>
    <t>22.22.13.000.006.00.0796.000000000002</t>
  </si>
  <si>
    <t>пластиковая, мусорная, уличная, объем 30 л</t>
  </si>
  <si>
    <t xml:space="preserve"> материал пластик, разм.450х450х520мм</t>
  </si>
  <si>
    <t>25.99.29.490.015.00.0796.000000000000</t>
  </si>
  <si>
    <t>стальная, педальная</t>
  </si>
  <si>
    <t>Ведро для мусора выполненно из нерж. стали и пластика с крышкой и педалью для открывания.Внутренняя часть- пластмасовое ведро с металической ручкой для переноса. Объём 5 л.</t>
  </si>
  <si>
    <t>30.99.10.000.020.00.0796.000000000000</t>
  </si>
  <si>
    <t>Тачка</t>
  </si>
  <si>
    <t>для помещения грузов, грузоподъемность 100 -200 кг</t>
  </si>
  <si>
    <t>Строительно садовая тачка, грузоподъемность 120 кг, объем кузова 65 л.,толщина кузова 0,5 мм, кузов оцинкованный.</t>
  </si>
  <si>
    <t>25.91.11.000.000.00.0796.000000000000</t>
  </si>
  <si>
    <t>Контейнер</t>
  </si>
  <si>
    <t>для бытового мусора, металлический</t>
  </si>
  <si>
    <t>Объем 750 л, без колес, с крышкой, размер 100х92х92мм грузоподъемность 400кг, вес 50 кг, материал: окрашенный металл</t>
  </si>
  <si>
    <t>23.14.12.900.013.00.0006.000000000000</t>
  </si>
  <si>
    <t>Сетка</t>
  </si>
  <si>
    <t>москитная, из стекловолокна</t>
  </si>
  <si>
    <t>28.24.11.510.000.00.0796.000000000000</t>
  </si>
  <si>
    <t>Аппарат углошлифовальный</t>
  </si>
  <si>
    <t>ручной</t>
  </si>
  <si>
    <t>Болгарка большая. Мощность 2000вВт, напряжение сети 220В, частота сети 50Гц. Частота вращения 6500 об/мин. Максимальный диаметр диска 230мм. Резьба М14, вес 5,5кг</t>
  </si>
  <si>
    <t>Болгарка маленькая. Мощность 1500Вт. Напряжение сети 220Вт. Частота сети 50Гц. Частота вращения 2800-10000об/мин. Максимальный диаметр диска 125 мм. Вес 2,6кг.</t>
  </si>
  <si>
    <t>25.73.30.650.001.01.0796.000000000000</t>
  </si>
  <si>
    <t>Шуруповерт</t>
  </si>
  <si>
    <t>электрический, ручной, аккумуляторный</t>
  </si>
  <si>
    <t>Шуруповерт аккумуляторный, емкость 1,3 Ah. Скорость (1/2) передача), об/мин 0-350/0-1 300 об/мин. Макс. Диаметр сверления дерево/сталь,мм24/10мм. Патрон 1,5-10мм.Макс. Крутящийся момент 24 Нм. Вес 1,0кг.</t>
  </si>
  <si>
    <t>28.24.11.900.005.00.0796.000000000001</t>
  </si>
  <si>
    <t>Пила электрическая</t>
  </si>
  <si>
    <t>дисковая, со встроенным электрическим двигателем</t>
  </si>
  <si>
    <t>Дисковая пила мощностью 2200Вт. Число об 5000 мин. Вес 7,5 кг</t>
  </si>
  <si>
    <t>25.73.30.650.001.00.0796.000000000001</t>
  </si>
  <si>
    <t>для завертывания и отвертывания путевых шурупов, гаек клеммных и закладных болтов и сверления отверстий в шпалах</t>
  </si>
  <si>
    <t>Питание: аккумулятор, тип патрона: быстрозажимной, количество скоростей работы: 2</t>
  </si>
  <si>
    <t>28.24.11.900.010.00.0796.000000000000</t>
  </si>
  <si>
    <t>Перфоратор</t>
  </si>
  <si>
    <t>электрический, сетевой</t>
  </si>
  <si>
    <t>28.24.11.200.001.00.0796.000000000001</t>
  </si>
  <si>
    <t>Лобзик</t>
  </si>
  <si>
    <t>ручной, электрический</t>
  </si>
  <si>
    <t>Электролобзик</t>
  </si>
  <si>
    <t>25.73.30.930.037.00.0796.000000000001</t>
  </si>
  <si>
    <t>Дрель</t>
  </si>
  <si>
    <t>электрическая, мощность не менее 500 Вт, диаметр сверления до 50 мм</t>
  </si>
  <si>
    <t xml:space="preserve">Шуруповерт с насадками. 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t>
  </si>
  <si>
    <t>28.24.11.900.001.00.0796.000000000000</t>
  </si>
  <si>
    <t>Фен</t>
  </si>
  <si>
    <t>для отогревания трубопроводов, нагревания деталей, промышленный, электрический</t>
  </si>
  <si>
    <t>25.73.30.930.034.00.0796.000000000000</t>
  </si>
  <si>
    <t>Краскопульт</t>
  </si>
  <si>
    <t>пневматический</t>
  </si>
  <si>
    <t>Электрический, краскоперенос 280 мл/мин, вязкость краски 40 DIN HVLP, 0,8 л, 300Вт</t>
  </si>
  <si>
    <t>28.24.11.900.007.00.0796.000000000000</t>
  </si>
  <si>
    <t>Машина шлифовальная</t>
  </si>
  <si>
    <t>прямая, с цанговым зажимом, мощность не менее 315 Вт, частота вращения не менее 25000 об/мин</t>
  </si>
  <si>
    <t>Ленточная шлифовальная машина. Эргономичный дизайн, 4х метровый электрический кабель, автоматическое отключение угольных щеток. Характеристики: Скорость 180-340 об./мин. Размер ленты 75-533 см. Размер кейса 40.6x9.2x19.5 см. Кабель 4 м. Вес 3,8 кг.. Мощность 900 Вт</t>
  </si>
  <si>
    <t>25.94.13.900.010.00.0704.000000000000</t>
  </si>
  <si>
    <t>Набор отверток</t>
  </si>
  <si>
    <t>крестовая, плоская (стандартные размеры), 7 предметов</t>
  </si>
  <si>
    <t>704</t>
  </si>
  <si>
    <t>25.73.30.630.001.00.0704.000000000000</t>
  </si>
  <si>
    <t>универсальный</t>
  </si>
  <si>
    <t>Набор с магнитным адаптером, хромомолибденовая сталь, 33 предмета (32 биты и 1 магнитный адаптер)Шлицы бит - РН1(2 шт), РН2 (2 штуки), РН3,PZ1(2 шт) PZ2 (2 шт) PZ3 SL(3,4,4.5,5,5.5,6,6.5); HEX(1.5,2,2.5,3-6); TORX(9,10,15,20,25,27,30,40)</t>
  </si>
  <si>
    <t>Набор высококачественных отверток из 6 штук. Сталь S2. Количество отверток в наборе 6 штук</t>
  </si>
  <si>
    <t>25.73.30.300.002.00.0704.000000000021</t>
  </si>
  <si>
    <t>Набор ключей</t>
  </si>
  <si>
    <t>рожковые, в наборе не более 25 предметов, 8-41 мм</t>
  </si>
  <si>
    <t>Набор рожковых ключей, покрытие зеленый цинк, размер , мм 6*7, 8*10,9*11,10*12,12*13,13*14,14*15,14*17,17*19,19*22,22*24,7*30,30*32,32*36</t>
  </si>
  <si>
    <t>25.73.30.300.002.00.0704.000000000000</t>
  </si>
  <si>
    <t>для винтов с внутренним шестигранником, ГОСТ 11737-93</t>
  </si>
  <si>
    <t>Набор шестигранников Г-образных из 7 предметов. В комплекте набора шестигранные дюймовые ключи:3/32; 1/8;5/32;3/16;1/4;5/16;3/8.</t>
  </si>
  <si>
    <t>набор ключей имбусных</t>
  </si>
  <si>
    <t>25.73.30.300.002.00.0704.000000000024</t>
  </si>
  <si>
    <t>гаечные, комбинированные, в наборе 12 предметов 6-32 мм</t>
  </si>
  <si>
    <t>25.94.13.900.001.00.0704.000000000013</t>
  </si>
  <si>
    <t>Набор инструментов</t>
  </si>
  <si>
    <t>для слесарных работ, в наборе не более 94 предметов</t>
  </si>
  <si>
    <t>набор инструментов универсальный 94 предмета</t>
  </si>
  <si>
    <t>Набор сверл</t>
  </si>
  <si>
    <t>с цилиндрическим хвостовиком, с цилиндрическим хвостовиком</t>
  </si>
  <si>
    <t>Сверла по бетону. Твердосплавная пластинка, U-образная спираль. Угол заточки при вершине 130. Диаметр, мм 3;4;5;6;7;8;9;10</t>
  </si>
  <si>
    <t>25.73.40.390.001.00.0704.000000000002</t>
  </si>
  <si>
    <t>по металлу, в наборе 10 предметов, по металлу, в наборе 10 предметов</t>
  </si>
  <si>
    <t>Диаметр, мм 3,4,5,6,7,8,9,10</t>
  </si>
  <si>
    <t>25.73.30.370.002.00.0704.000000000000</t>
  </si>
  <si>
    <t>Набор головок</t>
  </si>
  <si>
    <t>тип А, с внутренним шестигранным зевом, размер 3,2-80 мм, ГОСТ 25604-83</t>
  </si>
  <si>
    <t>25.94.13.900.001.00.0704.000000000017</t>
  </si>
  <si>
    <t>для плотника, в наборе от 20 до 40 предметов</t>
  </si>
  <si>
    <t>Инструменты для плотника</t>
  </si>
  <si>
    <t>25.73.30.130.000.00.0704.000000000001</t>
  </si>
  <si>
    <t>Набор надфилей</t>
  </si>
  <si>
    <t>6 предметов (плоский, квадратный, круглый, ромбический, трехгранный, овальный, с насечкой)</t>
  </si>
  <si>
    <t>25.71.13.900.001.00.0839.000000000000</t>
  </si>
  <si>
    <t>Комплект лезвий</t>
  </si>
  <si>
    <t>строительные, стальные, сегментированные, ширина 18 мм, в комплекте 10 шт</t>
  </si>
  <si>
    <t>Сегментированные лезвия из стали</t>
  </si>
  <si>
    <t>26.51.66.400.008.00.0796.000000000002</t>
  </si>
  <si>
    <t>Уровень</t>
  </si>
  <si>
    <t>строительный, длина 1 м</t>
  </si>
  <si>
    <t>26.51.66.400.008.00.0796.000000000004</t>
  </si>
  <si>
    <t>строительный, длина 2 м, ГОСТ 9416-83</t>
  </si>
  <si>
    <t>26.51.32.500.001.00.0796.000000000000</t>
  </si>
  <si>
    <t>Линейка-уровень</t>
  </si>
  <si>
    <t>металлическая</t>
  </si>
  <si>
    <t>Правило 2м</t>
  </si>
  <si>
    <t>25.73.40.190.002.00.0796.000000000000</t>
  </si>
  <si>
    <t>длина 5 м</t>
  </si>
  <si>
    <t>3м</t>
  </si>
  <si>
    <t>25.73.20.100.001.00.0796.000000000000</t>
  </si>
  <si>
    <t>Ножовка</t>
  </si>
  <si>
    <t>по металлу, ручная, пластиковая рукоятка</t>
  </si>
  <si>
    <t>Ножовка по металлу Эксперт 300мм,  Металлическая ручка эргономичной формы. Хромированная рамка с устройством натяжения полотна</t>
  </si>
  <si>
    <t>25.73.30.100.007.00.0796.000000000000</t>
  </si>
  <si>
    <t>Плоскогубцы</t>
  </si>
  <si>
    <t>комбинированные</t>
  </si>
  <si>
    <t>Плоскогубцы из стали</t>
  </si>
  <si>
    <t>25.73.30.100.007.00.0796.000000000001</t>
  </si>
  <si>
    <t>с диэлектрическими ручками</t>
  </si>
  <si>
    <t>Пассатижи по кафелю</t>
  </si>
  <si>
    <t>16.29.11.100.002.00.0796.000000000000</t>
  </si>
  <si>
    <t>Молоток</t>
  </si>
  <si>
    <t>головка из нейлона с деревянной ручкой, ГОСТ 2310-77</t>
  </si>
  <si>
    <t>Молоток плотника</t>
  </si>
  <si>
    <t>25.73.10.400.000.00.0796.000000000001</t>
  </si>
  <si>
    <t>Топор</t>
  </si>
  <si>
    <t>столярный</t>
  </si>
  <si>
    <t>Вес 1кг, длина 50см</t>
  </si>
  <si>
    <t>25.73.30.500.001.00.0839.000000000000</t>
  </si>
  <si>
    <t>Стамеска</t>
  </si>
  <si>
    <t>плоская</t>
  </si>
  <si>
    <t>Набор стамесок 12-18-25мм</t>
  </si>
  <si>
    <t>25.73.30.930.026.00.0796.000000000000</t>
  </si>
  <si>
    <t>Плиткорез</t>
  </si>
  <si>
    <t>Кафелерезка механическая. Горизонтальный рез, диаметр 22мм, толщина ролика 2мм. Подвижная линейка.Предназначен для резки настенной и напольной плитки. Материал сталь, пластик, ролик из твердосплавной инструментальной стали.</t>
  </si>
  <si>
    <t>25.73.30.100.010.00.0839.000000000003</t>
  </si>
  <si>
    <t>Напильник</t>
  </si>
  <si>
    <t>01-60 HRC, квадратный, ГОСТ 1465-80</t>
  </si>
  <si>
    <t>25.73.20.100.001.00.0796.000000000001</t>
  </si>
  <si>
    <t>по дереву, ручная, пластиковая рукоятка</t>
  </si>
  <si>
    <t>15584-475мм/4мм, Т144D, EU -хвост</t>
  </si>
  <si>
    <t>23.91.11.100.000.00.0839.000000000000</t>
  </si>
  <si>
    <t>Комплект шлифовальных дисков</t>
  </si>
  <si>
    <t>для шлифования и полирования, диаметр 50-180 мм</t>
  </si>
  <si>
    <t>Комплект дисков на болгарку по железу (диаметр 15см)</t>
  </si>
  <si>
    <t>25.71.11.920.001.00.0796.000000000006</t>
  </si>
  <si>
    <t>для резки металла</t>
  </si>
  <si>
    <t>Ножницы по металлу. Толщина разрезаемого металла: холоднокатная сталь 1,5 мм, нержавеющая сталь 0,9 мм. Размер 260мм</t>
  </si>
  <si>
    <t>25.71.11.390.000.00.0704.000000000005</t>
  </si>
  <si>
    <t>Нож</t>
  </si>
  <si>
    <t>специальный</t>
  </si>
  <si>
    <t>инструмент для  резки различных материалов во время слесарных работ - нож слесарный</t>
  </si>
  <si>
    <t>25.71.11.390.000.00.0796.000000000012</t>
  </si>
  <si>
    <t>по гипсокартону</t>
  </si>
  <si>
    <t>25.71.11.390.000.00.0796.000000000006</t>
  </si>
  <si>
    <t>канцелярский</t>
  </si>
  <si>
    <t>нож обойный</t>
  </si>
  <si>
    <t>25.71.14.410.007.00.0796.000000000000</t>
  </si>
  <si>
    <t>Ножи для болгарки с мелкими зубчиками</t>
  </si>
  <si>
    <t>25.71.11.390.000.00.0796.000000000005</t>
  </si>
  <si>
    <t>Нож с выдвижным лезвием эргономичный, 18 мм</t>
  </si>
  <si>
    <t>25.73.30.650.003.00.0796.000000000002</t>
  </si>
  <si>
    <t>Инструмент</t>
  </si>
  <si>
    <t>для обжима коннекторов</t>
  </si>
  <si>
    <t>Бокорез, инструмент для перерезания проводов и проволоки</t>
  </si>
  <si>
    <t>28.23.23.900.004.01.0796.000000000000</t>
  </si>
  <si>
    <t>Дырокол</t>
  </si>
  <si>
    <t>промышленный, механический</t>
  </si>
  <si>
    <t>Дырокол предназначен для пробивания отверстий в алюминиевых и пластиковых багетах.</t>
  </si>
  <si>
    <t>25.73.30.900.001.00.0796.000000000001</t>
  </si>
  <si>
    <t>Пистолет</t>
  </si>
  <si>
    <t>для герметика, механический</t>
  </si>
  <si>
    <t>Пистолет для силикона усиленный 300мл, вес 955г.</t>
  </si>
  <si>
    <t>28.23.23.900.005.01.0796.000000000001</t>
  </si>
  <si>
    <t>Степлер</t>
  </si>
  <si>
    <t>промышленный, пневматический</t>
  </si>
  <si>
    <t>Степлер столярный</t>
  </si>
  <si>
    <t>25.73.30.930.014.00.0796.000000000000</t>
  </si>
  <si>
    <t>Терка</t>
  </si>
  <si>
    <t>для затирки и шлифования оштукатуренных поверхностей, полиуретановая</t>
  </si>
  <si>
    <t>Гладилка строительная. Полотно из нержавеющей стали, деревянная лакированная ручка. Предназначена для нанесения и распределения штукатурных смесей и клеевых растворов.</t>
  </si>
  <si>
    <t>25.73.40.190.003.01.0796.000000000001</t>
  </si>
  <si>
    <t>Резец токарный</t>
  </si>
  <si>
    <t>из быстрорежущей стали, подрезной, ГОСТ 18871-73</t>
  </si>
  <si>
    <t>Инструмент  для точения металла на токарном станке. Резец типа: Отрезной, резьбовой,  проходной, расточной, подрезной материал напайки Т15К6, Т5К10 Резец - режущий инструмент, предназначенный для обработки деталей различных размеров, форм, точности и материалов. Является основным инструментом, применяемым при токарных, строгальных и долбёжных работах.</t>
  </si>
  <si>
    <t>22.29.29.900.051.00.0796.000000000000</t>
  </si>
  <si>
    <t>для сбора острого инструментария</t>
  </si>
  <si>
    <t>Ящик для инструментов 510*260*270мм</t>
  </si>
  <si>
    <t>25.73.20.100.002.00.0796.000000000001</t>
  </si>
  <si>
    <t>Полотно</t>
  </si>
  <si>
    <t>ножовочное, машинное, размер 450*40 мм, ГОСТ 6645-86</t>
  </si>
  <si>
    <t>25.73.20.100.002.00.0796.000000000000</t>
  </si>
  <si>
    <t>для ножовки по металлу, металлическое, ГОСТ 6645-86</t>
  </si>
  <si>
    <t xml:space="preserve">Полотно для ножовки по металлу, 300 мм, </t>
  </si>
  <si>
    <t>шлифовальный, в форме круга</t>
  </si>
  <si>
    <t>Диск на болгарку d180</t>
  </si>
  <si>
    <t>23.91.11.800.000.00.0796.000000000000</t>
  </si>
  <si>
    <t>по бетону, алмазный, диаметр 230 мм, содержание алмаза 35%</t>
  </si>
  <si>
    <t>Диск алмазный отрезной 115*22,2мм (сухой рез, бетон, железобетон, мрамор)</t>
  </si>
  <si>
    <t>Диск алмазный отрезной 125*1,6*2223</t>
  </si>
  <si>
    <t>23.91.11.700.000.01.0796.000000000004</t>
  </si>
  <si>
    <t>Круг</t>
  </si>
  <si>
    <t>шлифовальный, алмазный, плоский, прямого профиля, ГОСТ 16167-90</t>
  </si>
  <si>
    <t>наждачный круг</t>
  </si>
  <si>
    <t>23.91.11.600.007.01.0796.000000000001</t>
  </si>
  <si>
    <t>шлифовальный, на бакелитовой связке, шлифматериал электрокорунд</t>
  </si>
  <si>
    <t>диск дронко φ 230</t>
  </si>
  <si>
    <t>25.73.60.100.002.00.0796.000000000000</t>
  </si>
  <si>
    <t>Бур</t>
  </si>
  <si>
    <t>БД1, диаметр 18 мм, длина 160 мм, ГОСТ 17016-71</t>
  </si>
  <si>
    <t>Бур по бетону</t>
  </si>
  <si>
    <t>25.73.30.500.003.00.0796.000000000000</t>
  </si>
  <si>
    <t>Зубило</t>
  </si>
  <si>
    <t>тип 1, плоскоовального сечения, ГОСТ 7211-86</t>
  </si>
  <si>
    <t>25.73.30.300.000.02.0796.000000000003</t>
  </si>
  <si>
    <t>Ключ</t>
  </si>
  <si>
    <t>газовый, №3</t>
  </si>
  <si>
    <t>25.73.30.300.000.03.0796.000000000106</t>
  </si>
  <si>
    <t>гаечный, разводной, размер зева 41 мм</t>
  </si>
  <si>
    <t>15.12.12.900.000.11.0796.000000000001</t>
  </si>
  <si>
    <t>Сумка</t>
  </si>
  <si>
    <t>для рабочего инструмента, из пластмассы</t>
  </si>
  <si>
    <t>Сумка для рабочего инструмента с лицевой поверхностью из пластмассы</t>
  </si>
  <si>
    <t>26.30.60.000.015.00.0796.000000000000</t>
  </si>
  <si>
    <t>Батарея</t>
  </si>
  <si>
    <t>резервная</t>
  </si>
  <si>
    <t>Батарея на приборы. Напряжение 9 В.</t>
  </si>
  <si>
    <t>22.23.12.900.009.00.0796.000000000000</t>
  </si>
  <si>
    <t>Вантуз</t>
  </si>
  <si>
    <t>полипропиленовый, с пластиковой ручкой</t>
  </si>
  <si>
    <t>25.93.12.500.001.01.0006.000000000000</t>
  </si>
  <si>
    <t>стальной, без электрической изоляции</t>
  </si>
  <si>
    <t>Трос сантехнический (гибкий вал) для прочистки канализации. Трос стальной, без электрической изоляции. Длина 15 м</t>
  </si>
  <si>
    <t>30.20.40.300.038.00.0796.000000000000</t>
  </si>
  <si>
    <t xml:space="preserve">щетка с металическим ворсом  </t>
  </si>
  <si>
    <t>25.99.29.190.007.00.0839.000000000000</t>
  </si>
  <si>
    <t>Ершик</t>
  </si>
  <si>
    <t>для чистки сопел, металлический</t>
  </si>
  <si>
    <t>Ерш для чистки котла, металлический φ32</t>
  </si>
  <si>
    <t>22.19.40.300.000.00.0796.000000000092</t>
  </si>
  <si>
    <t>клиновый, приводный, с сечением В(Б)-2240, ГОСТ 1284.2-89</t>
  </si>
  <si>
    <t>22.19.40.300.000.00.0796.000000000053</t>
  </si>
  <si>
    <t>клиновый, приводный, с сечением А-2120, ГОСТ 1284.2-89</t>
  </si>
  <si>
    <t>6 шт</t>
  </si>
  <si>
    <t>25.73.40.300.001.00.0704.000000000000</t>
  </si>
  <si>
    <t>Набор буров</t>
  </si>
  <si>
    <t>для перфоратора, в наборе 7 предметов</t>
  </si>
  <si>
    <t>Бур по бетону диаметр 6,8,10,12,14 мм.</t>
  </si>
  <si>
    <t>25.73.40.390.001.00.0704.000000000001</t>
  </si>
  <si>
    <t>Набор сверл по дереву диаметр 12,16,18,20,25 мм</t>
  </si>
  <si>
    <t xml:space="preserve">Сверла по дереву комплект 8 шт d 3-12 мм   </t>
  </si>
  <si>
    <t>Сверла по металлу с победитовой напайкой 1-12 мм</t>
  </si>
  <si>
    <t>26.30.60.000.009.00.0796.000000000000</t>
  </si>
  <si>
    <t>Ороситель</t>
  </si>
  <si>
    <t>пожарный, спринклерный</t>
  </si>
  <si>
    <t>Распылитель веерный спринклер модель 15 см, корпус с внутренним механизмом, крышкой, с выдвижной штангой с наружной резьбой и фильтром</t>
  </si>
  <si>
    <t>Замок врезной из нержавеющей стали, с защёлками и фалевыми ручками,не менее 2х оборотов,комплект из 3х-5ти ключей.</t>
  </si>
  <si>
    <t>25.72.13.900.002.00.0796.000000000000</t>
  </si>
  <si>
    <t>Сердцевина</t>
  </si>
  <si>
    <t>для врезного замка</t>
  </si>
  <si>
    <t>Цилиндр из нержавеющей стали, открыванием с внешней и внутренней стороны, комплект из 3х-5и ключей.</t>
  </si>
  <si>
    <t>25.72.11.300.000.00.0796.000000000000</t>
  </si>
  <si>
    <t>навесной</t>
  </si>
  <si>
    <t>Замок висячий дисковый с дисковым механизмом и откидной поворотной душкой, комплект  из 3х ключей.</t>
  </si>
  <si>
    <t>22.23.19.990.010.00.0796.000000000000</t>
  </si>
  <si>
    <t>Шпатель</t>
  </si>
  <si>
    <t>пластиковый, размер 20 мм, ГОСТ 10778-83</t>
  </si>
  <si>
    <t>32.91.19.300.000.00.0796.000000000001</t>
  </si>
  <si>
    <t>Кисть малярная</t>
  </si>
  <si>
    <t>30мм</t>
  </si>
  <si>
    <t>32.91.19.500.002.00.0796.000000000001</t>
  </si>
  <si>
    <t>для окраски полов лакокрасочным составом, малярный, тип ВМП, ГОСТ 10831-87</t>
  </si>
  <si>
    <t>70,5мм</t>
  </si>
  <si>
    <t>100мм</t>
  </si>
  <si>
    <t>25.99.29.530.001.00.0796.000000000000</t>
  </si>
  <si>
    <t>Лестница</t>
  </si>
  <si>
    <t>техническая, из алюминиевого сплава</t>
  </si>
  <si>
    <t>Стремянка 1,5м</t>
  </si>
  <si>
    <t>стремянка высота 5м</t>
  </si>
  <si>
    <t>универсальная стремянка алюминиевая 4м.</t>
  </si>
  <si>
    <t>25.72.14.690.006.00.0796.000000000001</t>
  </si>
  <si>
    <t>Доводчик дверной</t>
  </si>
  <si>
    <t>до 100 кг</t>
  </si>
  <si>
    <t>22.23.14.700.014.01.0796.000000000000</t>
  </si>
  <si>
    <t>Ручка</t>
  </si>
  <si>
    <t>пластиковая, для пластиковых дверей, односторонняя</t>
  </si>
  <si>
    <t>Ручка для пластиковых окон витражных</t>
  </si>
  <si>
    <t>25.99.29.490.087.00.0796.000000000000</t>
  </si>
  <si>
    <t>металлическая, дверная</t>
  </si>
  <si>
    <t>ручки дверные с замками в комплекте</t>
  </si>
  <si>
    <t>13.92.22.100.001.00.0006.000000000000</t>
  </si>
  <si>
    <t>Брезент</t>
  </si>
  <si>
    <t>льняной, плотность не менее 300 г/м, ГОСТ 15530-93</t>
  </si>
  <si>
    <t>ткань брезенковая хлопчатобумажная</t>
  </si>
  <si>
    <t>25.73.30.930.007.00.0796.000000000007</t>
  </si>
  <si>
    <t>металлический, ширина 100 мм</t>
  </si>
  <si>
    <t>149мм</t>
  </si>
  <si>
    <t>Малярная кисть плоская, из натуральной щетины, с деревянной или пластиковой ручкой 50-86 мм.</t>
  </si>
  <si>
    <t>32.91.19.300.000.00.0796.000000000006</t>
  </si>
  <si>
    <t>рогожная</t>
  </si>
  <si>
    <t>Кисть побелочная прямоугольная, из натуральной щетины, с деревянной ручкой ,ширина 4см, длина 15см.</t>
  </si>
  <si>
    <t>26.51.52.700.002.00.0796.000000000048</t>
  </si>
  <si>
    <t>Манометр</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</si>
  <si>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100 мм, класс точности 1,5, диапазон показаний -1-1,5, ГОСТ 2405-88</t>
  </si>
  <si>
    <t>26.51.52.700.002.00.0796.000000000016</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</si>
  <si>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0-40, ГОСТ 2405-88</t>
  </si>
  <si>
    <t xml:space="preserve">Манометрический коллектор. Специальный инструмент с набором манометров, кранов (4 шт) и шлангов для замера давления контура кондиционера,    тех характеристики: 
- 4-вентильным телом коллектора с крюком,
манометром низкого давления: ø 68, шкала давления от -1 до +9 бар,
температурная шкала в градусах по Цельсию, манометром низкого давления: ø 68, шкала давления от 0 до +34 бар,
температурная шкала в градусах по Цельсию,
и вакуумметром: ø 80 мм, диапазон измерений от 1000 до 0 мбар.
- 3 шлангами различных цветов: красный, синий, желтый; длина каждого 90 см
- 1 шлангом красного цвета CL-10-R длиной 25 см для подсоединения баллона с R600a, </t>
  </si>
  <si>
    <t>26.51.52.700.002.00.0796.000000000000</t>
  </si>
  <si>
    <t>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-1-0, ГОСТ 2405-88</t>
  </si>
  <si>
    <t>30.99.10.000.022.00.0796.000000000000</t>
  </si>
  <si>
    <t>Шланг подключения манометра</t>
  </si>
  <si>
    <t>для унифицированного моторного подогревателя</t>
  </si>
  <si>
    <t>Шланг для манм. коллектора L=2м</t>
  </si>
  <si>
    <t>26.51.51.100.001.00.0796.000000000231</t>
  </si>
  <si>
    <t>Термометр</t>
  </si>
  <si>
    <t>СП-2К, диапазон измерения температуры 0-200 С°</t>
  </si>
  <si>
    <t>26.51.51.300.000.00.0796.000000000103</t>
  </si>
  <si>
    <t>цифровой, многофункциональный</t>
  </si>
  <si>
    <t>Термометр электронный</t>
  </si>
  <si>
    <t>26.51.51.700.019.00.0796.000000000001</t>
  </si>
  <si>
    <t>Пирометр</t>
  </si>
  <si>
    <t>излучение полное, диапазон изменения температуры - 50 + 2500˚С, ГОСТ 28243-96</t>
  </si>
  <si>
    <t>Инфракрасный пирометр для измерения температуры</t>
  </si>
  <si>
    <t>UNI-T UT301AB</t>
  </si>
  <si>
    <t>UNI-T UT301C</t>
  </si>
  <si>
    <t>22.21.29.700.034.00.0796.000000000002</t>
  </si>
  <si>
    <t>Адаптер</t>
  </si>
  <si>
    <t>из полипропилена, с накидной гайкой</t>
  </si>
  <si>
    <t>φ25*3/4</t>
  </si>
  <si>
    <t>φ32</t>
  </si>
  <si>
    <t>22.21.29.700.006.00.0796.000000000000</t>
  </si>
  <si>
    <t>Вентиль</t>
  </si>
  <si>
    <t>полипропиленовый, диаметр 20 мм</t>
  </si>
  <si>
    <t>22.21.29.700.006.00.0796.000000000001</t>
  </si>
  <si>
    <t>полипропиленовый, диаметр 25 мм</t>
  </si>
  <si>
    <t>28.14.13.330.000.00.0796.000000000005</t>
  </si>
  <si>
    <t>чугунная, тип присоединения к трубопроводу - фланцевое, давление - 1,6 Мпа, ГОСТ 9698-86</t>
  </si>
  <si>
    <t>Задвижка φ89</t>
  </si>
  <si>
    <t>Задвижка φ80</t>
  </si>
  <si>
    <t>22.21.29.700.042.00.0796.000000000037</t>
  </si>
  <si>
    <t>Кран</t>
  </si>
  <si>
    <t>шаровый, из поливинилхлорида термопластик, промышленного применения муфты гладкий, диаметр 80 мм, давление условное 2 Мпа</t>
  </si>
  <si>
    <t>Кран шаровый приварной φ80</t>
  </si>
  <si>
    <t>22.21.29.700.042.00.0796.000000000141</t>
  </si>
  <si>
    <t>шаровый, полипропиленовый, угловой разборный с накидной гайкой, диаметр 20 мм, давление условное 2 Мпа</t>
  </si>
  <si>
    <t>Кран угловой радиаторный</t>
  </si>
  <si>
    <t>28.14.13.190.003.00.0796.000000000003</t>
  </si>
  <si>
    <t>стальной, регулирующий, давление условное 37,3 Мпа, проход условный 150 мм</t>
  </si>
  <si>
    <t>для горячей воды. Φ15</t>
  </si>
  <si>
    <t>28.14.13.900.000.02.0796.000000000015</t>
  </si>
  <si>
    <t>латунный, давление условное 1 Мпа, проходной, проход условный 20 мм</t>
  </si>
  <si>
    <t>для горячей воды. Φ20</t>
  </si>
  <si>
    <t>28.14.13.900.000.02.0796.000000000052</t>
  </si>
  <si>
    <t>бронзовый (латунный), давление условное 1 Мпа, пробно-спускной, проход условный 25 мм</t>
  </si>
  <si>
    <t>для горячей воды. Φ25</t>
  </si>
  <si>
    <t>28.14.13.900.000.02.0796.000000000017</t>
  </si>
  <si>
    <t>латунный, давление условное 1 Мпа, проходной, проход условный 32 мм</t>
  </si>
  <si>
    <t>для горячей воды. Φ32</t>
  </si>
  <si>
    <t>28.14.13.900.000.02.0796.000000000038</t>
  </si>
  <si>
    <t>латунный, давление условное 0,1 Мпа, проходной, натяжной муфтовый для газа, проход условный 40 мм</t>
  </si>
  <si>
    <t>для горячей воды. Φ40</t>
  </si>
  <si>
    <t>28.14.13.900.000.02.0796.000000000039</t>
  </si>
  <si>
    <t>латунный, давление условное 0,1 Мпа, проходной, натяжной муфтовый для газа, проход условный 50 мм</t>
  </si>
  <si>
    <t>для горячей воды. Φ50</t>
  </si>
  <si>
    <t>28.14.12.300.001.00.0796.000000000002</t>
  </si>
  <si>
    <t>смеситель, кран - для умывальника и мойки, двухрукояточный, ГОСТ 25809-96</t>
  </si>
  <si>
    <t>22.21.29.700.025.00.0796.000000000017</t>
  </si>
  <si>
    <t>из полипропилена, диаметр 32 мм</t>
  </si>
  <si>
    <t>Клипса для ППР труб</t>
  </si>
  <si>
    <t>25.72.14.690.000.00.0796.000000000002</t>
  </si>
  <si>
    <t>стальная, прямая, диаметр 20 мм, длина 103</t>
  </si>
  <si>
    <t>муфта металлическая φ32</t>
  </si>
  <si>
    <t>28.14.13.900.011.00.0796.000000000009</t>
  </si>
  <si>
    <t>Клапан балансировочный</t>
  </si>
  <si>
    <t>с предварительной настройкой, со спускным краном, ручной, условный проход 32 мм</t>
  </si>
  <si>
    <t>28.14.13.900.011.00.0796.000000000001</t>
  </si>
  <si>
    <t>ручной, запорно-измерительный, балансировочный, внутренняя резьба, встроеный шаровой кран, условный проход 20 мм</t>
  </si>
  <si>
    <t>24.20.13.900.000.00.0006.000000000025</t>
  </si>
  <si>
    <t>Труба</t>
  </si>
  <si>
    <t>водогазопроводная, сварная, наружный диаметр 60,0 мм, толщина стенки 3,5 мм, обыкновенная, условный проход 50 мм, ГОСТ 3262-75</t>
  </si>
  <si>
    <t>φ50</t>
  </si>
  <si>
    <t>24.20.34.000.000.00.0018.000000000323</t>
  </si>
  <si>
    <t>квадратная, стальная холоднодеформированная, электросварная, наружный диаметр 80 мм, толщина стенки 8,0 мм, ГОСТ 8639-82</t>
  </si>
  <si>
    <t>оцинкованная φ80</t>
  </si>
  <si>
    <t>22.21.21.530.000.00.0006.000000000282</t>
  </si>
  <si>
    <t>для водоснабжения, полипропиленовая, диаметр 32 мм, толщина 4,5 мм, PN16</t>
  </si>
  <si>
    <t>28.14.13.900.014.00.0796.000000000011</t>
  </si>
  <si>
    <t>Клапан обратный</t>
  </si>
  <si>
    <t>стальной, тип присоединения - муфтовое, давление условное 16 Мпа, ГОСТ 27477-87</t>
  </si>
  <si>
    <t>Клапан обратный φ32</t>
  </si>
  <si>
    <t>Клапан обратный φ40</t>
  </si>
  <si>
    <t>25.94.11.850.000.00.0796.000000000005</t>
  </si>
  <si>
    <t>Контргайка</t>
  </si>
  <si>
    <t>стальная, условный проход 32 мм, ГОСТ 8968-75</t>
  </si>
  <si>
    <t>контргайка φ32</t>
  </si>
  <si>
    <t>25.94.11.850.000.00.0796.000000000000</t>
  </si>
  <si>
    <t>стальная, условный проход 8-80 мм, ГОСТ 8961-75</t>
  </si>
  <si>
    <t>контргайка φ25</t>
  </si>
  <si>
    <t>22.21.30.100.003.00.0796.000000000000</t>
  </si>
  <si>
    <t>Лента ФУМ</t>
  </si>
  <si>
    <t>уплотнительная, размер 15 мм</t>
  </si>
  <si>
    <t>28.15.10.300.000.00.0796.000000000010</t>
  </si>
  <si>
    <t>радиальный, наружный диаметр 30-55 мм, однорядный, качения, со штампованным сепаратором</t>
  </si>
  <si>
    <t>24.10.31.100.002.00.0018.000000000004</t>
  </si>
  <si>
    <t>Полоса</t>
  </si>
  <si>
    <t>стальная, размер 40*3, ГОСТ 4405-75</t>
  </si>
  <si>
    <t>4*50</t>
  </si>
  <si>
    <t>19.20.31.300.000.00.5108.000000000000</t>
  </si>
  <si>
    <t>Пропан</t>
  </si>
  <si>
    <t>технический, массовая доля сероводорода и меркаптановой серы не более 0,013%, интенсивность запаха не менее 3 баллов</t>
  </si>
  <si>
    <t>25.11.23.600.007.00.0796.000000000000</t>
  </si>
  <si>
    <t>металлический, размер 45*45 мм</t>
  </si>
  <si>
    <t>24.51.30.500.001.01.0796.000000000000</t>
  </si>
  <si>
    <t>чугунный</t>
  </si>
  <si>
    <t>φ25 фитинги металл</t>
  </si>
  <si>
    <t>22.21.29.700.000.01.0796.000000000191</t>
  </si>
  <si>
    <t>полиэтиленовый, литой, размер 400*400*400 мм</t>
  </si>
  <si>
    <t>фитинг вентиляционный 400*600*400</t>
  </si>
  <si>
    <t>24.20.40.500.000.00.0796.000000000000</t>
  </si>
  <si>
    <t>Отвод</t>
  </si>
  <si>
    <t>оцинкованная сталь, для труб</t>
  </si>
  <si>
    <t>фитинги металл φ32</t>
  </si>
  <si>
    <t>22.21.29.700.005.00.0796.000000000005</t>
  </si>
  <si>
    <t>полипропиленовая, переходная, разборная с ВР</t>
  </si>
  <si>
    <t>Фитинг тройник ППР φ32</t>
  </si>
  <si>
    <t>22.21.29.700.005.00.0796.000000000011</t>
  </si>
  <si>
    <t>поливинилхлоридная, диамер 100 мм</t>
  </si>
  <si>
    <t xml:space="preserve">Муфта канализационная φ110 </t>
  </si>
  <si>
    <t>22.21.29.700.000.04.0796.000000000000</t>
  </si>
  <si>
    <t>пластиковый из поливинилхлорида, переходной, размер 110*110/ 45º</t>
  </si>
  <si>
    <t>фитинг канализационный</t>
  </si>
  <si>
    <t>24.20.40.100.010.01.0796.000000000004</t>
  </si>
  <si>
    <t>Фланец</t>
  </si>
  <si>
    <t>стальной, плоский, ГОСТ 12820-80</t>
  </si>
  <si>
    <t>фланец φ89</t>
  </si>
  <si>
    <t>фланец φ100</t>
  </si>
  <si>
    <t>22.19.20.700.003.00.0796.000000000406</t>
  </si>
  <si>
    <t>Манжета</t>
  </si>
  <si>
    <t>уплотнительная, тип 1, для пневматических устройств, резиновая, для уплонения целиндра диаметром 50 мм, ГОСТ 6678-72</t>
  </si>
  <si>
    <t>адаптер канализационный резиновый</t>
  </si>
  <si>
    <t>28.14.12.300.000.00.0796.000000000002</t>
  </si>
  <si>
    <t>Арматура для бачка унитаза</t>
  </si>
  <si>
    <t>универсальная</t>
  </si>
  <si>
    <t>внутренности бачка унитаза</t>
  </si>
  <si>
    <t>22.21.21.500.001.02.0796.000000000013</t>
  </si>
  <si>
    <t>гофрированная, сливная, для унитаза, размер 90-130</t>
  </si>
  <si>
    <t>Гофра φ100</t>
  </si>
  <si>
    <t>22.21.21.500.001.02.0796.000000000005</t>
  </si>
  <si>
    <t>гофрированная, сливная, для раковины, размер 32*40</t>
  </si>
  <si>
    <t>Гофра φ32</t>
  </si>
  <si>
    <t>22.21.21.500.001.02.0796.000000000006</t>
  </si>
  <si>
    <t>гофрированная, сливная, для раковины, размер 40*40</t>
  </si>
  <si>
    <t>Гофра φ40</t>
  </si>
  <si>
    <t>Труба ППР φ32</t>
  </si>
  <si>
    <t>22.21.21.500.001.04.0796.000000000000</t>
  </si>
  <si>
    <t>для внутренней канализации, из поливинилхлорида, диаметр 110, толщина 3,2 мм, длина 2000</t>
  </si>
  <si>
    <t>Труба канализационная</t>
  </si>
  <si>
    <t>13.94.20.000.000.00.0166.000000000000</t>
  </si>
  <si>
    <t>Каболка</t>
  </si>
  <si>
    <t>из льна, сплетенная специальным образом, ГОСТ 1765-89</t>
  </si>
  <si>
    <t>23.42.10.500.005.00.0796.000000000000</t>
  </si>
  <si>
    <t>Картридж</t>
  </si>
  <si>
    <t>для смесителя</t>
  </si>
  <si>
    <t>22.23.12.900.002.02.0796.000000000000</t>
  </si>
  <si>
    <t>Клапан</t>
  </si>
  <si>
    <t>сливной, унитазный</t>
  </si>
  <si>
    <t>Клавиша на унитаз в сборе</t>
  </si>
  <si>
    <t>13.10.29.100.000.00.0166.000000000001</t>
  </si>
  <si>
    <t>Лен</t>
  </si>
  <si>
    <t>растительное волокно, трепаный, ГОСТ 10330-76</t>
  </si>
  <si>
    <t>27.12.40.900.049.00.0796.000000000001</t>
  </si>
  <si>
    <t>Водонагреватель</t>
  </si>
  <si>
    <t>вертикальной установки, объем 50 л</t>
  </si>
  <si>
    <t>22.23.12.700.001.00.0796.000000000000</t>
  </si>
  <si>
    <t>Крышка-сиденье</t>
  </si>
  <si>
    <t>пластиковая, с шарнирами из нелегированной стали</t>
  </si>
  <si>
    <t>Стульчак на унитаз</t>
  </si>
  <si>
    <t>23.42.10.300.004.00.0796.000000000006</t>
  </si>
  <si>
    <t>Умывальник</t>
  </si>
  <si>
    <t>фарфоровый, овальный, без спинки , ГОСТ 30493-96</t>
  </si>
  <si>
    <t>23.42.10.300.003.00.0839.000000000014</t>
  </si>
  <si>
    <t>Унитаз</t>
  </si>
  <si>
    <t>фарфоровый, воронкообразный, с косым выпуском, без цельноотлитой полочки с бачком, ГОСТ 30493-96</t>
  </si>
  <si>
    <t>22.21.29.300.001.00.0796.000000000001</t>
  </si>
  <si>
    <t>гибкий, для смесителя</t>
  </si>
  <si>
    <t>22.19.30.500.000.02.0796.000000000001</t>
  </si>
  <si>
    <t>резиновый, высокого давления, армированный, наружный диаметр 20 мм</t>
  </si>
  <si>
    <t>Шланг сантехнический</t>
  </si>
  <si>
    <t>25.99.29.490.011.00.0796.000000000017</t>
  </si>
  <si>
    <t>металлический, диаметр 80, высота 125 мм, ГОСТ 24137-80</t>
  </si>
  <si>
    <t>22.21.29.700.001.00.0796.000000000002</t>
  </si>
  <si>
    <t>стяжка пластиковая, крепежная, длина 120 мм, ширина 3 мм</t>
  </si>
  <si>
    <t>28.14.13.900.014.00.0796.000000000002</t>
  </si>
  <si>
    <t>стальной, тип присоединения - фланцевое, давление условное 1,6 Мпа, ГОСТ 27477-87</t>
  </si>
  <si>
    <t>28.14.11.900.004.00.0796.000000000020</t>
  </si>
  <si>
    <t>Клапан предохранительный</t>
  </si>
  <si>
    <t>латунный, тип соединения - муфтовый, малоподъемный, однорычажный, давление условное 1,6 Мпа, условный диаметр 20 мм</t>
  </si>
  <si>
    <t>28.14.13.730.002.00.0796.000000000164</t>
  </si>
  <si>
    <t>шаровой, латунный, муфтовый, условное давление 1,6 Мпа, условный проход 15 мм</t>
  </si>
  <si>
    <t>Кран шаровый ф15</t>
  </si>
  <si>
    <t>28.14.13.730.002.00.0796.000000000165</t>
  </si>
  <si>
    <t>шаровой, латунный, муфтовый, условное давление 1,6 Мпа, условный проход 20 мм</t>
  </si>
  <si>
    <t>Кран шаровый ф20</t>
  </si>
  <si>
    <t>28.14.13.730.002.00.0796.000000000166</t>
  </si>
  <si>
    <t>шаровой, латунный, муфтовый, условное давление 1,6 Мпа, условный проход 25 мм</t>
  </si>
  <si>
    <t>Кран шаровый ф25</t>
  </si>
  <si>
    <t>28.14.13.730.002.00.0796.000000000167</t>
  </si>
  <si>
    <t>шаровой, латунный, муфтовый, условное давление 1,6 Мпа, условный проход 32 мм</t>
  </si>
  <si>
    <t>Кран шаровый ф32</t>
  </si>
  <si>
    <t>28.14.13.730.002.00.0796.000000000168</t>
  </si>
  <si>
    <t>шаровой, латунный, муфтовый, условное давление 1,6 Мпа, условный проход 40 мм</t>
  </si>
  <si>
    <t>Кран шаровый ф40</t>
  </si>
  <si>
    <t>28.14.13.730.002.00.0796.000000000169</t>
  </si>
  <si>
    <t>шаровой, латунный, муфтовый, условное давление 1,6 Мпа, условный проход 50мм</t>
  </si>
  <si>
    <t>Кран шаровый ф50</t>
  </si>
  <si>
    <t>22.21.29.700.042.00.0796.000000000074</t>
  </si>
  <si>
    <t>шаровый, из полипропилена, с муфтовыми окончаниями, диаметр 20 мм</t>
  </si>
  <si>
    <t>ППР 15 мм</t>
  </si>
  <si>
    <t>ППР 20 мм</t>
  </si>
  <si>
    <t>22.21.29.700.042.00.0796.000000000075</t>
  </si>
  <si>
    <t>шаровый, из полипропилена, с муфтовыми окончаниями, диаметр 25 мм</t>
  </si>
  <si>
    <t>ППР 25 мм</t>
  </si>
  <si>
    <t>22.21.29.700.042.00.0796.000000000076</t>
  </si>
  <si>
    <t>шаровый, из полипропилена, с муфтовыми окончаниями, диаметр 32 мм</t>
  </si>
  <si>
    <t>ППР 32 мм</t>
  </si>
  <si>
    <t>22.21.29.700.042.00.0796.000000000078</t>
  </si>
  <si>
    <t>шаровый, из полипропилена, с муфтовыми окончаниями, диаметр 50 мм</t>
  </si>
  <si>
    <t>ППР 50 мм</t>
  </si>
  <si>
    <t xml:space="preserve">муфт соединительные диам 15 </t>
  </si>
  <si>
    <t>муфт соединительные диам 20</t>
  </si>
  <si>
    <t>муфт соединительные диам 25</t>
  </si>
  <si>
    <t>муфт соединительные диам 32</t>
  </si>
  <si>
    <t>муфт соединительные диам 40</t>
  </si>
  <si>
    <t>муфт соединительные диам 40 металлическая</t>
  </si>
  <si>
    <t>22.21.29.700.002.00.0796.000000000062</t>
  </si>
  <si>
    <t>полипропиленовый, угол поворота 90 градусов, диаметр 50 мм</t>
  </si>
  <si>
    <t>отводы диам ф50 полипропилен</t>
  </si>
  <si>
    <t>22.21.29.700.002.00.0796.000000000058</t>
  </si>
  <si>
    <t>полипропиленовый, угол поворота 90 градусов, диаметр 20 мм</t>
  </si>
  <si>
    <t>отводы диам ф15 полипропилен</t>
  </si>
  <si>
    <t>24.20.40.500.000.00.0796.000000000089</t>
  </si>
  <si>
    <t>стальной, бесшовный, диаметр 32*3 мм</t>
  </si>
  <si>
    <t>Отвод металлический диам 32</t>
  </si>
  <si>
    <t>22.21.29.700.002.00.0796.000000000234</t>
  </si>
  <si>
    <t>стеклопластиковый, угол поворота 90 градусов, диаметр 100 мм</t>
  </si>
  <si>
    <t>Отвод металлический диам 100</t>
  </si>
  <si>
    <t>22.21.21.500.001.04.0796.000000000037</t>
  </si>
  <si>
    <t>для внутренней канализации, полипропиленовая, диаметр 40, длина 250 мм</t>
  </si>
  <si>
    <t xml:space="preserve">Труба ф40, стальная, водопроводная,сварная, толщина стенки 3,2мм </t>
  </si>
  <si>
    <t>22.21.21.500.001.04.0006.000000000009</t>
  </si>
  <si>
    <t>для внутренней канализации, полипропиленовая, диаметр 32, длина 250 мм</t>
  </si>
  <si>
    <t xml:space="preserve">Труба ф32, стальная, водопроводная,сварная, толщина стенки 3,2мм </t>
  </si>
  <si>
    <t>25.99.29.490.000.01.0796.000000000005</t>
  </si>
  <si>
    <t>Резьба сантехническая</t>
  </si>
  <si>
    <t>стальная, стальная, диаметр 15 мм, длинная</t>
  </si>
  <si>
    <t>Резьба на 15 мм, полипропилен</t>
  </si>
  <si>
    <t>25.99.29.490.000.01.0796.000000000004</t>
  </si>
  <si>
    <t>стальная, стальная, диаметр 50 мм, короткая</t>
  </si>
  <si>
    <t>Резьба на 40 мм, металлическая</t>
  </si>
  <si>
    <t>25.99.29.490.000.01.0796.000000000006</t>
  </si>
  <si>
    <t>стальная, стальная, диаметр 25 мм, длинная</t>
  </si>
  <si>
    <t>Резьба на 25 мм, полипропилен</t>
  </si>
  <si>
    <t>Резьба на 40 мм, полипропилен</t>
  </si>
  <si>
    <t>25.99.29.490.000.01.0796.000000000001</t>
  </si>
  <si>
    <t>стальная, стальная, диаметр 20 мм, короткая</t>
  </si>
  <si>
    <t>Резьба двухстороннея на 20 мм, полипропилен</t>
  </si>
  <si>
    <t>24.44.26.500.000.00.0796.000000000001</t>
  </si>
  <si>
    <t>Фитинг</t>
  </si>
  <si>
    <t>медный, резьбовой</t>
  </si>
  <si>
    <t xml:space="preserve">фитинги диаметром 32, 25, 50 </t>
  </si>
  <si>
    <t>22.21.29.700.029.00.0796.000000000000</t>
  </si>
  <si>
    <t>Переходник</t>
  </si>
  <si>
    <t>из полипропилена, с наружней/внутренней резьбой</t>
  </si>
  <si>
    <t>арматура для унитаза</t>
  </si>
  <si>
    <t>22.23.12.900.010.00.0796.000000000000</t>
  </si>
  <si>
    <t>Душевой рассеиватель</t>
  </si>
  <si>
    <t>лейка душевая</t>
  </si>
  <si>
    <t>22.21.21.900.001.00.0796.000000000008</t>
  </si>
  <si>
    <t>Сифон</t>
  </si>
  <si>
    <t>для раковины, пластиковый, размер 1 1/2"*40-50 мм, гофрированный</t>
  </si>
  <si>
    <t>Гофра на раковину, поддоны,унитазы</t>
  </si>
  <si>
    <t>22.19.30.500.002.12.0796.000000000002</t>
  </si>
  <si>
    <t>для душа, длина 1,6м</t>
  </si>
  <si>
    <t>шланг душевой</t>
  </si>
  <si>
    <t>Подводка для воды к раковинам</t>
  </si>
  <si>
    <t>22.21.29.300.001.00.0796.000000000000</t>
  </si>
  <si>
    <t>гибкий, для сливного бачка унитаза</t>
  </si>
  <si>
    <t>Подводка для воды к унитазам</t>
  </si>
  <si>
    <t>22.23.12.700.001.00.0796.000000000006</t>
  </si>
  <si>
    <t>для унитаза, ГОСТ 13449-82</t>
  </si>
  <si>
    <t>крышка для унитазов</t>
  </si>
  <si>
    <t>32.99.59.900.105.00.0704.000000000000</t>
  </si>
  <si>
    <t>Набор для ванной комнаты</t>
  </si>
  <si>
    <t>аксессуары для душевой, ванной, туалетной комнаты, в наборе мыльница, ерш, бумагодержатель и аналогичные принадлежности</t>
  </si>
  <si>
    <t>Душевой гарнитур (держатель, лейка, шланг)</t>
  </si>
  <si>
    <t>Лейка со шлангом биде</t>
  </si>
  <si>
    <t>28.14.12.330.000.00.0796.000000000007</t>
  </si>
  <si>
    <t>Смеситель</t>
  </si>
  <si>
    <t>для душа, однорукояточный, совмещенный</t>
  </si>
  <si>
    <t xml:space="preserve">Смеситель душевой </t>
  </si>
  <si>
    <t>Смеситель для ванн и душа короткий гусак настенного крепления.  Корпус латунь, наружное покрытие хромированное.</t>
  </si>
  <si>
    <t>25.93.15.700.001.01.0166.000000000000</t>
  </si>
  <si>
    <t>Пруток</t>
  </si>
  <si>
    <t>металлический, для низкотемпературной и высокотемпературной пайки и газовой сварки, с покрытием</t>
  </si>
  <si>
    <t>металл для токарных работ φ32</t>
  </si>
  <si>
    <t>24.34.12.900.000.00.0018.000000000034</t>
  </si>
  <si>
    <t>Проволока</t>
  </si>
  <si>
    <t>из углеродистой стали, номинальный диаметр 0,80 мм</t>
  </si>
  <si>
    <t>проволка вязальная</t>
  </si>
  <si>
    <t>24.10.31.100.000.01.0796.000000000000</t>
  </si>
  <si>
    <t>стальной, холоднокатаный, толщина 0,55 мм, оцинкованный</t>
  </si>
  <si>
    <t>22.19.30.500.000.01.0006.000000000000</t>
  </si>
  <si>
    <t>резиновый, с текстильным каркасом, поливочный, усиленный, диаметр 15 мм, ГОСТ 5398-76</t>
  </si>
  <si>
    <t>шланг армированный φ20</t>
  </si>
  <si>
    <t>27.90.13.900.001.00.0166.000000000075</t>
  </si>
  <si>
    <t>Электрод</t>
  </si>
  <si>
    <t>марка ОК, диаметр 3 мм, ГОСТ 9466-75</t>
  </si>
  <si>
    <t>23.99.11.500.001.00.0166.000000000008</t>
  </si>
  <si>
    <t>Картон</t>
  </si>
  <si>
    <t>асбестовый, марка КАОН-2, общего назначения, толщина 5,0 мм, ГОСТ 2850-95</t>
  </si>
  <si>
    <t>23.99.11.990.006.01.0166.000000000011</t>
  </si>
  <si>
    <t>Шнур</t>
  </si>
  <si>
    <t>теплоизоляционный/уплотнительный, асбестовый, марка ШАОН, общего назначения, диаметр-12,0 мм, ГОСТ 1779-83</t>
  </si>
  <si>
    <t>23.99.11.990.000.00.0055.000000000003</t>
  </si>
  <si>
    <t>Паронит</t>
  </si>
  <si>
    <t>марка ПОН-А, общего назначения, толщина 0,4 мм, ГОСТ 481-80</t>
  </si>
  <si>
    <t>23.99.11.990.000.00.0055.000000000010</t>
  </si>
  <si>
    <t>марка ПОН-А, общего назначения, толщина 5,0 мм, ГОСТ 481-80</t>
  </si>
  <si>
    <t>25.73.60.930.000.00.0796.000000000000</t>
  </si>
  <si>
    <t>Пластина</t>
  </si>
  <si>
    <t>тонкий слой твёрдого материала, прямоугольной, правильной формы</t>
  </si>
  <si>
    <t>Пластина для теплообменного оборудования</t>
  </si>
  <si>
    <t>23.99.11.990.003.00.0796.000000000000</t>
  </si>
  <si>
    <t>теплоизоляционная, асбостальная</t>
  </si>
  <si>
    <t>Прокладка для теплообменного оборудования</t>
  </si>
  <si>
    <t>23.99.11.100.000.00.0796.000000000000</t>
  </si>
  <si>
    <t>паронитовая, для фланцевых соединений машин и оборудования, ГОСТ 481-80</t>
  </si>
  <si>
    <t>25.93.16.900.000.02.0796.000000000000</t>
  </si>
  <si>
    <t>из стальной проволоки, спиральная</t>
  </si>
  <si>
    <t>пружина на ворота</t>
  </si>
  <si>
    <t>20.13.24.100.000.00.0112.000000000000</t>
  </si>
  <si>
    <t>Водород хлорид (кислота соляная)</t>
  </si>
  <si>
    <t>особой чистоты, ГОСТ 14261-77</t>
  </si>
  <si>
    <t>Реагент для чистки  теплообменников</t>
  </si>
  <si>
    <t>28.14.20.000.008.00.0166.000000000004</t>
  </si>
  <si>
    <t>Техпластина</t>
  </si>
  <si>
    <t>резинотканевая</t>
  </si>
  <si>
    <t>3мм</t>
  </si>
  <si>
    <t>6мм</t>
  </si>
  <si>
    <t>28.13.32.000.217.00.0796.000000000000</t>
  </si>
  <si>
    <t>Уплотнение торцевое</t>
  </si>
  <si>
    <t>к насосу</t>
  </si>
  <si>
    <t>22.19.73.100.000.00.0006.000000000000</t>
  </si>
  <si>
    <t>Трубчатая изоляция</t>
  </si>
  <si>
    <t>гибкая из вспененного каучука, толщина стенки 6 мм, диаметр 6 мм, ГОСТ 16381-77</t>
  </si>
  <si>
    <t xml:space="preserve">техническая теплоизоляция предназначена для поверхностей с положительными и отрицательными температурами (с учетом допустимого диапазона температур) </t>
  </si>
  <si>
    <t>20.59.41.990.002.07.0166.000000000000</t>
  </si>
  <si>
    <t>Смазка</t>
  </si>
  <si>
    <t>низкотемпературная, марка Циатим-203</t>
  </si>
  <si>
    <t>22.19.30.500.000.02.0796.000000000000</t>
  </si>
  <si>
    <t>резиновый, высокого давления, армированный, наружный диаметр 25 мм</t>
  </si>
  <si>
    <t>Шланг на фанкойл</t>
  </si>
  <si>
    <t>25.99.29.490.052.00.0796.000000000076</t>
  </si>
  <si>
    <t>Компенсатор</t>
  </si>
  <si>
    <t>фланцевый сильфонный поворотный, температура -260°С- +900°С, давление номинальное 16 Мпа, проход 500 мм, ГОСТ 27036-86</t>
  </si>
  <si>
    <t>Сильфонный компенсатор осевой ксо устанавливается в трубопроводах диаметром от 100 до 3000 мм. Рабочее давления от 0,1 до 10 МПа. Сильфонный компенсатор способен компенсировать осевые деформации трубопровода в пределах от 1 до 480 мм. В качестве рабочей среды выступает пар, вода, а также коррозионные жидкости слабой агрессивности</t>
  </si>
  <si>
    <t>25.99.29.490.052.00.0796.000000000005</t>
  </si>
  <si>
    <t>фланцевый, температура -40°С-+130°С, давление номинальное 16 Мпа, проход 125 мм, ГОСТ 27036-86</t>
  </si>
  <si>
    <t>Компенсатор антивибрационный</t>
  </si>
  <si>
    <t>22.21.29.700.008.00.0796.000000000000</t>
  </si>
  <si>
    <t>Мембрана</t>
  </si>
  <si>
    <t>материал корпуса - поливинилхлорид, тип - внутриполое волокно</t>
  </si>
  <si>
    <t>Мембрана для гидропневматического бака 1000л</t>
  </si>
  <si>
    <t>26.51.70.150.000.00.0796.000000000000</t>
  </si>
  <si>
    <t>Термостат</t>
  </si>
  <si>
    <t>электронный</t>
  </si>
  <si>
    <t>Пульт управления для систем кондиционирования, регулятор типа вкл/выкл для фанкойла (вентиляторного доводчика) со схемой подключеия типа  М</t>
  </si>
  <si>
    <t>28.13.31.000.057.00.0796.000000000000</t>
  </si>
  <si>
    <t>Регулятор уровня жидкости</t>
  </si>
  <si>
    <t>поплавковый регулятор уровня жидкости к насосу</t>
  </si>
  <si>
    <t>поплавок для насоса</t>
  </si>
  <si>
    <t>22.19.73.230.001.00.0796.000000000000</t>
  </si>
  <si>
    <t>резиновая, уплотнительная</t>
  </si>
  <si>
    <t>Прокладка резиновая</t>
  </si>
  <si>
    <t>26.11.40.500.002.00.0796.000000000001</t>
  </si>
  <si>
    <t>Датчик-реле</t>
  </si>
  <si>
    <t>диапазон измеряемого давления 0,02-0,6 МПа</t>
  </si>
  <si>
    <t>Реле давления 12 bar</t>
  </si>
  <si>
    <t>26.51.65.000.007.00.0796.000000000000</t>
  </si>
  <si>
    <t>Реле струйное</t>
  </si>
  <si>
    <t>для контроля потока масла трансформатора</t>
  </si>
  <si>
    <t>реле протока</t>
  </si>
  <si>
    <t>20.13.25.213.000.00.0166.000000000000</t>
  </si>
  <si>
    <t>Гидроксид натрия</t>
  </si>
  <si>
    <t>марка ТР, ГОСТ 2263-79</t>
  </si>
  <si>
    <t xml:space="preserve">Сода каустическая </t>
  </si>
  <si>
    <t>20.11.11.600.000.00.5108.000000000002</t>
  </si>
  <si>
    <t>Азот</t>
  </si>
  <si>
    <t>газзобразный, повышенной чистоты, сорт 1, ГОСТ 9293-74</t>
  </si>
  <si>
    <t>20.11.11.700.000.01.5108.000000000001</t>
  </si>
  <si>
    <t>Кислород</t>
  </si>
  <si>
    <t>технический, сорт 1, ГОСТ 5583-78</t>
  </si>
  <si>
    <t>19.20.29.560.000.00.0166.000000000002</t>
  </si>
  <si>
    <t>компрессорное, марка PGS-100</t>
  </si>
  <si>
    <t>19.20.29.530.000.00.0112.000000000003</t>
  </si>
  <si>
    <t>индустриальное, марка И-8А, ГОСТ 20799-88</t>
  </si>
  <si>
    <t>масло для токарного станка</t>
  </si>
  <si>
    <t>24.44.13.500.000.00.0166.000000000000</t>
  </si>
  <si>
    <t>Припой</t>
  </si>
  <si>
    <t>медно-фосфористый, сплав</t>
  </si>
  <si>
    <t>28.29.13.300.003.00.0796.000000000007</t>
  </si>
  <si>
    <t>масляный, для двигателя внутреннего сгорания, механический, войлочный</t>
  </si>
  <si>
    <t>фильтр масляный части оборудования холодильного небытового, включая испарители и конденсаторы</t>
  </si>
  <si>
    <t>28.25.30.100.004.00.0839.000000000000</t>
  </si>
  <si>
    <t>воздушный, для приточно-вытяжной вентиляционной установки, фильтрующий материал- химволокно (полиэстер) грубой очистки, панельный</t>
  </si>
  <si>
    <t>фильтр рамочный на кондиционер</t>
  </si>
  <si>
    <t>Элемент фильтра для компрессора</t>
  </si>
  <si>
    <t>24.45.30.279.001.00.0778.000000000000</t>
  </si>
  <si>
    <t>Порошок наплавочный</t>
  </si>
  <si>
    <t>на кобальтовой основе с другими компонентами, самофлюсующийся</t>
  </si>
  <si>
    <t>флюс для припоя</t>
  </si>
  <si>
    <t>28.25.13.700.000.00.0796.000000000001</t>
  </si>
  <si>
    <t>Насос тепловой</t>
  </si>
  <si>
    <t>компрессионного типа, с конденсатором в качестве теплообменника</t>
  </si>
  <si>
    <t>Насос предварительного давления чиллера</t>
  </si>
  <si>
    <t>20.14.19.300.000.00.0166.000000000000</t>
  </si>
  <si>
    <t>Тетрафторэтан (Фреон R134A)</t>
  </si>
  <si>
    <t>газ</t>
  </si>
  <si>
    <t>Хладагент R 134</t>
  </si>
  <si>
    <t>20.59.43.900.005.00.0166.000000000004</t>
  </si>
  <si>
    <t>Хладагент</t>
  </si>
  <si>
    <t>R-22 (Фреон R-22), газ</t>
  </si>
  <si>
    <t>20.59.43.900.005.00.0166.000000000000</t>
  </si>
  <si>
    <t>R-407С (Фреон R-407С), холодный газ</t>
  </si>
  <si>
    <t>20.14.19.100.000.00.5108.000000000000</t>
  </si>
  <si>
    <t>Фреон</t>
  </si>
  <si>
    <t>марка R-410а</t>
  </si>
  <si>
    <t>20.14.23.100.000.00.0166.000000000002</t>
  </si>
  <si>
    <t>Этиленгликоль (этандиол)</t>
  </si>
  <si>
    <t>концентрированный, ГОСТ 28084-89</t>
  </si>
  <si>
    <t>28.14.13.390.002.00.0796.000000000001</t>
  </si>
  <si>
    <t>Клапан запорный</t>
  </si>
  <si>
    <t>бронзовый, тип соединения - фланцевый, угловой, давление условное 40 Мпа, номинальный диаметр 10 мм</t>
  </si>
  <si>
    <t>Клапан терморегулирующий</t>
  </si>
  <si>
    <t>25.21.11.900.000.00.0840.000000000104</t>
  </si>
  <si>
    <t>Радиатор отопления</t>
  </si>
  <si>
    <t>биметалический, межосевое расстояние 500 мм, теплоотдача 161-203 Вт, ГОСТ 31311-2005</t>
  </si>
  <si>
    <t>840</t>
  </si>
  <si>
    <t>Секция</t>
  </si>
  <si>
    <t>26.51.53.900.021.00.0796.000000000009</t>
  </si>
  <si>
    <t>Анализатор биохимический</t>
  </si>
  <si>
    <t>автоматический, ограниченный спектр реагентов, свыше 600 тестов</t>
  </si>
  <si>
    <t>Тест на кислотность масла чиллера</t>
  </si>
  <si>
    <t>Тест на кислотность воды</t>
  </si>
  <si>
    <t>32.91.11.900.002.00.0796.000000000001</t>
  </si>
  <si>
    <t>щетка нейлоновая для чистки чиллера</t>
  </si>
  <si>
    <t>26.51.51.700.022.00.0796.000000000000</t>
  </si>
  <si>
    <t>Датчик избыточного давления-разрежения</t>
  </si>
  <si>
    <t>измерительный</t>
  </si>
  <si>
    <t>26.51.52.790.007.00.0796.000000000000</t>
  </si>
  <si>
    <t>Датчик предельного уровня жидкости</t>
  </si>
  <si>
    <t>рабочая температура -50 - 150 °C, рабочее давление до 100 бар, вязкость до 10000 мм2/с</t>
  </si>
  <si>
    <t>Контроллер уровня КНС</t>
  </si>
  <si>
    <t>Поплавковое реле уровня КНС</t>
  </si>
  <si>
    <t>Прокладка на электротен водонагревателя</t>
  </si>
  <si>
    <t>Фильтр рамочный на фанкойл</t>
  </si>
  <si>
    <t>28.25.30.100.004.00.0839.000000000001</t>
  </si>
  <si>
    <t>воздушный, для приточно-вытяжной вентиляционной установки, фильтрующий материал - полиэстер, карманный</t>
  </si>
  <si>
    <t>Фильтр рамочный на ЦК</t>
  </si>
  <si>
    <t>30.20.40.300.055.00.0796.000000000000</t>
  </si>
  <si>
    <t>Решетка вентиляционная</t>
  </si>
  <si>
    <t>для системы кондиционирования пассажирского вагона</t>
  </si>
  <si>
    <t>26.30.50.900.000.00.0796.000000000000</t>
  </si>
  <si>
    <t>Электропривод</t>
  </si>
  <si>
    <t>для управления противопожарными (огнезадерживающими) клапанами, напряжение питания 24 В</t>
  </si>
  <si>
    <t>27.11.22.300.000.00.0796.000000000151</t>
  </si>
  <si>
    <t>переменного тока, синхронный, однофазный, с номинальной частотой сети на 50 Гц, с синхронной частотой вращения 3000 мин, номинальная мощность 0,18 кВт, ГОСТ 16264.2-85</t>
  </si>
  <si>
    <t>25.93.14.800.004.00.0778.000000000000</t>
  </si>
  <si>
    <t>Заклепка</t>
  </si>
  <si>
    <t>из алюминия</t>
  </si>
  <si>
    <t>22.21.29.700.016.00.0796.000000000000</t>
  </si>
  <si>
    <t>Затвор</t>
  </si>
  <si>
    <t>из поливинилхлорида, дисковый, с ручкой, диаметр 16 мм</t>
  </si>
  <si>
    <t>затвор дисковый</t>
  </si>
  <si>
    <t>Привод клапана прочий</t>
  </si>
  <si>
    <t>08.93.10.900.005.00.0166.000000000002</t>
  </si>
  <si>
    <t>Соль техническая</t>
  </si>
  <si>
    <t>таблетированная</t>
  </si>
  <si>
    <t>23.99.14.000.007.00.0166.000000000000</t>
  </si>
  <si>
    <t>Набивка</t>
  </si>
  <si>
    <t>графитовая, сальниковая, из нитей графитовых, армированных лавсановыми нитями</t>
  </si>
  <si>
    <t>20.59.59.100.003.00.0796.000000000000</t>
  </si>
  <si>
    <t>Детергент</t>
  </si>
  <si>
    <t>высвобождающий агент, жидкость</t>
  </si>
  <si>
    <t>Средство для чистки сопел</t>
  </si>
  <si>
    <t>13.96.16.300.001.00.0166.000000000002</t>
  </si>
  <si>
    <t>пожарный, внутренний диаметр 66   , ГОСТ 7877-75</t>
  </si>
  <si>
    <t>26.30.60.000.012.00.0796.000000000000</t>
  </si>
  <si>
    <t>Кран пожарный</t>
  </si>
  <si>
    <t>внутренний, муфтовый</t>
  </si>
  <si>
    <t>28.21.11.500.002.00.0796.000000000043</t>
  </si>
  <si>
    <t>Горелка</t>
  </si>
  <si>
    <t>для жидкого топлива, газовая, топочная</t>
  </si>
  <si>
    <t>Горелка EN 267 EKO 4/34. Дизельная двухступенчатая, мощностью 240-360 кВт</t>
  </si>
  <si>
    <t>27.11.61.000.005.01.0796.000000000000</t>
  </si>
  <si>
    <t>масляный, для дизель-генераторной установки</t>
  </si>
  <si>
    <t>Маслянный фильтр дизельной станции</t>
  </si>
  <si>
    <t>27.11.61.000.005.02.0796.000000000000</t>
  </si>
  <si>
    <t>топливный, для электродвигателя</t>
  </si>
  <si>
    <t xml:space="preserve">Фильтр топливный тонкой очистки для дизельной электро станции </t>
  </si>
  <si>
    <t xml:space="preserve">Фильтр топливный грубой очистки для дизельной электро станции </t>
  </si>
  <si>
    <t>28.21.11.300.001.00.0796.000000000000</t>
  </si>
  <si>
    <t>Насос топливный</t>
  </si>
  <si>
    <t>для горелки</t>
  </si>
  <si>
    <t xml:space="preserve">Насос для горелки RL-38 cod 3474120,  bar max вращение по часовой, одноклапанный    </t>
  </si>
  <si>
    <t>28.13.14.150.000.00.0796.000000000018</t>
  </si>
  <si>
    <t>вертикальный многоступенчатый секционный, центробежный, мощность и частота вращения э/д  30/3000 кВ/об/мин</t>
  </si>
  <si>
    <t>Насос многоступенчатый, горизонтальный  Pump CPm158, двухклапанный, вращение по часовой</t>
  </si>
  <si>
    <t>Топливный насос котла RSA 60</t>
  </si>
  <si>
    <t>28.13.14.900.002.02.0796.000000000002</t>
  </si>
  <si>
    <t>центробежный, тип ЦНСв12,5-80, секционный, вертикальный</t>
  </si>
  <si>
    <t>Насос безбашенный,подъем воды 80 м, САМ 100/25НL</t>
  </si>
  <si>
    <t>25.21.13.000.001.00.0796.000000000000</t>
  </si>
  <si>
    <t>Электрод поджига</t>
  </si>
  <si>
    <t>для воспламенения топлива горелки котла отопления</t>
  </si>
  <si>
    <t>Электроды розжига для горелки RL-28. Размеры электрода ф-10 мм, L -180 мм разъем питания снаружи.</t>
  </si>
  <si>
    <t>Электроды розжига для горелки RL-38. Размеры электрода ф-10 мм, L -90 мм разъем питания внутри.</t>
  </si>
  <si>
    <t>25.93.15.100.000.00.0166.000000000000</t>
  </si>
  <si>
    <t>Электрод сварочный</t>
  </si>
  <si>
    <t>марка ЭВЧ, вольфрамовый</t>
  </si>
  <si>
    <t xml:space="preserve">Электроды вольфрамовые сварочные неплавящиеся. </t>
  </si>
  <si>
    <t>27.90.31.500.006.00.0796.000000000000</t>
  </si>
  <si>
    <t>Сопло</t>
  </si>
  <si>
    <t>для плазменной горелки (плазмотрона)</t>
  </si>
  <si>
    <t>Сопло на горелку котла</t>
  </si>
  <si>
    <t>28.11.41.900.015.00.0796.000000000001</t>
  </si>
  <si>
    <t>топливная</t>
  </si>
  <si>
    <t>Фосунка для горелки RL-38</t>
  </si>
  <si>
    <t>Фосунка для горелки RL-28</t>
  </si>
  <si>
    <t>25.21.13.000.020.01.0796.000000000001</t>
  </si>
  <si>
    <t>для газовых котлов, для измерения напора и тяги</t>
  </si>
  <si>
    <t xml:space="preserve">Фотоэлементы на котел. FC-13 </t>
  </si>
  <si>
    <t>28.12.20.900.032.00.0796.000000000000</t>
  </si>
  <si>
    <t>Клапан электромагнитный</t>
  </si>
  <si>
    <t>для гидравлической станции</t>
  </si>
  <si>
    <t xml:space="preserve">Электромагнитный клапан  R.B.L. 230v 50Hz </t>
  </si>
  <si>
    <t>Электронный блок поджига котла EN267</t>
  </si>
  <si>
    <t>32.99.59.400.000.00.0166.000000000001</t>
  </si>
  <si>
    <t>сальниковая, лубяная (пеньковая)</t>
  </si>
  <si>
    <t xml:space="preserve">Сальниковая набивка </t>
  </si>
  <si>
    <t>20.59.56.200.000.01.0166.000000000000</t>
  </si>
  <si>
    <t>Флюс</t>
  </si>
  <si>
    <t>сварочный</t>
  </si>
  <si>
    <t>Флюс для припоя</t>
  </si>
  <si>
    <t>24.20.40.500.006.00.0796.000000000001</t>
  </si>
  <si>
    <t>стальной, сварной, ГОСТ 24138-80</t>
  </si>
  <si>
    <t>23.99.11.990.006.01.0166.000000000014</t>
  </si>
  <si>
    <t>теплоизоляционный/уплотнительный, асбестовый, марка ШАОН, общего назначения, диаметр-20,0 мм, ГОСТ 1779-83</t>
  </si>
  <si>
    <t>диаметр 20 мм.</t>
  </si>
  <si>
    <t>26.11.40.500.002.00.0796.000000000000</t>
  </si>
  <si>
    <t>диапазон измеряемого давления 0,1-1,0 МПа</t>
  </si>
  <si>
    <t>Реле давления</t>
  </si>
  <si>
    <t>Реле давления для насосной группы</t>
  </si>
  <si>
    <t>27.51.23.790.000.00.0796.000000000000</t>
  </si>
  <si>
    <t>Электроутюг</t>
  </si>
  <si>
    <t>с парогенератором, подошва из алюминия, мощность бойлера не более 1500 Вт, объем бойлера не более 2 л, рабочее давление не более 5 Бар</t>
  </si>
  <si>
    <t>27.51.24.300.000.00.0796.000000000003</t>
  </si>
  <si>
    <t>Электрочайник</t>
  </si>
  <si>
    <t>скрытый, объем не менее 2 л</t>
  </si>
  <si>
    <t>27.51.27.000.000.00.0796.000000000001</t>
  </si>
  <si>
    <t>Печь микроволновая</t>
  </si>
  <si>
    <t>стальная, из керамической эмали, емкость 19-22 л, без гриля</t>
  </si>
  <si>
    <t>Мощность 900 Вт, объем 28 л, переключатели сенсорные, дисплей цифровой</t>
  </si>
  <si>
    <t>подошва нержавеющая сталь, мощность 1400 Вт</t>
  </si>
  <si>
    <t>27.51.21.100.000.01.0796.000000000000</t>
  </si>
  <si>
    <t>Пылесос</t>
  </si>
  <si>
    <t>для сухой уборки, пылесборник мешковой</t>
  </si>
  <si>
    <t>2100/450 Вт, объем пылесборника 2 л, регулировка на ручке</t>
  </si>
  <si>
    <t>27.51.24.300.000.00.0796.000000000002</t>
  </si>
  <si>
    <t>скрытый, объем 1,5-1,99 л</t>
  </si>
  <si>
    <t>Электрический чайник , объём 1,7 л, мощность 2400 закрытая спираль.</t>
  </si>
  <si>
    <t>27.51.23.300.001.00.0796.000000000001</t>
  </si>
  <si>
    <t>для волос, диффузор</t>
  </si>
  <si>
    <t>4 режима скорости, регулировка температуры</t>
  </si>
  <si>
    <t>27.51.23.730.000.00.0796.000000000000</t>
  </si>
  <si>
    <t>с пароувлажнением, подошва из титана</t>
  </si>
  <si>
    <t>мощность 2400Вт, вертикальное отпаривание,защита от накипи,объём резервуара 350 мл</t>
  </si>
  <si>
    <t>26.30.60.000.027.00.0796.000000000000</t>
  </si>
  <si>
    <t>Контроллер</t>
  </si>
  <si>
    <t>автономный</t>
  </si>
  <si>
    <t>Контроллер двухпроводной линии связи. С2000 КДЛ</t>
  </si>
  <si>
    <t>26.30.60.000.020.00.0796.000000000005</t>
  </si>
  <si>
    <t>Извещатель пожарный</t>
  </si>
  <si>
    <t>дымовой, оптический</t>
  </si>
  <si>
    <t xml:space="preserve">Извещатель пожарный дымовой оптикоэлектронный адресно-аналоговый.   </t>
  </si>
  <si>
    <t>26.30.60.000.020.00.0796.000000000003</t>
  </si>
  <si>
    <t>тепловой, максимально-дифференциальный</t>
  </si>
  <si>
    <t xml:space="preserve">Извещатель пожарный, тепловой максимально-дифференциальный </t>
  </si>
  <si>
    <t>26.30.60.000.020.00.0796.000000000001</t>
  </si>
  <si>
    <t xml:space="preserve">Извещатель пожарный ручной электроконтактный </t>
  </si>
  <si>
    <t>26.30.60.000.020.00.0796.000000000006</t>
  </si>
  <si>
    <t>пламени</t>
  </si>
  <si>
    <t xml:space="preserve">Извещатель пожарный пламени </t>
  </si>
  <si>
    <t>26.30.60.000.029.00.0796.000000000000</t>
  </si>
  <si>
    <t>Устройство</t>
  </si>
  <si>
    <t>исполнительное, блокирующего типа</t>
  </si>
  <si>
    <t>Исполнительный релейный блок С2000-СП2</t>
  </si>
  <si>
    <t>26.40.51.800.003.00.0796.000000000000</t>
  </si>
  <si>
    <t>Блок бесперебойного питания</t>
  </si>
  <si>
    <t>для систем видеонаблюдения</t>
  </si>
  <si>
    <t>Блок бесперебойного питания  ИВЭПР-112-2-1</t>
  </si>
  <si>
    <t xml:space="preserve">Аккумулятор 12В, 7Ач N/A </t>
  </si>
  <si>
    <t>26.30.50.900.014.00.0796.000000000000</t>
  </si>
  <si>
    <t>Пульт</t>
  </si>
  <si>
    <t>контроля и управления, охранно-пожарный</t>
  </si>
  <si>
    <t>С 2000</t>
  </si>
  <si>
    <t>Исполнительный релейный блок С2000-СП1</t>
  </si>
  <si>
    <t>Контроллер доступа С 2002</t>
  </si>
  <si>
    <t>26.20.30.100.019.00.0796.000000000000</t>
  </si>
  <si>
    <t>Устройство считывающее</t>
  </si>
  <si>
    <t>магнитное</t>
  </si>
  <si>
    <t>Считыватель Proxy</t>
  </si>
  <si>
    <t>26.30.30.900.067.00.0796.000000000000</t>
  </si>
  <si>
    <t>Кнопка</t>
  </si>
  <si>
    <t>К3-1</t>
  </si>
  <si>
    <t>Кнопка выхода металлическая, со светодиодной индикацией, антивандальная, максимальное коммутируемое напряжение 30 В, максимальный ток 70мА, 50*50*10 мм</t>
  </si>
  <si>
    <t>25.72.12.900.000.00.0796.000000000000</t>
  </si>
  <si>
    <t>Врезной электромеханический роторный до 1000кг., Питание 12V 450mA. 209х31х41</t>
  </si>
  <si>
    <t>26.30.60.000.031.00.0839.000000000000</t>
  </si>
  <si>
    <t>Датчик магнито-контактный</t>
  </si>
  <si>
    <t>для сигнализации тревожной и противопожарной</t>
  </si>
  <si>
    <t xml:space="preserve">Датчик магнитоконтактный скрытый для дверей  </t>
  </si>
  <si>
    <t>Электромагнитный замок. Усиление на отрыв 180 кг. Напряжение 12VDC/320mA, 170х39,5х20</t>
  </si>
  <si>
    <t>26.30.50.900.020.00.0796.000000000000</t>
  </si>
  <si>
    <t>Датчик движения</t>
  </si>
  <si>
    <t>для охранной сигнализации</t>
  </si>
  <si>
    <t xml:space="preserve">Датчик движения ИК, внутренней установки </t>
  </si>
  <si>
    <t>26.30.60.000.000.00.0796.000000000001</t>
  </si>
  <si>
    <t>Извещатель охранный</t>
  </si>
  <si>
    <t>радиолучевой</t>
  </si>
  <si>
    <t xml:space="preserve">Датчик разрушения стекла акустический, 14мА, 12В </t>
  </si>
  <si>
    <t xml:space="preserve">ИК датчик движения потолочный 360º </t>
  </si>
  <si>
    <t>26.40.33.900.003.00.0796.000000000003</t>
  </si>
  <si>
    <t>Видеокамера</t>
  </si>
  <si>
    <t>аналоговая, для видеонаблюдения, купольная, уличная, разрешение 700 ТВЛ</t>
  </si>
  <si>
    <t>700TVL 1/3" HDIS 0,05люкс, купольная камера, внутр. пластик, фикс. объектив 3,6мм</t>
  </si>
  <si>
    <t>700TVL 1/3" Super HAD CCD II 0,02люкс, IP66 камера внешн -30..+60С, металл, вар. объектив 2,8-12мм, автодиафрагма, интеллект ИК подсветка 30м,</t>
  </si>
  <si>
    <t xml:space="preserve">ББП – 20М </t>
  </si>
  <si>
    <t>26.40.42.300.000.00.0796.000000000004</t>
  </si>
  <si>
    <t>Громкоговоритель</t>
  </si>
  <si>
    <t>потолочный</t>
  </si>
  <si>
    <t>Потолочный громкоговоритель, 10 Вт</t>
  </si>
  <si>
    <t>26.40.31.900.000.00.0796.000000000000</t>
  </si>
  <si>
    <t>Колонка</t>
  </si>
  <si>
    <t>звуковая</t>
  </si>
  <si>
    <t>Акустическая колонка настенная 20 Вт</t>
  </si>
  <si>
    <t>22.21.29.700.010.00.0796.000000000002</t>
  </si>
  <si>
    <t>нейлоновый</t>
  </si>
  <si>
    <t>Дюбель-хомут нейлон, размер 5*10 мм, предназначен для крепления кабеля (провода), пучков кабелей (проводов), металлорукава и гофрорукава к бетону и сплошному кирпичу</t>
  </si>
  <si>
    <t>27.51.30.900.005.00.0796.000000000000</t>
  </si>
  <si>
    <t>Элемент электронагревательный</t>
  </si>
  <si>
    <t>к водонагревателю</t>
  </si>
  <si>
    <t>Тэн для подогрева бассейна, мощность 12кВ, трех фазный</t>
  </si>
  <si>
    <t>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t>
  </si>
  <si>
    <t>Антивирус Kaspersky 2016 Desktop (на 2 ПК)</t>
  </si>
  <si>
    <t xml:space="preserve">Антивирус Kaspersky 2016 Desktop </t>
  </si>
  <si>
    <t>22.21.30.100.002.00.5111.000000000002</t>
  </si>
  <si>
    <t>для ламинирования, размер 210*297 мм, в пачке 100 штук</t>
  </si>
  <si>
    <t xml:space="preserve"> формата А4</t>
  </si>
  <si>
    <t>26.30.30.900.068.01.0796.000000000005</t>
  </si>
  <si>
    <t>Разъем</t>
  </si>
  <si>
    <t>телефонный, коннектор модульный RJ45</t>
  </si>
  <si>
    <t>Коннекторы RJ45 для оконечивания кабелей типа UTP cat5,6</t>
  </si>
  <si>
    <t>26.30.30.900.068.01.0796.000000000001</t>
  </si>
  <si>
    <t>телефонный, коннектор модульный RJ11</t>
  </si>
  <si>
    <t>Коннекторы RJ11 для оконечивания кабелей типа КРВПМ</t>
  </si>
  <si>
    <t>26.30.30.900.093.00.0796.000000000007</t>
  </si>
  <si>
    <t>RJ 45, 2 порта</t>
  </si>
  <si>
    <t>Двойная розеточная группа наружняя RJ45</t>
  </si>
  <si>
    <t>26.20.21.300.000.00.0796.000000000026</t>
  </si>
  <si>
    <t>Диск жесткий внешний</t>
  </si>
  <si>
    <t>размер 2,5'', интерфейс USB 3.0, емкость 1 Тб</t>
  </si>
  <si>
    <t>26.20.15.000.000.00.0796.000000000001</t>
  </si>
  <si>
    <t>Клавиатура</t>
  </si>
  <si>
    <t>мультимедийная</t>
  </si>
  <si>
    <t>27.20.11.900.003.00.0796.000000000006</t>
  </si>
  <si>
    <t>Батарейка</t>
  </si>
  <si>
    <t>тип АА</t>
  </si>
  <si>
    <t>27.20.11.900.003.00.0796.000000000007</t>
  </si>
  <si>
    <t>тип АА, перезаряжаемая</t>
  </si>
  <si>
    <t>27.20.11.900.003.00.0796.000000000004</t>
  </si>
  <si>
    <t>тип ААА, перезаряжаемая</t>
  </si>
  <si>
    <t>27.20.11.900.003.00.0796.000000000003</t>
  </si>
  <si>
    <t>тип ААА</t>
  </si>
  <si>
    <t>26.30.21.200.001.00.0796.000000000003</t>
  </si>
  <si>
    <t>Коммутационная панель (кросс-панель, патч-панель)</t>
  </si>
  <si>
    <t>количество портов 24, тип разъема RJ45, одной или нескольких  3,5,5e,6,6А,7</t>
  </si>
  <si>
    <t>Коммутационная панель (UTP 24xRJ45,1U, 24-port, Сat. 6)</t>
  </si>
  <si>
    <t>27.32.13.700.002.00.0006.000000000263</t>
  </si>
  <si>
    <t>Провод</t>
  </si>
  <si>
    <t>марка ПКСВ, 2*0,4 мм2</t>
  </si>
  <si>
    <t>25.94.13.900.001.00.0796.000000000002</t>
  </si>
  <si>
    <t>для обслуживания компьютерных сетей, в наборе 19 предметов</t>
  </si>
  <si>
    <t>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</si>
  <si>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25.94.13.900.001.00.0796.000000000003</t>
  </si>
  <si>
    <t>для обслуживания компьютерных сетей, в наборе 41 предметов</t>
  </si>
  <si>
    <t>27.90.31.900.027.00.0796.000000000000</t>
  </si>
  <si>
    <t>Аппарат</t>
  </si>
  <si>
    <t>сварочный, для сварки оптических волокон</t>
  </si>
  <si>
    <t xml:space="preserve">Типы свариваемых волокон SM, MM, DS, NZ-DS, EDF. Диаметр свариваемого волокна 100-150 нм Диаметр оболочки волокна 100-1000 нм Длина зачищаемого волокна 8-22 мм. Програма сварки  Автоматическая или настраиваемая Потери при сварке 0.02 дБ (SM) 0.01 дБ (MM) 0.04 дБ (DS) 0.04 дБ (NZDS). Отражение от сварного соединения ≤ 60 дБ Рабочие условия Температура: от -40 до +80; Влажность: от 0 до 95%. Совместимые КЗДС 20, 40, 60 мм и другие Тест на растяжение 2.0 N Русский язык Да Интерфейсы USB, VGA. Питание Встроеный аккумулятор (12 В, 10 Ач, ресурс 200 циклов сварки/термоусадки); От сети: DC адаптер 12 В. Размеры 150х160х140 мм Вес 2.8 кг 4 режима отображения волокна, просмотр сердцевины; Допустимая скорость ветра 15 м/с; Две печки для термоусадки, время усадки 30 сек.; Режим сварки - настраиваемый или автоматический; Литиевый аккумулятор; Время сварки 8 сек.; 3 режима увеличения изображения волокон, максимально х360; Интерфейсы USB, VGA. LCD дисплей высокого разрешения; Технология сведения волокон по сердцевине PAS; Выравнивание волокон как по сердцевине, так и по оболочке; Хранение 8000 результатов сварки; </t>
  </si>
  <si>
    <t>26.51.66.900.004.00.0839.000000000000</t>
  </si>
  <si>
    <t>Тестер</t>
  </si>
  <si>
    <t>кабельный, для проверки состояния оптических кабелей и линий</t>
  </si>
  <si>
    <t>27.32.13.500.001.04.0006.000000000000</t>
  </si>
  <si>
    <t>коммутационный, FTP</t>
  </si>
  <si>
    <t>26.20.13.000.008.01.0839.000000000000</t>
  </si>
  <si>
    <t>Компьютер</t>
  </si>
  <si>
    <t>персональный, универсальный (решающий широкий круг задач), Среднепроизводительный, в комплекте системный блок, монитор, клавиатура, мышь, СТ РК 1996-2010</t>
  </si>
  <si>
    <t>26.20.16.300.006.00.0796.000000000001</t>
  </si>
  <si>
    <t>Принтер лазерный</t>
  </si>
  <si>
    <t>монохромный, формат А4, скорость печати менее 20 стр/м, разрешение 600*600 dpi</t>
  </si>
  <si>
    <t>16.29.14.900.004.00.0796.000000000000</t>
  </si>
  <si>
    <t>Вешалка-плечики</t>
  </si>
  <si>
    <t>цвет:бук</t>
  </si>
  <si>
    <t>32.99.59.900.001.00.0796.000000000001</t>
  </si>
  <si>
    <t>Номерок</t>
  </si>
  <si>
    <t>гардеробный, пластмассовый</t>
  </si>
  <si>
    <t>пластик толщина 0,5-3,2 мм</t>
  </si>
  <si>
    <t>28.94.21.300.005.00.0796.000000000000</t>
  </si>
  <si>
    <t>Доска</t>
  </si>
  <si>
    <t>гладильная</t>
  </si>
  <si>
    <t>размер 1220*345 мм, два положения высоты 700 мм и 850 мм. Подставка EURO  под утюг с термостойками силиконовыми заклепками, специально для утюгов с тефлоновым покрытием съемный подрукавник. Два положения утюга.</t>
  </si>
  <si>
    <t>28.29.32.300.001.00.0796.000000000030</t>
  </si>
  <si>
    <t>Весы бытовые</t>
  </si>
  <si>
    <t>напольные, предел взвешивания 200 кг</t>
  </si>
  <si>
    <t>весы электронные, максимальный вес 180 кг,  ультратонкий дизайн, закаленное безопасное стекло, автомат.вкл,выкл</t>
  </si>
  <si>
    <t>22.19.72.000.004.00.0055.000000000000</t>
  </si>
  <si>
    <t>Коврик</t>
  </si>
  <si>
    <t>резиновый, для ванной комнаты</t>
  </si>
  <si>
    <t>Коврики для сауны, прорезинненые коврики из ПХВ, голубой оттенок, шир. 90 см</t>
  </si>
  <si>
    <t>22.19.72.000.004.00.0796.000000000001</t>
  </si>
  <si>
    <t>Коврики для душевых с ворсом</t>
  </si>
  <si>
    <t>32.99.59.900.060.00.0704.000000000001</t>
  </si>
  <si>
    <t>Набор для сауны</t>
  </si>
  <si>
    <t>состоит из: бадьи, ковша-черпака</t>
  </si>
  <si>
    <t xml:space="preserve">Деревяная шайка с пластиковой емкостью 12литров , деревяный ковш 48 см </t>
  </si>
  <si>
    <t>26.51.51.100.001.00.0796.000000000197</t>
  </si>
  <si>
    <t>ТР-1, диапазон измерения температуры 0-40 °С</t>
  </si>
  <si>
    <t xml:space="preserve">Термометр в хромированной оболочке. Специальный нейлоновый шнур с карабином на конце, идущий в комплекте с термометром позволяет зафиксировать местоположение термометра в нужной части бассейна. </t>
  </si>
  <si>
    <t>26.51.51.700.017.00.0796.000000000000</t>
  </si>
  <si>
    <t>Термогигрометр</t>
  </si>
  <si>
    <t>Термогигрометр в рамке, 175 х 250 мм. Приборы д. 160 мм.</t>
  </si>
  <si>
    <t>22.23.12.900.013.00.0796.000000000035</t>
  </si>
  <si>
    <t>Шторка</t>
  </si>
  <si>
    <t>для душа, пластиковая, с двухсторонним открываением, высота 185 см, ширина 150-140 мм</t>
  </si>
  <si>
    <t>Изготовлено из плотного текстильного материала пропитанного специальным водостойким составом. Верхний край с двойным загибом и пластиковыми отверствиями для 12 колец. Разм. 160х180 см.</t>
  </si>
  <si>
    <t>цвет светлое дерево</t>
  </si>
  <si>
    <t>31.01.12.900.007.00.0796.000000000000</t>
  </si>
  <si>
    <t>Вешалка</t>
  </si>
  <si>
    <t>напольная, деревянная, не менее 4-х рожков</t>
  </si>
  <si>
    <t>Вешалка напольная ,цвет чёрный,изготовленна из прочной стали,габариты упаковки 500/500/150мм.</t>
  </si>
  <si>
    <t>15.20.32.990.004.00.0715.000000000004</t>
  </si>
  <si>
    <t>Тапки</t>
  </si>
  <si>
    <t>одноразовые, общего назначения, хлопчатобумажные</t>
  </si>
  <si>
    <t>махровые с закрытым носиком, белые, плотность 220 г/м2, подошва 5мм</t>
  </si>
  <si>
    <t>15.20.13.700.000.00.0715.000000000000</t>
  </si>
  <si>
    <t>мужские, общего назначения, из кожи, ГОСТ 1135-2005</t>
  </si>
  <si>
    <t>32.99.59.900.059.00.0796.000000000001</t>
  </si>
  <si>
    <t>для мытья тела</t>
  </si>
  <si>
    <t>Губка для душа средней жесткости.</t>
  </si>
  <si>
    <t>32.99.59.900.061.00.0796.000000000000</t>
  </si>
  <si>
    <t>Пояс банный (мочалка)</t>
  </si>
  <si>
    <t>из синтетических материалов, средней жесткости</t>
  </si>
  <si>
    <t>мочалка из сизаля и микрофибры, с ручками,р-р 0,6 х 0,1</t>
  </si>
  <si>
    <t>14.19.41.300.001.00.0796.000000000000</t>
  </si>
  <si>
    <t>фетровый</t>
  </si>
  <si>
    <t>Шапочка банная, материал: фетр, цвет: белая. Без надписей.</t>
  </si>
  <si>
    <t>20.53.10.500.001.00.0872.000000000000</t>
  </si>
  <si>
    <t>Концентрат эфирных масел</t>
  </si>
  <si>
    <t>экстракт различных растений и цветов</t>
  </si>
  <si>
    <t>Масла эфирные для бани и сауны, изготовлены из трав</t>
  </si>
  <si>
    <t>Мужские сланцы с дренажной системой отвода воды ARENA HyDroft, верх выполнен из ПХВ, подошва из ЭВА, межподошва из амортизирующего филона</t>
  </si>
  <si>
    <t>15.20.11.200.000.00.0715.000000000000</t>
  </si>
  <si>
    <t>Тапочки (сланцы)</t>
  </si>
  <si>
    <t>мужские, казарменные, резиновые, СТ РК 1592-2006</t>
  </si>
  <si>
    <t>28.30.60.300.004.00.0796.000000000000</t>
  </si>
  <si>
    <t>Фумигатор</t>
  </si>
  <si>
    <t>для дезинсекции и дезинфекции</t>
  </si>
  <si>
    <t xml:space="preserve">Универсальный электрофумигатор </t>
  </si>
  <si>
    <t>22.29.29.900.084.00.0796.000000000000</t>
  </si>
  <si>
    <t>Рожок</t>
  </si>
  <si>
    <t>пластмассовый, для обуви</t>
  </si>
  <si>
    <t>75 см.,из металла, цвет коричневый</t>
  </si>
  <si>
    <t>32.91.11.900.002.00.0796.000000000003</t>
  </si>
  <si>
    <t>одежная</t>
  </si>
  <si>
    <t>Двуликий янус,щетка два в одном. Материал каучук,цвет зеленый, двусторонняя щетка с ручкой продолговатой формы.</t>
  </si>
  <si>
    <t>32.99.59.990.017.00.0704.000000000000</t>
  </si>
  <si>
    <t>Набор для чистки одежды и обуви</t>
  </si>
  <si>
    <t>в наборе 5 предметов</t>
  </si>
  <si>
    <t>Набор из 4х предметов в сумочке:крем бесцветный, щетка для обуви,губка с пропиткой из силикона,пропитка для обуви</t>
  </si>
  <si>
    <t>рукосушитель</t>
  </si>
  <si>
    <t>17.23.12.700.012.00.5111.000000000000</t>
  </si>
  <si>
    <t>для заметок, формат блока 9*9 см</t>
  </si>
  <si>
    <t>17.23.12.700.005.00.0796.000000000000</t>
  </si>
  <si>
    <t>ежедневник</t>
  </si>
  <si>
    <t>формат А5, датированный</t>
  </si>
  <si>
    <t>с фирменным логотипом Заказчика</t>
  </si>
  <si>
    <t>17.23.13.130.000.00.0796.000000000000</t>
  </si>
  <si>
    <t>Журнал</t>
  </si>
  <si>
    <t>регистрации</t>
  </si>
  <si>
    <t>Журнал по нарядам и распоряжениям, твердый переплет, 50 листов</t>
  </si>
  <si>
    <t>17.23.13.130.000.00.0796.000000000001</t>
  </si>
  <si>
    <t>учета</t>
  </si>
  <si>
    <t>для заявок</t>
  </si>
  <si>
    <t>17.23.13.310.000.00.0796.000000000002</t>
  </si>
  <si>
    <t>Тетрадь</t>
  </si>
  <si>
    <t>общая, 48 листов, ГОСТ 13309-90</t>
  </si>
  <si>
    <t>обложка многокрасочная, мелованный картон, блок из офсета, на двойной евроспирали, клетка 170х203, формат А5, 48 листов.</t>
  </si>
  <si>
    <t>17.23.13.310.000.00.0796.000000000005</t>
  </si>
  <si>
    <t>общая, 96 листов, ГОСТ 13309-90</t>
  </si>
  <si>
    <t xml:space="preserve">обложка картон мелованный, ламинированный, нижняя обложка - плотный картон; скрепление скобами; клетка, 220х295, формат А4 </t>
  </si>
  <si>
    <t>22.29.25.900.002.00.0796.000000000000</t>
  </si>
  <si>
    <t>Файл - вкладыш</t>
  </si>
  <si>
    <t>с перфорацией, для документов, размер 235*305 мм</t>
  </si>
  <si>
    <t>плотность - 100 мкм</t>
  </si>
  <si>
    <t>22.29.25.900.002.00.0796.000000000002</t>
  </si>
  <si>
    <t>из полипропиленовой пленки</t>
  </si>
  <si>
    <t>формат А3, с перфорацией</t>
  </si>
  <si>
    <t>22.29.25.900.003.00.0796.000000000000</t>
  </si>
  <si>
    <t>Файл-уголок</t>
  </si>
  <si>
    <t>формат А4</t>
  </si>
  <si>
    <t>размер А4, плотный полиэтилен, с раделением сбоку прозрачный</t>
  </si>
  <si>
    <t>22.29.25.700.000.00.0796.000000000010</t>
  </si>
  <si>
    <t>Папка</t>
  </si>
  <si>
    <t>20 вкладышей, пластиковая, формат A4, 50 мм</t>
  </si>
  <si>
    <t>22.29.25.700.000.00.0796.000000000000</t>
  </si>
  <si>
    <t>регистратор, пластиковая, формат А4, 50 мм</t>
  </si>
  <si>
    <t>цвет - синий</t>
  </si>
  <si>
    <t>22.29.25.700.000.00.0796.000000000001</t>
  </si>
  <si>
    <t>регистратор, пластиковая, формат А4, 70 мм</t>
  </si>
  <si>
    <t>17.23.13.500.001.00.0796.000000000002</t>
  </si>
  <si>
    <t>из мелованного картона, формат А4, плотность от 250 до 300 г/м2</t>
  </si>
  <si>
    <t xml:space="preserve">папка формат А4,  плотный картон, темно синий цвет, логотип Товарищества  </t>
  </si>
  <si>
    <t>22.29.25.700.003.00.0796.000000000000</t>
  </si>
  <si>
    <t>Обложка</t>
  </si>
  <si>
    <t>для переплета, формат А4, прозрачная</t>
  </si>
  <si>
    <t>22.29.25.700.003.00.0796.000000000001</t>
  </si>
  <si>
    <t>для переплета, формат А4, непрозрачная</t>
  </si>
  <si>
    <t>22.29.25.700.007.00.0796.000000000004</t>
  </si>
  <si>
    <t>для переплета, пластиковая, диаметр 8 мм</t>
  </si>
  <si>
    <t>22.29.25.700.007.00.0796.000000000006</t>
  </si>
  <si>
    <t>для переплета, пластиковая, диаметр 12 мм</t>
  </si>
  <si>
    <t>22.29.25.500.004.01.0796.000000000005</t>
  </si>
  <si>
    <t>пластиковая, шариковая</t>
  </si>
  <si>
    <t>синий стержень</t>
  </si>
  <si>
    <t>22.29.25.500.004.01.0796.000000000002</t>
  </si>
  <si>
    <t>пластиковая, гелевая</t>
  </si>
  <si>
    <t>32.99.15.100.000.00.0796.000000000003</t>
  </si>
  <si>
    <t>Карандаш</t>
  </si>
  <si>
    <t>простой, с ластиком</t>
  </si>
  <si>
    <t>22.29.25.500.000.00.0704.000000000004</t>
  </si>
  <si>
    <t>Маркер</t>
  </si>
  <si>
    <t>пластиковый, скошенный, наконечник 1-5 мм, перманентный (нестираемый)</t>
  </si>
  <si>
    <t>22.29.25.500.006.00.0796.000000000001</t>
  </si>
  <si>
    <t>карандаш, 30 грамм</t>
  </si>
  <si>
    <t>22.29.25.500.005.00.0796.000000000013</t>
  </si>
  <si>
    <t>Линейка</t>
  </si>
  <si>
    <t>пластмассовая, прозрачная, цветная с белой шкалой, 25 см</t>
  </si>
  <si>
    <t>17.23.12.700.013.00.5111.000000000000</t>
  </si>
  <si>
    <t>Стикер</t>
  </si>
  <si>
    <t>для заметок, бумажный, самоклеющийся</t>
  </si>
  <si>
    <t>с липким краем, для заметок, разноцветные</t>
  </si>
  <si>
    <t>17.23.12.700.013.00.0796.000000000001</t>
  </si>
  <si>
    <t>для наклеивания на бумагу (постики-флажки), самоклеющийся</t>
  </si>
  <si>
    <t>32.99.59.900.082.00.0796.000000000000</t>
  </si>
  <si>
    <t>Штрих-корректор</t>
  </si>
  <si>
    <t>с кисточкой</t>
  </si>
  <si>
    <t>штрих-корректор, в форме ручки</t>
  </si>
  <si>
    <t>32.99.16.300.006.00.0796.000000000000</t>
  </si>
  <si>
    <t>Краска штемпельная</t>
  </si>
  <si>
    <t>для печатей и штемпелей</t>
  </si>
  <si>
    <t>32.99.14.550.003.00.0796.000000000001</t>
  </si>
  <si>
    <t>Точилка</t>
  </si>
  <si>
    <t>для подтачивания грифельного карандаша, ручная</t>
  </si>
  <si>
    <t>22.19.73.210.000.00.0796.000000000000</t>
  </si>
  <si>
    <t>Ластик</t>
  </si>
  <si>
    <t>мягкий</t>
  </si>
  <si>
    <t>Приспособление для стирания написанного (мягкий)</t>
  </si>
  <si>
    <t>32.99.59.900.084.00.0778.000000000001</t>
  </si>
  <si>
    <t>полиэтиленовый, ширина свыше 3 см, односторонний</t>
  </si>
  <si>
    <t>широкий, свыше 3 см, размер 48мм/200м. Прозрачный.</t>
  </si>
  <si>
    <t>32.99.59.900.084.00.0778.000000000000</t>
  </si>
  <si>
    <t>полиэтиленовый, ширина до 3 см, односторонний</t>
  </si>
  <si>
    <t>узкий, до 3 см, размер 19мм/33м</t>
  </si>
  <si>
    <t>25.99.23.300.000.00.0778.000000000001</t>
  </si>
  <si>
    <t>Зажим</t>
  </si>
  <si>
    <t>размер 19 мм</t>
  </si>
  <si>
    <t>в упаковке по 12 шт</t>
  </si>
  <si>
    <t>25.99.23.300.000.00.5111.000000000000</t>
  </si>
  <si>
    <t>размер 32 мм</t>
  </si>
  <si>
    <t>25.99.23.300.000.00.5111.000000000001</t>
  </si>
  <si>
    <t>размер 41 мм</t>
  </si>
  <si>
    <t>25.99.23.500.000.01.0778.000000000003</t>
  </si>
  <si>
    <t>Скрепка</t>
  </si>
  <si>
    <t>металлическая, размер 28 мм</t>
  </si>
  <si>
    <t>Скрепки для бумаг. Размер 28 мм, 100 штук в упаковке</t>
  </si>
  <si>
    <t>28.23.23.900.003.00.0796.000000000000</t>
  </si>
  <si>
    <t>Антистеплер</t>
  </si>
  <si>
    <t>для скоб</t>
  </si>
  <si>
    <t>Устройство для вытаскивания скоб от степлера. Устройство состоит из двух противостоящих клинов на оси.6</t>
  </si>
  <si>
    <t>28.23.23.900.005.00.0796.000000000000</t>
  </si>
  <si>
    <t>канцелярский, механический</t>
  </si>
  <si>
    <t>стальной с дополнительным механизмом для более легкого нажатия на 60%. Скобы №24/6 . Раскрытие 90мм. Объем скрепления 25 листов. Скобы вставляются сверху.</t>
  </si>
  <si>
    <t>25.99.23.500.001.00.0778.000000000000</t>
  </si>
  <si>
    <t>Скоба</t>
  </si>
  <si>
    <t>для канцелярских целей, проволочная</t>
  </si>
  <si>
    <t xml:space="preserve"> Скобы проволочные для степлера, размер: №24/6, количество: 1000 шт</t>
  </si>
  <si>
    <t>Скобы проволочные для канцелярских целей, для степплера, скобы №10  1000шт</t>
  </si>
  <si>
    <t>25.71.11.910.000.00.0796.000000000001</t>
  </si>
  <si>
    <t>канцелярские</t>
  </si>
  <si>
    <t>Ножницы с пластиковой ручкой, длина 25 см</t>
  </si>
  <si>
    <t>канцелярский нож предназначенный для разрезания бумаги</t>
  </si>
  <si>
    <t>25.93.18.900.001.00.0796.000000000000</t>
  </si>
  <si>
    <t>Шило</t>
  </si>
  <si>
    <t>с деревянной рукояткой</t>
  </si>
  <si>
    <t>28.23.23.900.004.00.0796.000000000000</t>
  </si>
  <si>
    <t>маленький</t>
  </si>
  <si>
    <t>большой</t>
  </si>
  <si>
    <t>28.23.12.100.000.00.0796.000000000023</t>
  </si>
  <si>
    <t>Калькулятор</t>
  </si>
  <si>
    <t>настольный, компактный, 12 разрядный</t>
  </si>
  <si>
    <t>настольный компактный 12 разрядный</t>
  </si>
  <si>
    <t>22.29.25.700.006.00.0796.000000000018</t>
  </si>
  <si>
    <t>Лоток</t>
  </si>
  <si>
    <t>для бумаг, настольный</t>
  </si>
  <si>
    <t>черный пластиковый формат А4</t>
  </si>
  <si>
    <t>32.99.59.900.078.00.0796.000000000005</t>
  </si>
  <si>
    <t>Настольный набор</t>
  </si>
  <si>
    <t>пластиковый, письменный, более 5 предметов</t>
  </si>
  <si>
    <t>14 предметов</t>
  </si>
  <si>
    <t>17.23.13.500.000.00.0796.000000000002</t>
  </si>
  <si>
    <t>Короб архивный</t>
  </si>
  <si>
    <t>для хранения документов формата А3</t>
  </si>
  <si>
    <t>25.99.24.000.001.00.0796.000000000000</t>
  </si>
  <si>
    <t>Рамка</t>
  </si>
  <si>
    <t>для фотографий</t>
  </si>
  <si>
    <t>формат А4, деревянная</t>
  </si>
  <si>
    <t>22.22.13.000.006.00.0796.000000000017</t>
  </si>
  <si>
    <t>пластиковая, мусорная, офисная</t>
  </si>
  <si>
    <t>17.12.14.100.000.00.0796.000000000001</t>
  </si>
  <si>
    <t>для черчения (ватман), формат А1, размер 610*860 мм, плотность 200 г/м2</t>
  </si>
  <si>
    <t>формат А5</t>
  </si>
  <si>
    <t>17.23.13.900.002.00.0796.000000000000</t>
  </si>
  <si>
    <t>Альбом</t>
  </si>
  <si>
    <t>для рисования</t>
  </si>
  <si>
    <t>32.99.59.990.014.00.0704.000000000004</t>
  </si>
  <si>
    <t>Набор для детского творчества</t>
  </si>
  <si>
    <t>для аппликации</t>
  </si>
  <si>
    <t>бумага цветная, формат А4</t>
  </si>
  <si>
    <t>бумага цветная, бархатная, формат А4</t>
  </si>
  <si>
    <t>32.99.15.100.000.00.0704.000000000001</t>
  </si>
  <si>
    <t>цветной, в наборе</t>
  </si>
  <si>
    <t>Карандаш деревянные с графитовым стержнем</t>
  </si>
  <si>
    <t>20.30.23.700.000.01.0796.000000000001</t>
  </si>
  <si>
    <t>художественная, акварельная, ГОСТ 11481-75</t>
  </si>
  <si>
    <t>набор красок акварельных полусухих разных цветов.</t>
  </si>
  <si>
    <t>гуашь разных цветов, в наборе</t>
  </si>
  <si>
    <t>32.99.59.900.033.00.0778.000000000002</t>
  </si>
  <si>
    <t>Пластилин</t>
  </si>
  <si>
    <t>детский</t>
  </si>
  <si>
    <t>20.60.24.000.001.00.0796.000000000000</t>
  </si>
  <si>
    <t>Леска</t>
  </si>
  <si>
    <t>из искусственных волокон</t>
  </si>
  <si>
    <t>13.10.62.200.000.00.0889.000000000007</t>
  </si>
  <si>
    <t>Нить</t>
  </si>
  <si>
    <t>швейная, хлопчатобумажная, марка "Прима" в 3 сложения, матовая, линейная плотность 34 текс *3, номер 10, ГОСТ 6309-93</t>
  </si>
  <si>
    <t>889</t>
  </si>
  <si>
    <t>Катушка условная</t>
  </si>
  <si>
    <t>25.93.18.900.000.00.0778.000000000000</t>
  </si>
  <si>
    <t>Игла</t>
  </si>
  <si>
    <t>из черных металлов, швейная</t>
  </si>
  <si>
    <t>32.99.15.500.001.00.0704.000000000000</t>
  </si>
  <si>
    <t>Мел</t>
  </si>
  <si>
    <t>для письма и рисования</t>
  </si>
  <si>
    <t>32.91.12.500.001.00.0796.000000000000</t>
  </si>
  <si>
    <t>Кисть для рисования</t>
  </si>
  <si>
    <t xml:space="preserve"> №0012, 24/6, проволочные для канцелярских целей</t>
  </si>
  <si>
    <t>№10, проволочные для канцелярских целей</t>
  </si>
  <si>
    <t>24/6-26/6</t>
  </si>
  <si>
    <t>13.99.19.900.003.00.0616.000000000000</t>
  </si>
  <si>
    <t>Шпагат</t>
  </si>
  <si>
    <t>из полипропиленовых волокон, крученый, однониточный, ГОСТ 17308-88</t>
  </si>
  <si>
    <t>шпагат для подшивки документов</t>
  </si>
  <si>
    <t>616</t>
  </si>
  <si>
    <t>Бобина</t>
  </si>
  <si>
    <t>25.99.23.500.001.00.5111.000000000000</t>
  </si>
  <si>
    <t>Скобы для степлера 24/6</t>
  </si>
  <si>
    <t xml:space="preserve">12*42 5 цв. неон </t>
  </si>
  <si>
    <t>17.23.12.700.012.00.0796.000000000000</t>
  </si>
  <si>
    <t>для заметок, формат блока 76*76 мм</t>
  </si>
  <si>
    <t xml:space="preserve">100 л, неоновая желтая </t>
  </si>
  <si>
    <t>Полудатированный, черный</t>
  </si>
  <si>
    <t xml:space="preserve">Полудатированный, синий </t>
  </si>
  <si>
    <t>25.99.23.300.000.00.0778.000000000000</t>
  </si>
  <si>
    <t>размер 15 мм</t>
  </si>
  <si>
    <t>25.99.23.300.000.00.0778.000000000003</t>
  </si>
  <si>
    <t>размер 25 мм</t>
  </si>
  <si>
    <t xml:space="preserve">Карандаш с ластиком, ТМ </t>
  </si>
  <si>
    <t>22.29.25.500.006.00.0796.000000000005</t>
  </si>
  <si>
    <t>карандаш, 21 грамм</t>
  </si>
  <si>
    <t xml:space="preserve">21 гр. </t>
  </si>
  <si>
    <t>26.51.32.500.003.01.0796.000000000005</t>
  </si>
  <si>
    <t>измерительная, деревянная, длина 40 см</t>
  </si>
  <si>
    <t>22.29.25.500.000.00.0796.000000000003</t>
  </si>
  <si>
    <t>пластиковый, круглый, наконечник 3 мм, перманентный (нестираемый)</t>
  </si>
  <si>
    <t xml:space="preserve">Перманентный, черный, круглый </t>
  </si>
  <si>
    <t>21,5 см</t>
  </si>
  <si>
    <t>22.29.25.700.000.00.0796.000000000034</t>
  </si>
  <si>
    <t>конверт на кнопке, пластиковая, формат A4</t>
  </si>
  <si>
    <t>Пластиковая с кнопкой</t>
  </si>
  <si>
    <t>22.29.25.700.000.00.0796.000000000033</t>
  </si>
  <si>
    <t>конверт на резинке, пластиковая, формат A4</t>
  </si>
  <si>
    <t>Пластиковая с резинкой</t>
  </si>
  <si>
    <t>22.29.25.700.000.00.0796.000000000036</t>
  </si>
  <si>
    <t>с зажимом, пластиковая, формат А4, 20 мм</t>
  </si>
  <si>
    <t>Пластиковая с карманом боковым и зажимом для бумаги</t>
  </si>
  <si>
    <t xml:space="preserve">А4, 50 мм., черный </t>
  </si>
  <si>
    <t>15.12.12.100.005.00.0796.000000000001</t>
  </si>
  <si>
    <t>Портфель</t>
  </si>
  <si>
    <t>для бумаг, из пластмассы</t>
  </si>
  <si>
    <t>Папка-портфель для документов пластиковый, 13 отделений с замком</t>
  </si>
  <si>
    <t>Картонный, мелованный, белый</t>
  </si>
  <si>
    <t>32.99.59.900.084.00.0796.000000000011</t>
  </si>
  <si>
    <t>полиэтиленовый, ширина до 75 мм</t>
  </si>
  <si>
    <t>Упаковочный, прозрачный, 51 мм х 120 м.</t>
  </si>
  <si>
    <t>32.99.59.900.084.00.0796.000000000015</t>
  </si>
  <si>
    <t>полипропиленовый, ширина 19 мм, канцелярский</t>
  </si>
  <si>
    <t>Прозрачный 19 мм. Х 33 м</t>
  </si>
  <si>
    <t>25.99.23.500.000.01.0778.000000000004</t>
  </si>
  <si>
    <t>металлическая, размер 32 мм</t>
  </si>
  <si>
    <t>31 мм., 100 шт, оцинкованные</t>
  </si>
  <si>
    <t>28 мм., 100 шт, цветные</t>
  </si>
  <si>
    <t>№24/6, корпус металлический, не менее 60 листов</t>
  </si>
  <si>
    <t>В клетку, 48 л</t>
  </si>
  <si>
    <t>25.93.18.900.001.00.0796.000000000001</t>
  </si>
  <si>
    <t>с пластмассовой рукояткой</t>
  </si>
  <si>
    <t xml:space="preserve">канцелярское, с пластиковой ручкой </t>
  </si>
  <si>
    <t>17.23.13.100.003.00.0796.000000000000</t>
  </si>
  <si>
    <t>Книга</t>
  </si>
  <si>
    <t>Канцелярская в клетку, 96 л.</t>
  </si>
  <si>
    <t xml:space="preserve">Канцелярская в линейку, 200 листов </t>
  </si>
  <si>
    <t>32.99.59.900.081.00.0796.000000000000</t>
  </si>
  <si>
    <t>Штрих-карандаш</t>
  </si>
  <si>
    <t xml:space="preserve">корректор </t>
  </si>
  <si>
    <t>28.23.12.100.000.00.0796.000000000017</t>
  </si>
  <si>
    <t>настольный, компактный, 14 разрядный, с функцией расчета налогов и стоимости, продажи, прибыли</t>
  </si>
  <si>
    <t>14 разрядный</t>
  </si>
  <si>
    <t>17.23.12.700.012.00.5111.000000000001</t>
  </si>
  <si>
    <t>для заметок, формат блока 8*8 см</t>
  </si>
  <si>
    <t>цветная</t>
  </si>
  <si>
    <t xml:space="preserve">цвет: черный, зеленый, красный </t>
  </si>
  <si>
    <t>Канцелярский, ширина лезвия 18 мм, с запасними лезваиями в наборе</t>
  </si>
  <si>
    <t>устройство для вытаскивания скоб от степлера. Устройство состоит из двух противостоящих клинов на оси. Подходит для всех видов скоб (пластик, черный)</t>
  </si>
  <si>
    <t>Карандаш НB, с ластиком, пластик, форма корпуса: шестигранный</t>
  </si>
  <si>
    <t>Вес клея – 21 г. Время высыхания - 1 мин. Без запаха.</t>
  </si>
  <si>
    <t>липкая, 5 цветов</t>
  </si>
  <si>
    <t>металлический с линейкой  75*105 мм, с 2 отверстиями d 5 мм, количество пробивания листов: 20.</t>
  </si>
  <si>
    <t>32.99.59.900.084.00.0796.000000000013</t>
  </si>
  <si>
    <t>полипропиленовый, ширина 48 мм, канцелярский</t>
  </si>
  <si>
    <t xml:space="preserve">размер 48мм/200 м. Прозрачный. </t>
  </si>
  <si>
    <t xml:space="preserve">размер 19мм/33 м. Прозрачный. </t>
  </si>
  <si>
    <t>Никелированные канцелярские скрепки треугольной формы с отогнутым носиком, позволяющий легко захватывать бумагу. Не ржавеют, не пачкают бумагу, обеспечивают надежное скрепление. Размер 28мм, 100 штук в упаковке.</t>
  </si>
  <si>
    <t>Тетрадь общая 48 листов в клетку, листы белые, обложка мелованный картон</t>
  </si>
  <si>
    <t>стальной с дополнительным механизмом для более легкого нажатия на 60%. Скобы №10 . Раскрытие 90мм. Объем скрепления 25 листов.</t>
  </si>
  <si>
    <t>Корректор жидкий в форме ручки 12 мл</t>
  </si>
  <si>
    <t>из натурального каучука, бело-серый, прямоугольный со скошенными сторонами. Размер: 50х20х7 мм</t>
  </si>
  <si>
    <t>26.51.32.500.003.01.0796.000000000012</t>
  </si>
  <si>
    <t>измерительная, пластмассовая, длина 30 см</t>
  </si>
  <si>
    <t>Линейка пластиковая 30см с прозрачная тонированная. Ровная четкая миллиметровая шкала, безопасные закругленные углы</t>
  </si>
  <si>
    <t>Набор из 4 текстовых маркеров (желтый, зеленый, розовый, оранжевый). Текстовыделители с флуоресцентными чернилами на водной основе подходят для работы на всех типах бумаги. Скошенный пишущий узел позволяет варьировать ширину письма от 0,5 до 5 мм. Прозрачный ПВХ пенал.</t>
  </si>
  <si>
    <t>Лезвия изготовлены из высококачественной нержавеющей стали. Ручки с мягкими резиновыми вставками предотвращают скольжение и натирание пальцев и гарантируют комфорт и надежность во время работы.</t>
  </si>
  <si>
    <t>Папка-регистратор, А4, 70 мм. Снабжена арочным механизмом, карманом и этикеткой на корешке. Изготовлена из износостойкого картона с бумажным покрытием ПВХ. Металлическая окантовка. Цвет черный.</t>
  </si>
  <si>
    <t xml:space="preserve">Снабжена арочным механизмом, карманом и этикеткой на корешке. Изготовлена из износостойкого картона с бумажным покрытием ПВХ. Металлическая окантовка, 70 мм, А4 формат.  Цвет черный. </t>
  </si>
  <si>
    <t>Мелованная картонная архивная папка под формат А4 для сшивания перфорированных листов.</t>
  </si>
  <si>
    <t>синий стержень, толщина письма – 0,6 мм</t>
  </si>
  <si>
    <t>Скобы № 10 проволочные для канцелярских целей, до 50 листов</t>
  </si>
  <si>
    <t>12-разрядный, клавиша «00», пластмассовые клавиши, солнечная батарея, литиевая батарея питания</t>
  </si>
  <si>
    <t>с закладкой, плотные белые листы, в твердом переплете.</t>
  </si>
  <si>
    <t>17.23.12.700.012.00.5111.000000000004</t>
  </si>
  <si>
    <t>для заметок, формат блока 12*45 мм</t>
  </si>
  <si>
    <t>Размер 12*50 100 л. 4 цв.</t>
  </si>
  <si>
    <t>30-35 л</t>
  </si>
  <si>
    <t>17.23.12.700.005.00.0796.000000000003</t>
  </si>
  <si>
    <t>формат А4, недатированный</t>
  </si>
  <si>
    <t xml:space="preserve">Недатированный, А4 синий </t>
  </si>
  <si>
    <t>15.12.12.100.004.00.0796.000000000001</t>
  </si>
  <si>
    <t>Еженедельник</t>
  </si>
  <si>
    <t xml:space="preserve">Полудатированный, 295*100 </t>
  </si>
  <si>
    <t xml:space="preserve">12*42, 5 цветов, неоновые </t>
  </si>
  <si>
    <t>2В</t>
  </si>
  <si>
    <t>22.29.25.500.006.00.0796.000000000009</t>
  </si>
  <si>
    <t>карандаш, 8 грамм</t>
  </si>
  <si>
    <t>17.23.13.100.003.00.0796.000000000001</t>
  </si>
  <si>
    <t>Книга регистрации "Входящей"</t>
  </si>
  <si>
    <t>Книга регистрации "Исходящей"</t>
  </si>
  <si>
    <t>20 мл</t>
  </si>
  <si>
    <t>22*56</t>
  </si>
  <si>
    <t>22.29.25.700.006.00.0796.000000000000</t>
  </si>
  <si>
    <t>для бумаг, из пластмассы, вертикальный</t>
  </si>
  <si>
    <t>3-х секционный, черный</t>
  </si>
  <si>
    <t xml:space="preserve">9 предметов </t>
  </si>
  <si>
    <t>22.29.25.700.000.00.0796.000000000030</t>
  </si>
  <si>
    <t>планшет, с металлическим вертикальным зажимом, полипропилен, формат A4, 1,2 мм</t>
  </si>
  <si>
    <t xml:space="preserve">А4, красный </t>
  </si>
  <si>
    <t>синий стержень, автоматическая</t>
  </si>
  <si>
    <t>100 шт</t>
  </si>
  <si>
    <t xml:space="preserve">№24/6, 26/6 </t>
  </si>
  <si>
    <t xml:space="preserve">40 мкр </t>
  </si>
  <si>
    <t>21.20.13.990.628.00.0778.000000000000</t>
  </si>
  <si>
    <t>Амилметакрезол, 2,4-дихлорбензиловый спирт</t>
  </si>
  <si>
    <t>таблетки</t>
  </si>
  <si>
    <t>№24, пастилки</t>
  </si>
  <si>
    <t>21.20.13.990.571.00.0872.000000000000</t>
  </si>
  <si>
    <t>Гидроокись аллюминия, гидроокись магния, сорбитол</t>
  </si>
  <si>
    <t>суспензия</t>
  </si>
  <si>
    <t xml:space="preserve">170 мл </t>
  </si>
  <si>
    <t>21.20.13.990.416.00.0778.000000000000</t>
  </si>
  <si>
    <t>Парацетамол, хлорфенирамина малеат, кислота аскорбиновая</t>
  </si>
  <si>
    <t>№10</t>
  </si>
  <si>
    <t>21.20.13.939.001.00.0872.000000000001</t>
  </si>
  <si>
    <t>Амброксол</t>
  </si>
  <si>
    <t>сироп</t>
  </si>
  <si>
    <t xml:space="preserve">30мг /5мл 100 мл </t>
  </si>
  <si>
    <t>21.20.13.990.623.00.0778.000000000000</t>
  </si>
  <si>
    <t>Аммиак</t>
  </si>
  <si>
    <t>раствор</t>
  </si>
  <si>
    <t>раствор 10%, 40мл</t>
  </si>
  <si>
    <t>21.20.11.800.060.00.0778.000000000000</t>
  </si>
  <si>
    <t>Ампициллин</t>
  </si>
  <si>
    <t xml:space="preserve">0,25 №10 </t>
  </si>
  <si>
    <t>21.20.13.990.228.00.0778.000000000000</t>
  </si>
  <si>
    <t>Метамизол натрий</t>
  </si>
  <si>
    <t>раствор для инъекций</t>
  </si>
  <si>
    <t>50%,  раствор для инъекций, 2 мл №10</t>
  </si>
  <si>
    <t>21.10.51.530.000.00.0778.000000000004</t>
  </si>
  <si>
    <t>Кислота аскорбиновая</t>
  </si>
  <si>
    <t>драже</t>
  </si>
  <si>
    <t xml:space="preserve">№200 </t>
  </si>
  <si>
    <t>21.20.13.990.607.00.0778.000000000000</t>
  </si>
  <si>
    <t>Ацетилсалициловая кислота</t>
  </si>
  <si>
    <t xml:space="preserve"> 0,5 №10</t>
  </si>
  <si>
    <t>21.20.13.990.234.00.0778.000000000001</t>
  </si>
  <si>
    <t>Ацикловир</t>
  </si>
  <si>
    <t>мазь</t>
  </si>
  <si>
    <t xml:space="preserve">5% 5 гр </t>
  </si>
  <si>
    <t>21.20.13.990.586.00.0872.000000000000</t>
  </si>
  <si>
    <t>Бриллиантовый зеленый</t>
  </si>
  <si>
    <t>раствор, рр 1% 10 мл</t>
  </si>
  <si>
    <t>21.20.13.939.002.00.0778.000000000003</t>
  </si>
  <si>
    <t>Бромгексин</t>
  </si>
  <si>
    <t xml:space="preserve">8 мг №20 </t>
  </si>
  <si>
    <t>21.20.13.930.000.00.0778.000000000000</t>
  </si>
  <si>
    <t>Препарат от кашля</t>
  </si>
  <si>
    <t>в таблетках</t>
  </si>
  <si>
    <t>пастилки от кашля №16</t>
  </si>
  <si>
    <t>21.20.13.940.005.00.0778.000000000000</t>
  </si>
  <si>
    <t>Валерианы экстракт</t>
  </si>
  <si>
    <t xml:space="preserve">0,02 гр №50 </t>
  </si>
  <si>
    <t>21.20.13.990.338.00.0872.000000000000</t>
  </si>
  <si>
    <t>Фенобарбитал, этилбромизолвалерат</t>
  </si>
  <si>
    <t>21.20.13.990.465.00.0778.000000000000</t>
  </si>
  <si>
    <t>Ментола раствор в изовалерате</t>
  </si>
  <si>
    <t>21.10.51.530.000.00.0166.000000000000</t>
  </si>
  <si>
    <t>порошок</t>
  </si>
  <si>
    <t>21.20.13.990.498.00.0872.000000000000</t>
  </si>
  <si>
    <t>Ксилометазолин</t>
  </si>
  <si>
    <t>капли</t>
  </si>
  <si>
    <t>0,05% 10 мл</t>
  </si>
  <si>
    <t>21.20.13.400.054.00.0778.000000000000</t>
  </si>
  <si>
    <t>Глицин</t>
  </si>
  <si>
    <t xml:space="preserve">100 мг № 50, раствор под давлением для ингаляций через рот и нос </t>
  </si>
  <si>
    <t>21.20.13.990.558.00.0778.000000000000</t>
  </si>
  <si>
    <t>Декстроза</t>
  </si>
  <si>
    <t xml:space="preserve"> 400мг/мл 10мл №10 амп</t>
  </si>
  <si>
    <t>21.20.13.990.472.00.0778.000000000000</t>
  </si>
  <si>
    <t>Мебгидролин</t>
  </si>
  <si>
    <t xml:space="preserve"> 0,1 №10</t>
  </si>
  <si>
    <t>21.20.13.990.267.00.0778.000000000001</t>
  </si>
  <si>
    <t>Дифенгидрамин</t>
  </si>
  <si>
    <t>1% 1 мл №10 амп, раствор</t>
  </si>
  <si>
    <t>21.20.13.990.546.00.0778.000000000000</t>
  </si>
  <si>
    <t>Дифенгидрамина гидрохлорид, Нафазолина нитрат</t>
  </si>
  <si>
    <t>капли глазные</t>
  </si>
  <si>
    <t>10 мл</t>
  </si>
  <si>
    <t>21.20.13.990.239.00.0872.000000000000</t>
  </si>
  <si>
    <t>Лактулоза</t>
  </si>
  <si>
    <t>200 мл</t>
  </si>
  <si>
    <t>21.20.13.990.537.00.0872.000000000000</t>
  </si>
  <si>
    <t>Ибупрофен</t>
  </si>
  <si>
    <t>100мг / 5 мл 100 г, от 7 лет</t>
  </si>
  <si>
    <t>21.20.13.900.036.00.0872.000000000000</t>
  </si>
  <si>
    <t>Ингалипт</t>
  </si>
  <si>
    <t>30 мл</t>
  </si>
  <si>
    <t>21.20.13.990.526.00.0872.000000000000</t>
  </si>
  <si>
    <t>Йод</t>
  </si>
  <si>
    <t>5% 10 мл</t>
  </si>
  <si>
    <t>21.20.13.990.523.00.0872.000000000000</t>
  </si>
  <si>
    <t>Калия перманганат</t>
  </si>
  <si>
    <t>5 гр</t>
  </si>
  <si>
    <t>21.20.13.990.035.00.0778.000000000001</t>
  </si>
  <si>
    <t>Кеторолак</t>
  </si>
  <si>
    <t>гель</t>
  </si>
  <si>
    <t xml:space="preserve">гель для наружного применения, 30г </t>
  </si>
  <si>
    <t>21.20.13.990.306.00.0872.000000000000</t>
  </si>
  <si>
    <t>Этиловый эфир альфа-бромизовалериановой кислоты, фенобарбитал, масло мяты перечной</t>
  </si>
  <si>
    <t>25 мл</t>
  </si>
  <si>
    <t>21.10.54.600.000.00.0778.000000000001</t>
  </si>
  <si>
    <t>Хлорамфеникол</t>
  </si>
  <si>
    <t>21.20.13.990.496.00.0778.000000000000</t>
  </si>
  <si>
    <t>Лебенин порошок</t>
  </si>
  <si>
    <t>капсулы</t>
  </si>
  <si>
    <t>№16</t>
  </si>
  <si>
    <t>21.20.13.990.350.00.0778.000000000000</t>
  </si>
  <si>
    <t>Трибромфенолят висмута, деготь</t>
  </si>
  <si>
    <t>21.20.13.990.494.00.0778.000000000000</t>
  </si>
  <si>
    <t>Лидокаин</t>
  </si>
  <si>
    <t>21.20.13.990.525.00.0872.000000000000</t>
  </si>
  <si>
    <t>Йод, калия хлорид, глицерин, вода</t>
  </si>
  <si>
    <t>раствор 25 мл для растирания</t>
  </si>
  <si>
    <t>21.20.13.990.059.00.0778.000000000000</t>
  </si>
  <si>
    <t>Магния сульфат</t>
  </si>
  <si>
    <t>25% 5 мл № 10 амп</t>
  </si>
  <si>
    <t>21.20.13.990.429.00.0778.000000000001</t>
  </si>
  <si>
    <t>Панкреатин</t>
  </si>
  <si>
    <t>20.42.15.500.007.00.0872.000000000000</t>
  </si>
  <si>
    <t>для ухода за кожей и для массажа</t>
  </si>
  <si>
    <t>21.20.13.990.466.00.0872.000000000000</t>
  </si>
  <si>
    <t>Ментол рацемический, новокаин, анестезин</t>
  </si>
  <si>
    <t>40 мл</t>
  </si>
  <si>
    <t>100 мл</t>
  </si>
  <si>
    <t>22.19.71.900.006.00.0796.000000000000</t>
  </si>
  <si>
    <t>Напальчники</t>
  </si>
  <si>
    <t>медицинские, для защиты и изоляции пальцев рук</t>
  </si>
  <si>
    <t>№ 144 рр L</t>
  </si>
  <si>
    <t>21.20.13.990.447.00.0872.000000000001</t>
  </si>
  <si>
    <t>Нафазолин</t>
  </si>
  <si>
    <t>капли назальные бесцветный рр без запаха, рр 0,05% 10 мл</t>
  </si>
  <si>
    <t>21.20.13.990.392.00.0778.000000000000</t>
  </si>
  <si>
    <t>Прокаин</t>
  </si>
  <si>
    <t>0,5% 5 мл № 10 амп</t>
  </si>
  <si>
    <t>21.20.13.990.544.00.0778.000000000000</t>
  </si>
  <si>
    <t>Дротаверин</t>
  </si>
  <si>
    <t>40 мг №100</t>
  </si>
  <si>
    <t>21.20.13.990.478.00.0778.000000000000</t>
  </si>
  <si>
    <t>Мазь оксолиновая</t>
  </si>
  <si>
    <t xml:space="preserve">0,25% 10 г </t>
  </si>
  <si>
    <t>21.20.13.990.443.00.0778.000000000000</t>
  </si>
  <si>
    <t>Неомицина сульфат, Дексаметазона натрия фосфат, Полимиксина В сульфат</t>
  </si>
  <si>
    <t>капли ушные</t>
  </si>
  <si>
    <t xml:space="preserve">5 мл </t>
  </si>
  <si>
    <t>21.20.13.990.484.00.0778.000000000001</t>
  </si>
  <si>
    <t>Лоперамид</t>
  </si>
  <si>
    <t xml:space="preserve"> № 25 </t>
  </si>
  <si>
    <t>21.20.13.990.425.00.0872.000000000000</t>
  </si>
  <si>
    <t>Пантенол</t>
  </si>
  <si>
    <t xml:space="preserve">58 г </t>
  </si>
  <si>
    <t>21.20.13.931.000.00.0778.000000000000</t>
  </si>
  <si>
    <t>Мукалтин</t>
  </si>
  <si>
    <t>№ 10</t>
  </si>
  <si>
    <t>21.20.13.990.423.00.0778.000000000002</t>
  </si>
  <si>
    <t>Парацетамол</t>
  </si>
  <si>
    <t xml:space="preserve">0,5 №10 </t>
  </si>
  <si>
    <t>21.20.13.990.423.00.0872.000000000000</t>
  </si>
  <si>
    <t>Раствор. Сироп для детей в виде слегка вязкого раствора желто-коричневого цвета, с карамельно-ванильным запахом</t>
  </si>
  <si>
    <t>21.20.13.990.086.00.0872.000000000000</t>
  </si>
  <si>
    <t>Малатион</t>
  </si>
  <si>
    <t>шампунь</t>
  </si>
  <si>
    <t>21.20.13.990.412.00.0872.000000000000</t>
  </si>
  <si>
    <t>Перекись водорода  </t>
  </si>
  <si>
    <t xml:space="preserve"> 3% 40 мл</t>
  </si>
  <si>
    <t>21.20.12.900.008.00.0778.000000000001</t>
  </si>
  <si>
    <t>Преднизолон</t>
  </si>
  <si>
    <t>25 мг/ 1мл №3 амп</t>
  </si>
  <si>
    <t>21.20.13.990.548.00.0778.000000000000</t>
  </si>
  <si>
    <t>Дифенгидрамина гидрохлорид</t>
  </si>
  <si>
    <t xml:space="preserve">20г  </t>
  </si>
  <si>
    <t>21.20.13.400.055.00.0872.000000000000</t>
  </si>
  <si>
    <t>Ретинола ацетат, тиамина бромид, рибофлавин, кислота аскорбиновая</t>
  </si>
  <si>
    <t>в драже</t>
  </si>
  <si>
    <t>Алтайвитамины, дражже №50</t>
  </si>
  <si>
    <t>21.20.13.990.522.00.0778.000000000000</t>
  </si>
  <si>
    <t>Кальция карбонат, магния карбонат</t>
  </si>
  <si>
    <t>№12 для рассасывания с ментоловым вкусом</t>
  </si>
  <si>
    <t>21.20.13.990.381.00.0872.000000000000</t>
  </si>
  <si>
    <t>Ромашки цветки, календулы цветки, тысячелистника трава</t>
  </si>
  <si>
    <t>50 мл</t>
  </si>
  <si>
    <t>21.20.13.990.369.00.0872.000000000000</t>
  </si>
  <si>
    <t>Спрей антисептический</t>
  </si>
  <si>
    <t>спрей</t>
  </si>
  <si>
    <t>21.20.13.990.295.00.0778.000000000000</t>
  </si>
  <si>
    <t>Диосмектит</t>
  </si>
  <si>
    <t>порошок для приготовления раствора</t>
  </si>
  <si>
    <t>№30 пакетиков</t>
  </si>
  <si>
    <t>21.20.11.800.051.00.0778.000000000001</t>
  </si>
  <si>
    <t>Сульфаниламид</t>
  </si>
  <si>
    <t xml:space="preserve">0,3 №10 </t>
  </si>
  <si>
    <t>21.20.11.800.051.00.0778.000000000000</t>
  </si>
  <si>
    <t>10%, 25 г</t>
  </si>
  <si>
    <t>21.20.13.990.177.00.0872.000000000000</t>
  </si>
  <si>
    <t>Сальбутамол</t>
  </si>
  <si>
    <t>аэрозоль для ингаляций</t>
  </si>
  <si>
    <t>21.20.13.990.377.00.0778.000000000000</t>
  </si>
  <si>
    <t>Сеннозиды А+В&amp;</t>
  </si>
  <si>
    <t>21.20.11.800.027.00.0872.000000000000</t>
  </si>
  <si>
    <t>Сульфацетамид</t>
  </si>
  <si>
    <t>глазные капли  20% 5 мл</t>
  </si>
  <si>
    <t>21.20.13.990.022.00.0778.000000000001</t>
  </si>
  <si>
    <t>Хлоропирамин</t>
  </si>
  <si>
    <t>20 мг/ 1мл № 5 амп</t>
  </si>
  <si>
    <t>21.20.13.990.022.00.0778.000000000002</t>
  </si>
  <si>
    <t>№20</t>
  </si>
  <si>
    <t>21.20.13.990.228.00.0778.000000000001</t>
  </si>
  <si>
    <t xml:space="preserve">№20 </t>
  </si>
  <si>
    <t>21.10.54.500.000.00.0778.000000000000</t>
  </si>
  <si>
    <t>Тетрациклин</t>
  </si>
  <si>
    <t>мазь глазная</t>
  </si>
  <si>
    <t>1% 3 гр</t>
  </si>
  <si>
    <t>21.20.13.990.348.00.0778.000000000000</t>
  </si>
  <si>
    <t>Троксерутин</t>
  </si>
  <si>
    <t>2% 40 гр</t>
  </si>
  <si>
    <t>21.20.13.990.345.00.0778.000000000000</t>
  </si>
  <si>
    <t>Уголь активированный</t>
  </si>
  <si>
    <t>250 мг №10</t>
  </si>
  <si>
    <t>21.20.13.990.034.00.0778.000000000001</t>
  </si>
  <si>
    <t>Кетопрофен</t>
  </si>
  <si>
    <t xml:space="preserve">2,5% 50,0 </t>
  </si>
  <si>
    <t>21.20.13.990.427.00.0778.000000000000</t>
  </si>
  <si>
    <t>Панкреатин, гемицеллюлоза, экстракт желчи</t>
  </si>
  <si>
    <t xml:space="preserve">№100 </t>
  </si>
  <si>
    <t>21.20.13.990.331.00.0778.000000000000</t>
  </si>
  <si>
    <t>Фуразолидон</t>
  </si>
  <si>
    <t xml:space="preserve">0,05 № 10 </t>
  </si>
  <si>
    <t>21.20.13.990.436.00.0778.000000000001</t>
  </si>
  <si>
    <t>Нитрофурал</t>
  </si>
  <si>
    <t xml:space="preserve">№ 10 </t>
  </si>
  <si>
    <t>21.20.13.990.023.00.0778.000000000000</t>
  </si>
  <si>
    <t>Фуросемид</t>
  </si>
  <si>
    <t>21.20.13.990.368.00.0872.000000000000</t>
  </si>
  <si>
    <t>Субстрат продуктов обмена Escherichia coli, Streptococcus faecalis, Lactobacillus helveticus</t>
  </si>
  <si>
    <t xml:space="preserve">30 мл </t>
  </si>
  <si>
    <t>21.20.13.990.460.00.0778.000000000000</t>
  </si>
  <si>
    <t>Метоклопрамид</t>
  </si>
  <si>
    <t>№ 50 10 мг</t>
  </si>
  <si>
    <t>21.20.11.800.056.00.0872.000000000000</t>
  </si>
  <si>
    <t>Цефазолин</t>
  </si>
  <si>
    <t>порошок для приготовления раствора для инъекций</t>
  </si>
  <si>
    <t>1г натриевая соль № 1 фл</t>
  </si>
  <si>
    <t>21.20.13.400.056.00.0778.000000000000</t>
  </si>
  <si>
    <t>Циннаризин</t>
  </si>
  <si>
    <t>25 мг № 50 табл</t>
  </si>
  <si>
    <t>21.20.13.990.605.00.0778.000000000000</t>
  </si>
  <si>
    <t>Ацетилсалициловая кислота, Парацетамол, Кофеин</t>
  </si>
  <si>
    <t>21.20.13.990.311.00.0778.000000000000</t>
  </si>
  <si>
    <t>Эналаприла малеат,гидрохлортиазид</t>
  </si>
  <si>
    <t>5 мг №20</t>
  </si>
  <si>
    <t>21.20.13.990.308.00.0872.000000000000</t>
  </si>
  <si>
    <t>Этанол</t>
  </si>
  <si>
    <t>70% 50 мл</t>
  </si>
  <si>
    <t>14.19.32.350.003.00.0796.000000000000</t>
  </si>
  <si>
    <t>Маска медицинская</t>
  </si>
  <si>
    <t>одноразовая, из гипоаллергенного материала</t>
  </si>
  <si>
    <t>трехслойная на резинке</t>
  </si>
  <si>
    <t>21.20.24.900.002.00.0778.000000000001</t>
  </si>
  <si>
    <t>Вата</t>
  </si>
  <si>
    <t>медицинская, нестерильная, гигроскопическая</t>
  </si>
  <si>
    <t>100 гр</t>
  </si>
  <si>
    <t>50 гр</t>
  </si>
  <si>
    <t>21.20.24.900.003.00.0796.000000000000</t>
  </si>
  <si>
    <t>Бинт</t>
  </si>
  <si>
    <t>медицинский, стерильный, марлевый</t>
  </si>
  <si>
    <t>стерильный размер 5*10 мм</t>
  </si>
  <si>
    <t>21.20.24.200.004.00.0796.000000000000</t>
  </si>
  <si>
    <t>медицинский, нестерильный, марлевый</t>
  </si>
  <si>
    <t>нестерильный размер 7х14 мм</t>
  </si>
  <si>
    <t>21.20.24.200.004.00.0778.000000000001</t>
  </si>
  <si>
    <t>медицинский, эластичный, вязаный из хлопчатобумажной нити</t>
  </si>
  <si>
    <t>Бинт 3,0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</si>
  <si>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Бинт 5,0 м *60 мм высокой растяжимости, вязаный из хлопчатобумажных нитей или тканей с применением эластомерных материалов, обладающий способностью растягиваться</t>
  </si>
  <si>
    <t>22.19.73.900.004.00.0796.000000000000</t>
  </si>
  <si>
    <t>Жгут</t>
  </si>
  <si>
    <t>резиновый, кровоостанавливающий</t>
  </si>
  <si>
    <t>№ 50</t>
  </si>
  <si>
    <t>14.12.30.100.000.00.0715.000000000000</t>
  </si>
  <si>
    <t>медицинские одноразовые, из натурального латекса, стерильные</t>
  </si>
  <si>
    <t>опудренные, размер 6.0</t>
  </si>
  <si>
    <t>22.19.71.900.005.00.0796.000000000000</t>
  </si>
  <si>
    <t>Система инфузионная</t>
  </si>
  <si>
    <t>для переливания инфузионных растворов, ГОСТ 25047-87</t>
  </si>
  <si>
    <t>32.50.13.110.001.01.0796.000000000003</t>
  </si>
  <si>
    <t>Шприц</t>
  </si>
  <si>
    <t>медицинский, общего пользования, одноразовый, объем 2,0 мл</t>
  </si>
  <si>
    <t>одноразовый, объем 2,0 мл, с иглой</t>
  </si>
  <si>
    <t>32.50.13.110.001.01.0796.000000000005</t>
  </si>
  <si>
    <t>медицинский, общего пользования, одноразовый, объем 5,0 мл</t>
  </si>
  <si>
    <t>одноразовый, объем 5,0 мл, с иглой</t>
  </si>
  <si>
    <t>32.50.13.110.001.01.0796.000000000006</t>
  </si>
  <si>
    <t>медицинский, общего пользования, одноразовый, объем 10,0 мл</t>
  </si>
  <si>
    <t>одноразовый, объем 10,0 мл, с иглой</t>
  </si>
  <si>
    <t>21.20.24.200.000.01.0796.000000000001</t>
  </si>
  <si>
    <t>Лейкопластырь</t>
  </si>
  <si>
    <t>нестерильный, фиксирующий</t>
  </si>
  <si>
    <t xml:space="preserve">размер 3*500 </t>
  </si>
  <si>
    <t xml:space="preserve">размер 4*500 </t>
  </si>
  <si>
    <t>21.20.24.200.000.00.0796.000000000001</t>
  </si>
  <si>
    <t>бактерицидный, без пропитки, узкий</t>
  </si>
  <si>
    <t>26.60.12.900.017.00.0796.000000000001</t>
  </si>
  <si>
    <t>Тонометр</t>
  </si>
  <si>
    <t>неинвазивный, электронный, на основе метода Н.С. Короткова</t>
  </si>
  <si>
    <t>26.60.12.900.015.00.0796.000000000002</t>
  </si>
  <si>
    <t>медицинский, ртутный, ГОСТ 302-79</t>
  </si>
  <si>
    <t>21.20.13.990.244.00.0778.000000000001</t>
  </si>
  <si>
    <t>Крем</t>
  </si>
  <si>
    <t>защитный, от комаров</t>
  </si>
  <si>
    <t>гель для детей и взрослых 40мл</t>
  </si>
  <si>
    <t>21.20.13.990.109.00.0166.000000000000</t>
  </si>
  <si>
    <t>Панты марала</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</si>
  <si>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t>
  </si>
  <si>
    <t>21.20.13.990.109.00.0112.000000000000</t>
  </si>
  <si>
    <t>минеральный состав пантов молодых рогов пятнистого оленя включает около 20 элементов, основными из которых являются кальций, магний, железо, кремний, фосфор, натрий, калий в составе с водой.</t>
  </si>
  <si>
    <t>20.14.71.400.000.03.0112.000000000000</t>
  </si>
  <si>
    <t>Скипидар</t>
  </si>
  <si>
    <t>живичный, жидкость, ГОСТ 1571-82</t>
  </si>
  <si>
    <t>белая - детское мыло, живичный скипидар, салициловая кислота, ароматизаторы, в пластиковых флаконах по 100 мл. Желтая - живичный скипидар, масло касторовое, олейновая кислота, ароматизаторы в пластиковых флаконах по 100 мл.</t>
  </si>
  <si>
    <t>20.53.10.500.001.00.0112.000000000000</t>
  </si>
  <si>
    <t>хвойный экстракт, натуральная основа (хвоя ели) биологический активные вещества, эфирные масла, хлорофил, ароматизирующие добавки. В пластиковых флаконах 200 мл.</t>
  </si>
  <si>
    <t>19.20.41.200.000.00.0166.000000000009</t>
  </si>
  <si>
    <t>Парафин</t>
  </si>
  <si>
    <t>нефтяной, марка С, температура плавления 45,0-52,0°С, массовая доля масла не более 2,20%, твердый желтый, ГОСТ 23683-89</t>
  </si>
  <si>
    <t>воскоподобная смесь, бесцветный продукт без запаха и вкуса, твердая плотная масса, в мешках по 10-20 кг.</t>
  </si>
  <si>
    <t>10.83.13.400.000.00.0796.000000000000</t>
  </si>
  <si>
    <t>композиционный, пакетированный</t>
  </si>
  <si>
    <t xml:space="preserve"> в упак по 20 шт пакетиков, состав: мелисса, каркаде, зел чай, мята, ромашка, барбарис, шиповник, душица, грудной сбор </t>
  </si>
  <si>
    <t>21.20.24.600.000.00.0796.000000000001</t>
  </si>
  <si>
    <t>Аптечка медицинская</t>
  </si>
  <si>
    <t>транспортная</t>
  </si>
  <si>
    <t>21.20.24.600.000.00.0796.000000000000</t>
  </si>
  <si>
    <t>аптечка первой помощи</t>
  </si>
  <si>
    <t xml:space="preserve">Комплектуется  лекарственными препаратами и предметами для оказания первой медицинской помощи в пластиковый чемоданчик с внутренними перегородками и удобными замками. </t>
  </si>
  <si>
    <t>32.30.15.500.000.00.0796.000000000000</t>
  </si>
  <si>
    <t>Мяч</t>
  </si>
  <si>
    <t>для тенниса</t>
  </si>
  <si>
    <t>для настольного тенниса, 40 мм, 3 звезды и более</t>
  </si>
  <si>
    <t>32.30.15.800.002.00.0796.000000000002</t>
  </si>
  <si>
    <t>надувной, кожаный</t>
  </si>
  <si>
    <t>для мини-футбола, р-р 4</t>
  </si>
  <si>
    <t>футбольный, р-р 5</t>
  </si>
  <si>
    <t>32.30.15.800.002.00.0796.000000000000</t>
  </si>
  <si>
    <t>для волейбола</t>
  </si>
  <si>
    <t xml:space="preserve"> фирма "микаса", </t>
  </si>
  <si>
    <t>22.19.73.270.005.00.0796.000000000003</t>
  </si>
  <si>
    <t>баскетбольный, резиновый</t>
  </si>
  <si>
    <t>32.30.15.600.000.01.0796.000000000000</t>
  </si>
  <si>
    <t>Ракетки</t>
  </si>
  <si>
    <t>для тенниса, со струнами</t>
  </si>
  <si>
    <t>32.30.15.900.029.00.0796.000000000008</t>
  </si>
  <si>
    <t>для мини-футбольных ворот, шестиугольная, площадь 100 см2</t>
  </si>
  <si>
    <t>20.59.41.990.002.24.0796.000000000000</t>
  </si>
  <si>
    <t>синтетическая, на основе силиконов</t>
  </si>
  <si>
    <t>спецсмазка для тренажеровв железных флаконах</t>
  </si>
  <si>
    <t>силиконовая смазка для беговых дорожек во флаконах</t>
  </si>
  <si>
    <t>28.13.22.000.000.02.0796.000000000000</t>
  </si>
  <si>
    <t>для мячей и игрушек, с иглой, ручной</t>
  </si>
  <si>
    <t>пластмассовый</t>
  </si>
  <si>
    <t>32.99.59.990.013.00.0796.000000000000</t>
  </si>
  <si>
    <t>для насоса надувания спортивных мячей</t>
  </si>
  <si>
    <t>железные</t>
  </si>
  <si>
    <t>мочалка льняная</t>
  </si>
  <si>
    <t>замок с ключами для шкафчиков, 19 мм, круглые, железные</t>
  </si>
  <si>
    <t>27.51.23.300.001.00.0796.000000000000</t>
  </si>
  <si>
    <t>для волос, концетратор</t>
  </si>
  <si>
    <t xml:space="preserve">c ромашкой, алое </t>
  </si>
  <si>
    <t>21.20.13.990.475.00.0872.000000000000</t>
  </si>
  <si>
    <t>Масло пихтовое</t>
  </si>
  <si>
    <t>масло</t>
  </si>
  <si>
    <t>ароматические масла для сауны, 500 мл, пихтовое</t>
  </si>
  <si>
    <t>15.20.29.500.000.00.0715.000000000002</t>
  </si>
  <si>
    <t>Кроссовки</t>
  </si>
  <si>
    <t>мужские, из натуральной кожи, спортивные, летние, ГОСТ 26167-2005</t>
  </si>
  <si>
    <t>спортивные</t>
  </si>
  <si>
    <t>для настольного тенниса, 3-5 звезд</t>
  </si>
  <si>
    <t>футбольный</t>
  </si>
  <si>
    <t>футзальный, для мини-футбола</t>
  </si>
  <si>
    <t>№7</t>
  </si>
  <si>
    <t>кожа</t>
  </si>
  <si>
    <t>32.30.15.900.000.00.0796.000000000000</t>
  </si>
  <si>
    <t>для плавания, силиконовая</t>
  </si>
  <si>
    <t>32.50.42.900.000.00.0796.000000000008</t>
  </si>
  <si>
    <t>защитные, пластиковые</t>
  </si>
  <si>
    <t>цвет - голубой</t>
  </si>
  <si>
    <t>32.99.21.300.000.00.0796.000000000002</t>
  </si>
  <si>
    <t>Зонт</t>
  </si>
  <si>
    <t>от дождя и солнца, имеющие раздвижной стержень</t>
  </si>
  <si>
    <t>мужской, цвет череный, механизм полуавтомат, открывается нажатием кнопки, закрывается вручную, диаметр купола 128 см, 10 спиц, чехол, ветроустойчивый</t>
  </si>
  <si>
    <t>32.30.16.300.004.00.0796.000000000005</t>
  </si>
  <si>
    <t>Удочка рыболовная</t>
  </si>
  <si>
    <t>телескопическое удилище</t>
  </si>
  <si>
    <t>головка с леской ЕТН-1200 для GET-1200 SL</t>
  </si>
  <si>
    <t>32.30.16.300.002.00.0796.000000000000</t>
  </si>
  <si>
    <t>рыболовная</t>
  </si>
  <si>
    <t>250 гр, лесоемкость 150/0,30, подшипник 7+1, запасная шпуля 1</t>
  </si>
  <si>
    <t>32.30.16.300.005.00.0796.000000000000</t>
  </si>
  <si>
    <t>Крючок</t>
  </si>
  <si>
    <t>рыболовный, одинарный</t>
  </si>
  <si>
    <t>крючки W,P,E из ванадиевой стали, прессованная заточка крючка № 2-5</t>
  </si>
  <si>
    <t>32.30.16.300.001.00.0796.000000000000</t>
  </si>
  <si>
    <t>Поплавок</t>
  </si>
  <si>
    <t>рыболовный</t>
  </si>
  <si>
    <t>каплевидной формы, вес 3-5 гр</t>
  </si>
  <si>
    <t>32.30.16.300.007.00.0796.000000000000</t>
  </si>
  <si>
    <t>Блесна</t>
  </si>
  <si>
    <t>отвесного блеснения</t>
  </si>
  <si>
    <t>Колеблющаяся блесна для хищной рыбы</t>
  </si>
  <si>
    <t>32.30.16.300.006.00.0796.000000000000</t>
  </si>
  <si>
    <t>Груз</t>
  </si>
  <si>
    <t>1-4 гр</t>
  </si>
  <si>
    <t>32.30.16.300.000.00.0796.000000000000</t>
  </si>
  <si>
    <t>0,18 диаметр</t>
  </si>
  <si>
    <t>17.23.13.190.001.00.0796.000000000000</t>
  </si>
  <si>
    <t>Грамота</t>
  </si>
  <si>
    <t>матовая, формат А-4, полноцветная печать</t>
  </si>
  <si>
    <t>с логотипом КМГ и «Сункар»</t>
  </si>
  <si>
    <t>25.99.24.000.002.00.0796.000000000000</t>
  </si>
  <si>
    <t>Кубок</t>
  </si>
  <si>
    <t>спортивный</t>
  </si>
  <si>
    <t>спортивный с указанием призового места 1,2,3, цвет- золотистый</t>
  </si>
  <si>
    <t>32.30.11.500.000.00.0715.000000000000</t>
  </si>
  <si>
    <t>Коньки</t>
  </si>
  <si>
    <t>для фигурного катания</t>
  </si>
  <si>
    <t xml:space="preserve">мужские, размеры: 36-40 </t>
  </si>
  <si>
    <t>женские, белые, размеры: 36 - 40</t>
  </si>
  <si>
    <t>15.20.32.900.002.00.0715.000000000006</t>
  </si>
  <si>
    <t>лыжные, из юфтевой кожи</t>
  </si>
  <si>
    <t>на шнуровке, размеры: 34 - 39</t>
  </si>
  <si>
    <t>08.12.12.119.000.00.0113.000000000001</t>
  </si>
  <si>
    <t>Земля</t>
  </si>
  <si>
    <t>растительная, механизированной заготовки</t>
  </si>
  <si>
    <t>чернозем</t>
  </si>
  <si>
    <t>113</t>
  </si>
  <si>
    <t>перегной</t>
  </si>
  <si>
    <t>20.15.39.900.000.00.0778.000000000000</t>
  </si>
  <si>
    <t>Удобрение</t>
  </si>
  <si>
    <t>для стимуляции роста растений, универсальное, в жидкой форме</t>
  </si>
  <si>
    <t>для комнатных растений; для подкормки зелено-листных растений; Химический состав - азот-8%, фосфорн. кислота-3%, окись калия-5%, бор-0,02%, медь-0,004%, железо-0,04%, марганец-0,02%, молибден-0,002%, цинк-0,004%. Тип универсальное. Объем - 450 мл</t>
  </si>
  <si>
    <t>жидкое комплексное универсальное удобрение для всех комнатных растений , (б:3:7:1,5+мэ+в), объем 450 мл</t>
  </si>
  <si>
    <t>комплесное гранулированное удобрение с микроэлементами для декоративных деревьев и кустарников, масса упаковки 5 кг -+ 1,5%, 5 кг</t>
  </si>
  <si>
    <t>стимулятор корнеообразования для всех комнатных растений и улучшения укоренения черенков, объем 5 гр</t>
  </si>
  <si>
    <t>микроудобрение с высоким содержанием кремния, в ампулах по 1,2 мл</t>
  </si>
  <si>
    <t>20.15.39.900.000.00.0778.000000000001</t>
  </si>
  <si>
    <t>для стимуляции роста растений, универсальное, порошок</t>
  </si>
  <si>
    <t>стимулятор корнеобразования, действующее вещество - индолилмасляная кислота, 5 гр</t>
  </si>
  <si>
    <t>20.15.79.900.000.00.0166.000000000001</t>
  </si>
  <si>
    <t>для хвойных растений, твердое вещество, СТ РК ГОСТ Р 51520-2010</t>
  </si>
  <si>
    <t>20.20.11.900.003.00.0778.000000000000</t>
  </si>
  <si>
    <t>Инсектициды</t>
  </si>
  <si>
    <t>водный раствор, объем 50 мл</t>
  </si>
  <si>
    <t>20.20.11.900.001.00.0778.000000000001</t>
  </si>
  <si>
    <t>Инсектоакарициды</t>
  </si>
  <si>
    <t>авертин N, в концентрации 2 г/л, концентрат эмульсии, в ампулах по 4 мл</t>
  </si>
  <si>
    <t>20.20.15.900.001.00.0870.000000000001</t>
  </si>
  <si>
    <t>Фунгицид</t>
  </si>
  <si>
    <t>для борьбы с грибковыми болезнями растений, жидкость</t>
  </si>
  <si>
    <t>системный фунгицид с профилактическим и куративным действием</t>
  </si>
  <si>
    <t>870</t>
  </si>
  <si>
    <t>Ампула</t>
  </si>
  <si>
    <t>системный биологический бактерицид, фунгицид широкого спектра действия,  2х2 мл</t>
  </si>
  <si>
    <t>32.99.59.500.002.00.0796.000000000000</t>
  </si>
  <si>
    <t>Дренаж</t>
  </si>
  <si>
    <t>для посадки комнатных растений</t>
  </si>
  <si>
    <t>керамзитовый, объем 2 л</t>
  </si>
  <si>
    <t>20.15.59.000.000.00.0778.000000000000</t>
  </si>
  <si>
    <t>Гумат калия</t>
  </si>
  <si>
    <t>удобрение</t>
  </si>
  <si>
    <t>450 мл</t>
  </si>
  <si>
    <t>08.92.10.000.000.00.0778.000000000000</t>
  </si>
  <si>
    <t>Торф</t>
  </si>
  <si>
    <t>земляной, почвенная смесь, для растений</t>
  </si>
  <si>
    <t>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 упаковка - 20 л</t>
  </si>
  <si>
    <t>питательный грунт для комнатный растений, универсальный, 50 л</t>
  </si>
  <si>
    <t>на основе эхинацеи пурпурной, объем 1 мл</t>
  </si>
  <si>
    <t>на основе эпибрассинолида, объем 1 мл</t>
  </si>
  <si>
    <t>на основе индолилмасляной кислоты, объем 4 гр</t>
  </si>
  <si>
    <t>на основе продукта жизнедеятельности дождевых червей (биогумуса), объем 0,5 л</t>
  </si>
  <si>
    <t>для пальм, 30 гр</t>
  </si>
  <si>
    <t>таблетки (палочки)</t>
  </si>
  <si>
    <t>20.20.12.900.000.00.0112.000000000000</t>
  </si>
  <si>
    <t>Гербицид</t>
  </si>
  <si>
    <t>глифосат</t>
  </si>
  <si>
    <t>объем 1 л</t>
  </si>
  <si>
    <t>20.59.59.630.011.00.0112.000000000000</t>
  </si>
  <si>
    <t>Альгицид</t>
  </si>
  <si>
    <t>жидкий</t>
  </si>
  <si>
    <t>быстродействующий альгицид,  двойного действия, предотвращающий образование микро-водорослей и обладающий сильным бактерицидным действием.</t>
  </si>
  <si>
    <t>20.13.21.110.000.00.0166.000000000002</t>
  </si>
  <si>
    <t>Хлор</t>
  </si>
  <si>
    <t>таблетка</t>
  </si>
  <si>
    <t>медленнорастворимые таблетки хлора</t>
  </si>
  <si>
    <t>20.13.21.110.000.00.0166.000000000003</t>
  </si>
  <si>
    <t>гранулы</t>
  </si>
  <si>
    <t>быстрорастворимые гранулы хлора</t>
  </si>
  <si>
    <t>20.13.21.110.000.00.0778.000000000000</t>
  </si>
  <si>
    <t>быстрорастворимые хлорные таблетки, 25 кг, для «шокового» (ударного) хлорирования воды.</t>
  </si>
  <si>
    <t>20.59.52.100.001.00.0112.000000000000</t>
  </si>
  <si>
    <t>Реагент</t>
  </si>
  <si>
    <t>для очистки воды, коагулянт</t>
  </si>
  <si>
    <t>флокулянт против мутности воды</t>
  </si>
  <si>
    <t>20.59.52.100.001.00.0778.000000000002</t>
  </si>
  <si>
    <t>для тестера, для измерения уровня pH воды </t>
  </si>
  <si>
    <t>для определения РН и CI</t>
  </si>
  <si>
    <t>20.59.59.630.005.00.0166.000000000000</t>
  </si>
  <si>
    <t>Реактив</t>
  </si>
  <si>
    <t>для понижения значения воды, рН-минус</t>
  </si>
  <si>
    <t>препарат для понижения РН, кислотные гранулы для снижения величины РН воды. (состав: бисульфат натрия). в гранулах – 5кг</t>
  </si>
  <si>
    <t>22.29.23.200.007.00.0778.000000000000</t>
  </si>
  <si>
    <t>Стакан</t>
  </si>
  <si>
    <t>пластиковый, одноразовый, объем 200 мл</t>
  </si>
  <si>
    <t>пластиковые 200 мл. 100 шт в упаковке</t>
  </si>
  <si>
    <t>23.41.11.300.020.00.0796.000000000004</t>
  </si>
  <si>
    <t>Блюдо</t>
  </si>
  <si>
    <t>фарфоровое, крупное, вместимость не менее 600 см3, диаметр не менее 220 мм, ГОСТ 28390-89</t>
  </si>
  <si>
    <t>Фарфор покрытый глянцем, цвет-белый,  диаметр 30/22 см.</t>
  </si>
  <si>
    <t>23.41.11.300.020.00.0796.000000000003</t>
  </si>
  <si>
    <t>фарфоровое, среднее, вместимость 250-600 см3, диаметр 175-250 мм, ГОСТ 28390-89</t>
  </si>
  <si>
    <t>Фарфор покрытый глянцем, цвет-белый,  диаметр 24/18 см.</t>
  </si>
  <si>
    <t>23.41.11.300.014.01.0796.000000000001</t>
  </si>
  <si>
    <t>Тарелка</t>
  </si>
  <si>
    <t>фарфоровая, полая, глубина более 25 мм, ГОСТ 28390-89</t>
  </si>
  <si>
    <t>под перое блюдо, фарфор, покрытый глянцем, цвет-белый, диаметр 16 см, глубина 6 см</t>
  </si>
  <si>
    <t>23.41.11.300.014.01.0796.000000000000</t>
  </si>
  <si>
    <t>фарфоровая, плоская, глубина не более 25 мм, ГОСТ 28390-89</t>
  </si>
  <si>
    <t>под второе блюдо, фарфор покрытый глянцем, цвет-белый, диаметр 25 см</t>
  </si>
  <si>
    <t>23.41.11.300.012.01.0796.000000000001</t>
  </si>
  <si>
    <t>Салатница</t>
  </si>
  <si>
    <t>фарфоровая, вместимость 250-600см3, средняя, диаметр 175-250 мм, ГОСТ 28390-89</t>
  </si>
  <si>
    <t>Фарфор покрытый глянцем, цвет-белый, диаметр 20 см</t>
  </si>
  <si>
    <t>23.41.11.300.021.00.0796.000000000000</t>
  </si>
  <si>
    <t>Чашка</t>
  </si>
  <si>
    <t>фарфоровая, вместимость менее 500 см3, чайная, ГОСТ 28390-89</t>
  </si>
  <si>
    <t>200 гр, белая</t>
  </si>
  <si>
    <t>23.41.11.300.021.00.0704.000000000006</t>
  </si>
  <si>
    <t>фарфоровая, с блюдцем, обычная, ГОСТ 28390-89</t>
  </si>
  <si>
    <t>6 штук в наборе</t>
  </si>
  <si>
    <t>23.13.12.500.004.01.0796.000000000002</t>
  </si>
  <si>
    <t>Рюмка</t>
  </si>
  <si>
    <t>стеклянная, машинной обработки, на длинной ножке, ГОСТ 30407-96</t>
  </si>
  <si>
    <t>Тонкое прозачное стекло, на ножке, объём 60 мл</t>
  </si>
  <si>
    <t>23.13.12.500.003.02.0796.000000000000</t>
  </si>
  <si>
    <t>средний, из стекла, высота 100-200 мм, вместимость свыше  100-500 см3, машинной обработки, ГОСТ 30407-96</t>
  </si>
  <si>
    <t>для виски, тонкое прозачное стекло, объём 200 мл</t>
  </si>
  <si>
    <t>23.13.12.500.003.01.0796.000000000000</t>
  </si>
  <si>
    <t>крупный, из стекла, высота 200-300 мм, вместимость 500-1000 см3, машинной обработки , ГОСТ 30407-96</t>
  </si>
  <si>
    <t>для напитков, тонкое прозачное стекло, объём 250 мл</t>
  </si>
  <si>
    <t>23.13.13.500.000.00.0796.000000000000</t>
  </si>
  <si>
    <t>Креманка</t>
  </si>
  <si>
    <t>стеклянная</t>
  </si>
  <si>
    <t>Тонкое прозачное стекло, на ножке, объём 150 мл</t>
  </si>
  <si>
    <t>23.13.13.100.000.00.0796.000000000001</t>
  </si>
  <si>
    <t>Кувшин</t>
  </si>
  <si>
    <t>стеклянный, вместимость 2 литра, ГОСТ 30407-96</t>
  </si>
  <si>
    <t>23.13.13.700.001.00.0796.000000000001</t>
  </si>
  <si>
    <t>Графин</t>
  </si>
  <si>
    <t>стеклянный, для воды, ГОСТ 30407-96</t>
  </si>
  <si>
    <t>для алкоголя 1 л</t>
  </si>
  <si>
    <t>25.71.11.390.000.00.0796.000000000004</t>
  </si>
  <si>
    <t>кухонный</t>
  </si>
  <si>
    <t>поварской, лезвие 22 см, ширина от ручки 4 см</t>
  </si>
  <si>
    <t>поварской, пилка, нержавеющая сталь, рукоятка из пластмассы, не требующий заточки</t>
  </si>
  <si>
    <t>25.73.10.400.000.00.0796.000000000003</t>
  </si>
  <si>
    <t>поварский</t>
  </si>
  <si>
    <t>черенок  69 см, лезвие 21,5 см</t>
  </si>
  <si>
    <t>16.29.12.000.007.00.0796.000000000000</t>
  </si>
  <si>
    <t>деревянная, разделочная</t>
  </si>
  <si>
    <t>материал: берёза, р-р 500-300-30 мм</t>
  </si>
  <si>
    <t>25.99.12.400.027.00.0796.000000000013</t>
  </si>
  <si>
    <t>Кастрюля</t>
  </si>
  <si>
    <t>вместимость 5 л</t>
  </si>
  <si>
    <t>эмалированная с крышкой</t>
  </si>
  <si>
    <t>25.99.12.400.031.00.0796.000000000005</t>
  </si>
  <si>
    <t>Сковорода</t>
  </si>
  <si>
    <t>вместимость 2,5л</t>
  </si>
  <si>
    <t>Покрытие тефлоновое, с ручкой, с крышкой, диаметр 30 см</t>
  </si>
  <si>
    <t>16.29.12.000.003.00.0796.000000000000</t>
  </si>
  <si>
    <t>Хлебница</t>
  </si>
  <si>
    <t>плетеная</t>
  </si>
  <si>
    <t>Круглая, из деревянных палочек, соединённых между собой леской, диаметр дна 15 см, диаметр корзины 25 см</t>
  </si>
  <si>
    <t>25.99.12.400.006.00.0796.000000000003</t>
  </si>
  <si>
    <t>Штопор</t>
  </si>
  <si>
    <t>рычажный</t>
  </si>
  <si>
    <t>Штопор для вина с двумя не скользящими ручками из нержавеющей стали и пластика</t>
  </si>
  <si>
    <t>25.99.12.400.010.00.0796.000000000000</t>
  </si>
  <si>
    <t>пластмассовая тёрка для корейских салатов</t>
  </si>
  <si>
    <t>25.99.12.200.004.00.0796.000000000000</t>
  </si>
  <si>
    <t>Дуршлаг</t>
  </si>
  <si>
    <t>25.99.12.400.007.00.0796.000000000000</t>
  </si>
  <si>
    <t>Чеснокодавка</t>
  </si>
  <si>
    <t>25.71.14.410.012.00.0796.000000000004</t>
  </si>
  <si>
    <t>Ложка</t>
  </si>
  <si>
    <t>из нержавеющей стали, чайная</t>
  </si>
  <si>
    <t>длина 15 см, диаметр 3 см</t>
  </si>
  <si>
    <t>25.71.14.410.012.00.0796.000000000001</t>
  </si>
  <si>
    <t>из нержавеющей стали, столовая</t>
  </si>
  <si>
    <t>длина 19 см, диаметр 4 см</t>
  </si>
  <si>
    <t>25.71.14.410.014.00.0796.000000000000</t>
  </si>
  <si>
    <t xml:space="preserve"> 4 рожковые, длина 19 см</t>
  </si>
  <si>
    <t>13.92.13.590.003.00.0796.000000000010</t>
  </si>
  <si>
    <t>Скатерть</t>
  </si>
  <si>
    <t>столовая, из тканей из искусственных волокон, банкетная, размер 173*500 см</t>
  </si>
  <si>
    <t>Скатерть белая, ткань смесовая (50% полиэстер,50% вискоза), р-р 4500/1500 см.</t>
  </si>
  <si>
    <t>17.22.11.500.000.00.0006.000000000003</t>
  </si>
  <si>
    <t>клеенка</t>
  </si>
  <si>
    <t>столовая, на тканевой или нетканевой основе, с поливинилхлоридным покрытием</t>
  </si>
  <si>
    <t>прозрачная, ширина 1,5 м,толщина 2 мм</t>
  </si>
  <si>
    <t>гелевая, прозрачная, ширина 1,5 м,толщина 2 мм</t>
  </si>
  <si>
    <t>22.29.23.250.002.00.0796.000000000000</t>
  </si>
  <si>
    <t>пластиковая, объем 500 мл</t>
  </si>
  <si>
    <t>22.29.23.200.007.00.0796.000000000001</t>
  </si>
  <si>
    <t>22.29.23.200.008.00.0796.000000000000</t>
  </si>
  <si>
    <t>одноразовая, пластиковая, длина 16 см</t>
  </si>
  <si>
    <t>22.29.23.200.001.00.0796.000000000000</t>
  </si>
  <si>
    <t>22.29.26.150.000.00.0796.000000000001</t>
  </si>
  <si>
    <t>Фурнитура для мебели</t>
  </si>
  <si>
    <t>фурнитура и соединительные изделия</t>
  </si>
  <si>
    <t xml:space="preserve">Бабочка пневматическая с амплитудой качания, регулируется плавность хода. </t>
  </si>
  <si>
    <t>Бабочка с синхромеханизмом</t>
  </si>
  <si>
    <t>Задняя спинка из кожи для представительского кресла</t>
  </si>
  <si>
    <t>Крестовина деревянная без колес</t>
  </si>
  <si>
    <t>22.29.26.150.000.00.0796.000000000000</t>
  </si>
  <si>
    <t>фурнитура и крепежные изделия</t>
  </si>
  <si>
    <t>Навесы мебельные</t>
  </si>
  <si>
    <t>Уголок мебельный</t>
  </si>
  <si>
    <t>Мебельные гвозди №2, в упаковке 50 шг.</t>
  </si>
  <si>
    <t>Хомут 50*32</t>
  </si>
  <si>
    <t>Хомут 20*32</t>
  </si>
  <si>
    <t>Сердцевина замочная № 7</t>
  </si>
  <si>
    <t>Сердцевина замочная № 8</t>
  </si>
  <si>
    <t>Сердцевина замочная № 6</t>
  </si>
  <si>
    <t>31.00.14.400.000.00.0796.000000000000</t>
  </si>
  <si>
    <t>пластиковая, для кресла</t>
  </si>
  <si>
    <t>Крестовина пластиковая без колес</t>
  </si>
  <si>
    <t>Крестовина пластиковая с колесами</t>
  </si>
  <si>
    <t>31.00.14.400.001.00.0796.000000000000</t>
  </si>
  <si>
    <t>Колесики</t>
  </si>
  <si>
    <t>для кресла, пластиковые</t>
  </si>
  <si>
    <t>Колесо обычное пластиковое, барашек, таблетки</t>
  </si>
  <si>
    <t>Ручки дверные</t>
  </si>
  <si>
    <t>25.72.13.300.000.00.0796.000000000002</t>
  </si>
  <si>
    <t>Шпингалет</t>
  </si>
  <si>
    <t>мебельный, тип закрытый</t>
  </si>
  <si>
    <t>Шпингалеты дверные</t>
  </si>
  <si>
    <t>25.99.29.900.002.00.0839.000000000000</t>
  </si>
  <si>
    <t>Устройство опечатывающее</t>
  </si>
  <si>
    <t>флажковый, в комплекте с пломбиром</t>
  </si>
  <si>
    <t>22.29.29.900.075.00.0796.000000000000</t>
  </si>
  <si>
    <t>Табличка</t>
  </si>
  <si>
    <t>информационная, пластиковая</t>
  </si>
  <si>
    <t>"осторожно мокрый пол/ скользко"</t>
  </si>
  <si>
    <t>32.99.59.900.001.00.0796.000000000000</t>
  </si>
  <si>
    <t>для двери, пластмассовый</t>
  </si>
  <si>
    <t>26.20.30.100.028.00.0796.000000000000</t>
  </si>
  <si>
    <t>Бесконтактная карта</t>
  </si>
  <si>
    <t>проксимити, пластиковая, с чипом</t>
  </si>
  <si>
    <t>для СКУД EM-Marine</t>
  </si>
  <si>
    <t xml:space="preserve">INDAL А (тонкая 0,8 мм), Тип микросхемы: EM-Marine, Рабочая частота: 125KHz, Тип карты: Read only, Материал: PVC, Цвет: белый, Размеры(мм): 86х54х0.8 </t>
  </si>
  <si>
    <t>27.40.24.000.003.00.0796.000000000000</t>
  </si>
  <si>
    <t>Конус сигнальный</t>
  </si>
  <si>
    <t>дорожный</t>
  </si>
  <si>
    <t>конус оградительный  мягкий с утяжелением, 750 мм</t>
  </si>
  <si>
    <t>250 м</t>
  </si>
  <si>
    <t>23.12.13.500.000.04.0796.000000000003</t>
  </si>
  <si>
    <t>дорожное, сферическое, диаметр 600 мм</t>
  </si>
  <si>
    <t>800 мм</t>
  </si>
  <si>
    <t>17.23.13.700.000.00.0796.000000000001</t>
  </si>
  <si>
    <t>Бланк</t>
  </si>
  <si>
    <t>конкретного вида документа</t>
  </si>
  <si>
    <t>Книга формата А5. Внутренний блок 100 листов, бумага 80 гр/кв.м., печать офсетная 3+1, перфорация. Обложка бумага 300 гр/кв.м. мелованная, печать цифровая 4+0. Мягкий переплет на скобу.</t>
  </si>
  <si>
    <t>08.12.11.900.000.00.0168.000000000002</t>
  </si>
  <si>
    <t>Песок</t>
  </si>
  <si>
    <t>природный, 1 класс, крупный, ГОСТ 8736-2014</t>
  </si>
  <si>
    <t>речной, для посыпки дорог</t>
  </si>
  <si>
    <t>168</t>
  </si>
  <si>
    <t>Тонна (метрическая)</t>
  </si>
  <si>
    <t>08.93.10.900.005.00.0166.000000000001</t>
  </si>
  <si>
    <t>кристаллическая, ГОСТ 2713-74</t>
  </si>
  <si>
    <t>для посыпки дорог</t>
  </si>
  <si>
    <t>Ковролан прорезиненный для входных групп, 100 % нейлон, обработанный влагоотталкивающей пропиткой</t>
  </si>
  <si>
    <t>25.11.23.677.000.00.0018.000000000000</t>
  </si>
  <si>
    <t>металлический, для напольных покрытий</t>
  </si>
  <si>
    <t>для ковролана</t>
  </si>
  <si>
    <t>556 Т</t>
  </si>
  <si>
    <t>557 Т</t>
  </si>
  <si>
    <t>558 Т</t>
  </si>
  <si>
    <t>559 Т</t>
  </si>
  <si>
    <t>560 Т</t>
  </si>
  <si>
    <t>561 Т</t>
  </si>
  <si>
    <t>562 Т</t>
  </si>
  <si>
    <t>563 Т</t>
  </si>
  <si>
    <t>564 Т</t>
  </si>
  <si>
    <t>565 Т</t>
  </si>
  <si>
    <t>566 Т</t>
  </si>
  <si>
    <t>567 Т</t>
  </si>
  <si>
    <t>568 Т</t>
  </si>
  <si>
    <t>569 Т</t>
  </si>
  <si>
    <t>570 Т</t>
  </si>
  <si>
    <t>571 Т</t>
  </si>
  <si>
    <t>572 Т</t>
  </si>
  <si>
    <t>573 Т</t>
  </si>
  <si>
    <t>574 Т</t>
  </si>
  <si>
    <t>575 Т</t>
  </si>
  <si>
    <t>576 Т</t>
  </si>
  <si>
    <t>577 Т</t>
  </si>
  <si>
    <t>578 Т</t>
  </si>
  <si>
    <t>579 Т</t>
  </si>
  <si>
    <t>580 Т</t>
  </si>
  <si>
    <t>581 Т</t>
  </si>
  <si>
    <t>582 Т</t>
  </si>
  <si>
    <t>583 Т</t>
  </si>
  <si>
    <t>584 Т</t>
  </si>
  <si>
    <t>585 Т</t>
  </si>
  <si>
    <t>586 Т</t>
  </si>
  <si>
    <t>587 Т</t>
  </si>
  <si>
    <t>588 Т</t>
  </si>
  <si>
    <t>589 Т</t>
  </si>
  <si>
    <t>590 Т</t>
  </si>
  <si>
    <t>591 Т</t>
  </si>
  <si>
    <t>592 Т</t>
  </si>
  <si>
    <t>593 Т</t>
  </si>
  <si>
    <t>594 Т</t>
  </si>
  <si>
    <t>595 Т</t>
  </si>
  <si>
    <t>596 Т</t>
  </si>
  <si>
    <t>597 Т</t>
  </si>
  <si>
    <t>598 Т</t>
  </si>
  <si>
    <t>599 Т</t>
  </si>
  <si>
    <t>600 Т</t>
  </si>
  <si>
    <t>601 Т</t>
  </si>
  <si>
    <t>602 Т</t>
  </si>
  <si>
    <t>603 Т</t>
  </si>
  <si>
    <t>604 Т</t>
  </si>
  <si>
    <t>605 Т</t>
  </si>
  <si>
    <t>606 Т</t>
  </si>
  <si>
    <t>607 Т</t>
  </si>
  <si>
    <t>608 Т</t>
  </si>
  <si>
    <t>609 Т</t>
  </si>
  <si>
    <t>610 Т</t>
  </si>
  <si>
    <t>611 Т</t>
  </si>
  <si>
    <t>612 Т</t>
  </si>
  <si>
    <t>613 Т</t>
  </si>
  <si>
    <t>614 Т</t>
  </si>
  <si>
    <t>615 Т</t>
  </si>
  <si>
    <t>616 Т</t>
  </si>
  <si>
    <t>617 Т</t>
  </si>
  <si>
    <t>618 Т</t>
  </si>
  <si>
    <t>619 Т</t>
  </si>
  <si>
    <t>620 Т</t>
  </si>
  <si>
    <t>621 Т</t>
  </si>
  <si>
    <t>622 Т</t>
  </si>
  <si>
    <t>623 Т</t>
  </si>
  <si>
    <t>624 Т</t>
  </si>
  <si>
    <t>625 Т</t>
  </si>
  <si>
    <t>626 Т</t>
  </si>
  <si>
    <t>627 Т</t>
  </si>
  <si>
    <t>628 Т</t>
  </si>
  <si>
    <t>629 Т</t>
  </si>
  <si>
    <t>630 Т</t>
  </si>
  <si>
    <t>631 Т</t>
  </si>
  <si>
    <t>632 Т</t>
  </si>
  <si>
    <t>633 Т</t>
  </si>
  <si>
    <t>634 Т</t>
  </si>
  <si>
    <t>635 Т</t>
  </si>
  <si>
    <t>636 Т</t>
  </si>
  <si>
    <t>637 Т</t>
  </si>
  <si>
    <t>638 Т</t>
  </si>
  <si>
    <t>639 Т</t>
  </si>
  <si>
    <t>640 Т</t>
  </si>
  <si>
    <t>641 Т</t>
  </si>
  <si>
    <t>642 Т</t>
  </si>
  <si>
    <t>643 Т</t>
  </si>
  <si>
    <t>644 Т</t>
  </si>
  <si>
    <t>645 Т</t>
  </si>
  <si>
    <t>646 Т</t>
  </si>
  <si>
    <t>647 Т</t>
  </si>
  <si>
    <t>648 Т</t>
  </si>
  <si>
    <t>649 Т</t>
  </si>
  <si>
    <t>650 Т</t>
  </si>
  <si>
    <t>651 Т</t>
  </si>
  <si>
    <t>652 Т</t>
  </si>
  <si>
    <t>653 Т</t>
  </si>
  <si>
    <t>654 Т</t>
  </si>
  <si>
    <t>655 Т</t>
  </si>
  <si>
    <t>656 Т</t>
  </si>
  <si>
    <t>657 Т</t>
  </si>
  <si>
    <t>658 Т</t>
  </si>
  <si>
    <t>659 Т</t>
  </si>
  <si>
    <t>660 Т</t>
  </si>
  <si>
    <t>661 Т</t>
  </si>
  <si>
    <t>662 Т</t>
  </si>
  <si>
    <t>663 Т</t>
  </si>
  <si>
    <t>664 Т</t>
  </si>
  <si>
    <t>665 Т</t>
  </si>
  <si>
    <t>666 Т</t>
  </si>
  <si>
    <t>667 Т</t>
  </si>
  <si>
    <t>668 Т</t>
  </si>
  <si>
    <t>669 Т</t>
  </si>
  <si>
    <t>670 Т</t>
  </si>
  <si>
    <t>671 Т</t>
  </si>
  <si>
    <t>672 Т</t>
  </si>
  <si>
    <t>673 Т</t>
  </si>
  <si>
    <t>674 Т</t>
  </si>
  <si>
    <t>675 Т</t>
  </si>
  <si>
    <t>676 Т</t>
  </si>
  <si>
    <t>677 Т</t>
  </si>
  <si>
    <t>678 Т</t>
  </si>
  <si>
    <t>679 Т</t>
  </si>
  <si>
    <t>680 Т</t>
  </si>
  <si>
    <t>681 Т</t>
  </si>
  <si>
    <t>682 Т</t>
  </si>
  <si>
    <t>683 Т</t>
  </si>
  <si>
    <t>684 Т</t>
  </si>
  <si>
    <t>685 Т</t>
  </si>
  <si>
    <t>686 Т</t>
  </si>
  <si>
    <t>687 Т</t>
  </si>
  <si>
    <t>688 Т</t>
  </si>
  <si>
    <t>689 Т</t>
  </si>
  <si>
    <t>690 Т</t>
  </si>
  <si>
    <t>691 Т</t>
  </si>
  <si>
    <t>692 Т</t>
  </si>
  <si>
    <t>693 Т</t>
  </si>
  <si>
    <t>694 Т</t>
  </si>
  <si>
    <t>695 Т</t>
  </si>
  <si>
    <t>696 Т</t>
  </si>
  <si>
    <t>697 Т</t>
  </si>
  <si>
    <t>698 Т</t>
  </si>
  <si>
    <t>699 Т</t>
  </si>
  <si>
    <t>700 Т</t>
  </si>
  <si>
    <t>701 Т</t>
  </si>
  <si>
    <t>702 Т</t>
  </si>
  <si>
    <t>703 Т</t>
  </si>
  <si>
    <t>704 Т</t>
  </si>
  <si>
    <t>705 Т</t>
  </si>
  <si>
    <t>706 Т</t>
  </si>
  <si>
    <t>707 Т</t>
  </si>
  <si>
    <t>708 Т</t>
  </si>
  <si>
    <t>709 Т</t>
  </si>
  <si>
    <t>710 Т</t>
  </si>
  <si>
    <t>711 Т</t>
  </si>
  <si>
    <t>712 Т</t>
  </si>
  <si>
    <t>713 Т</t>
  </si>
  <si>
    <t>714 Т</t>
  </si>
  <si>
    <t>715 Т</t>
  </si>
  <si>
    <t>716 Т</t>
  </si>
  <si>
    <t>717 Т</t>
  </si>
  <si>
    <t>718 Т</t>
  </si>
  <si>
    <t>719 Т</t>
  </si>
  <si>
    <t>720 Т</t>
  </si>
  <si>
    <t>721 Т</t>
  </si>
  <si>
    <t>722 Т</t>
  </si>
  <si>
    <t>723 Т</t>
  </si>
  <si>
    <t>724 Т</t>
  </si>
  <si>
    <t>725 Т</t>
  </si>
  <si>
    <t>726 Т</t>
  </si>
  <si>
    <t>727 Т</t>
  </si>
  <si>
    <t>728 Т</t>
  </si>
  <si>
    <t>729 Т</t>
  </si>
  <si>
    <t>730 Т</t>
  </si>
  <si>
    <t>731 Т</t>
  </si>
  <si>
    <t>732 Т</t>
  </si>
  <si>
    <t>733 Т</t>
  </si>
  <si>
    <t>734 Т</t>
  </si>
  <si>
    <t>735 Т</t>
  </si>
  <si>
    <t>736 Т</t>
  </si>
  <si>
    <t>737 Т</t>
  </si>
  <si>
    <t>738 Т</t>
  </si>
  <si>
    <t>739 Т</t>
  </si>
  <si>
    <t>740 Т</t>
  </si>
  <si>
    <t>741 Т</t>
  </si>
  <si>
    <t>742 Т</t>
  </si>
  <si>
    <t>743 Т</t>
  </si>
  <si>
    <t>744 Т</t>
  </si>
  <si>
    <t>745 Т</t>
  </si>
  <si>
    <t>746 Т</t>
  </si>
  <si>
    <t>747 Т</t>
  </si>
  <si>
    <t>748 Т</t>
  </si>
  <si>
    <t>749 Т</t>
  </si>
  <si>
    <t>750 Т</t>
  </si>
  <si>
    <t>751 Т</t>
  </si>
  <si>
    <t>752 Т</t>
  </si>
  <si>
    <t>753 Т</t>
  </si>
  <si>
    <t>754 Т</t>
  </si>
  <si>
    <t>755 Т</t>
  </si>
  <si>
    <t>756 Т</t>
  </si>
  <si>
    <t>757 Т</t>
  </si>
  <si>
    <t>758 Т</t>
  </si>
  <si>
    <t>759 Т</t>
  </si>
  <si>
    <t>760 Т</t>
  </si>
  <si>
    <t>761 Т</t>
  </si>
  <si>
    <t>762 Т</t>
  </si>
  <si>
    <t>763 Т</t>
  </si>
  <si>
    <t>764 Т</t>
  </si>
  <si>
    <t>765 Т</t>
  </si>
  <si>
    <t>766 Т</t>
  </si>
  <si>
    <t>767 Т</t>
  </si>
  <si>
    <t>768 Т</t>
  </si>
  <si>
    <t>769 Т</t>
  </si>
  <si>
    <t>770 Т</t>
  </si>
  <si>
    <t>771 Т</t>
  </si>
  <si>
    <t>772 Т</t>
  </si>
  <si>
    <t>773 Т</t>
  </si>
  <si>
    <t>774 Т</t>
  </si>
  <si>
    <t>775 Т</t>
  </si>
  <si>
    <t>776 Т</t>
  </si>
  <si>
    <t>777 Т</t>
  </si>
  <si>
    <t>778 Т</t>
  </si>
  <si>
    <t>779 Т</t>
  </si>
  <si>
    <t>780 Т</t>
  </si>
  <si>
    <t>781 Т</t>
  </si>
  <si>
    <t>782 Т</t>
  </si>
  <si>
    <t>783 Т</t>
  </si>
  <si>
    <t>784 Т</t>
  </si>
  <si>
    <t>785 Т</t>
  </si>
  <si>
    <t>786 Т</t>
  </si>
  <si>
    <t>787 Т</t>
  </si>
  <si>
    <t>788 Т</t>
  </si>
  <si>
    <t>789 Т</t>
  </si>
  <si>
    <t>790 Т</t>
  </si>
  <si>
    <t>791 Т</t>
  </si>
  <si>
    <t>792 Т</t>
  </si>
  <si>
    <t>793 Т</t>
  </si>
  <si>
    <t>794 Т</t>
  </si>
  <si>
    <t>795 Т</t>
  </si>
  <si>
    <t>796 Т</t>
  </si>
  <si>
    <t>797 Т</t>
  </si>
  <si>
    <t>798 Т</t>
  </si>
  <si>
    <t>799 Т</t>
  </si>
  <si>
    <t>800 Т</t>
  </si>
  <si>
    <t>801 Т</t>
  </si>
  <si>
    <t>802 Т</t>
  </si>
  <si>
    <t>803 Т</t>
  </si>
  <si>
    <t>804 Т</t>
  </si>
  <si>
    <t>805 Т</t>
  </si>
  <si>
    <t>806 Т</t>
  </si>
  <si>
    <t>807 Т</t>
  </si>
  <si>
    <t>808 Т</t>
  </si>
  <si>
    <t>809 Т</t>
  </si>
  <si>
    <t>810 Т</t>
  </si>
  <si>
    <t>811 Т</t>
  </si>
  <si>
    <t>812 Т</t>
  </si>
  <si>
    <t>813 Т</t>
  </si>
  <si>
    <t>814 Т</t>
  </si>
  <si>
    <t>815 Т</t>
  </si>
  <si>
    <t>816 Т</t>
  </si>
  <si>
    <t>817 Т</t>
  </si>
  <si>
    <t>818 Т</t>
  </si>
  <si>
    <t>819 Т</t>
  </si>
  <si>
    <t>820 Т</t>
  </si>
  <si>
    <t>821 Т</t>
  </si>
  <si>
    <t>822 Т</t>
  </si>
  <si>
    <t>823 Т</t>
  </si>
  <si>
    <t>824 Т</t>
  </si>
  <si>
    <t>825 Т</t>
  </si>
  <si>
    <t>826 Т</t>
  </si>
  <si>
    <t>827 Т</t>
  </si>
  <si>
    <t>828 Т</t>
  </si>
  <si>
    <t>829 Т</t>
  </si>
  <si>
    <t>830 Т</t>
  </si>
  <si>
    <t>831 Т</t>
  </si>
  <si>
    <t>832 Т</t>
  </si>
  <si>
    <t>833 Т</t>
  </si>
  <si>
    <t>834 Т</t>
  </si>
  <si>
    <t>835 Т</t>
  </si>
  <si>
    <t>836 Т</t>
  </si>
  <si>
    <t>837 Т</t>
  </si>
  <si>
    <t>838 Т</t>
  </si>
  <si>
    <t>839 Т</t>
  </si>
  <si>
    <t>840 Т</t>
  </si>
  <si>
    <t>841 Т</t>
  </si>
  <si>
    <t>842 Т</t>
  </si>
  <si>
    <t>843 Т</t>
  </si>
  <si>
    <t>844 Т</t>
  </si>
  <si>
    <t>845 Т</t>
  </si>
  <si>
    <t>846 Т</t>
  </si>
  <si>
    <t>847 Т</t>
  </si>
  <si>
    <t>848 Т</t>
  </si>
  <si>
    <t>849 Т</t>
  </si>
  <si>
    <t>850 Т</t>
  </si>
  <si>
    <t>851 Т</t>
  </si>
  <si>
    <t>852 Т</t>
  </si>
  <si>
    <t>853 Т</t>
  </si>
  <si>
    <t>854 Т</t>
  </si>
  <si>
    <t>855 Т</t>
  </si>
  <si>
    <t>856 Т</t>
  </si>
  <si>
    <t>857 Т</t>
  </si>
  <si>
    <t>858 Т</t>
  </si>
  <si>
    <t>859 Т</t>
  </si>
  <si>
    <t>860 Т</t>
  </si>
  <si>
    <t>861 Т</t>
  </si>
  <si>
    <t>862 Т</t>
  </si>
  <si>
    <t>863 Т</t>
  </si>
  <si>
    <t>864 Т</t>
  </si>
  <si>
    <t>865 Т</t>
  </si>
  <si>
    <t>866 Т</t>
  </si>
  <si>
    <t>867 Т</t>
  </si>
  <si>
    <t>868 Т</t>
  </si>
  <si>
    <t>869 Т</t>
  </si>
  <si>
    <t>870 Т</t>
  </si>
  <si>
    <t>871 Т</t>
  </si>
  <si>
    <t>872 Т</t>
  </si>
  <si>
    <t>873 Т</t>
  </si>
  <si>
    <t>874 Т</t>
  </si>
  <si>
    <t>875 Т</t>
  </si>
  <si>
    <t>876 Т</t>
  </si>
  <si>
    <t>877 Т</t>
  </si>
  <si>
    <t>878 Т</t>
  </si>
  <si>
    <t>879 Т</t>
  </si>
  <si>
    <t>880 Т</t>
  </si>
  <si>
    <t>881 Т</t>
  </si>
  <si>
    <t>882 Т</t>
  </si>
  <si>
    <t>883 Т</t>
  </si>
  <si>
    <t>884 Т</t>
  </si>
  <si>
    <t>885 Т</t>
  </si>
  <si>
    <t>886 Т</t>
  </si>
  <si>
    <t>887 Т</t>
  </si>
  <si>
    <t>888 Т</t>
  </si>
  <si>
    <t>889 Т</t>
  </si>
  <si>
    <t>890 Т</t>
  </si>
  <si>
    <t>891 Т</t>
  </si>
  <si>
    <t>892 Т</t>
  </si>
  <si>
    <t>893 Т</t>
  </si>
  <si>
    <t>894 Т</t>
  </si>
  <si>
    <t>895 Т</t>
  </si>
  <si>
    <t>896 Т</t>
  </si>
  <si>
    <t>897 Т</t>
  </si>
  <si>
    <t>898 Т</t>
  </si>
  <si>
    <t>899 Т</t>
  </si>
  <si>
    <t>900 Т</t>
  </si>
  <si>
    <t>901 Т</t>
  </si>
  <si>
    <t>902 Т</t>
  </si>
  <si>
    <t>903 Т</t>
  </si>
  <si>
    <t>904 Т</t>
  </si>
  <si>
    <t>905 Т</t>
  </si>
  <si>
    <t>906 Т</t>
  </si>
  <si>
    <t>907 Т</t>
  </si>
  <si>
    <t>908 Т</t>
  </si>
  <si>
    <t>909 Т</t>
  </si>
  <si>
    <t>910 Т</t>
  </si>
  <si>
    <t>911 Т</t>
  </si>
  <si>
    <t>912 Т</t>
  </si>
  <si>
    <t>913 Т</t>
  </si>
  <si>
    <t>914 Т</t>
  </si>
  <si>
    <t>915 Т</t>
  </si>
  <si>
    <t>916 Т</t>
  </si>
  <si>
    <t>917 Т</t>
  </si>
  <si>
    <t>918 Т</t>
  </si>
  <si>
    <t>919 Т</t>
  </si>
  <si>
    <t>920 Т</t>
  </si>
  <si>
    <t>921 Т</t>
  </si>
  <si>
    <t>922 Т</t>
  </si>
  <si>
    <t>923 Т</t>
  </si>
  <si>
    <t>924 Т</t>
  </si>
  <si>
    <t>925 Т</t>
  </si>
  <si>
    <t>926 Т</t>
  </si>
  <si>
    <t>927 Т</t>
  </si>
  <si>
    <t>928 Т</t>
  </si>
  <si>
    <t>929 Т</t>
  </si>
  <si>
    <t>930 Т</t>
  </si>
  <si>
    <t>931 Т</t>
  </si>
  <si>
    <t>932 Т</t>
  </si>
  <si>
    <t>933 Т</t>
  </si>
  <si>
    <t>934 Т</t>
  </si>
  <si>
    <t>935 Т</t>
  </si>
  <si>
    <t>936 Т</t>
  </si>
  <si>
    <t>937 Т</t>
  </si>
  <si>
    <t>938 Т</t>
  </si>
  <si>
    <t>939 Т</t>
  </si>
  <si>
    <t>940 Т</t>
  </si>
  <si>
    <t>941 Т</t>
  </si>
  <si>
    <t>942 Т</t>
  </si>
  <si>
    <t>943 Т</t>
  </si>
  <si>
    <t>944 Т</t>
  </si>
  <si>
    <t>945 Т</t>
  </si>
  <si>
    <t>946 Т</t>
  </si>
  <si>
    <t>947 Т</t>
  </si>
  <si>
    <t>948 Т</t>
  </si>
  <si>
    <t>949 Т</t>
  </si>
  <si>
    <t>950 Т</t>
  </si>
  <si>
    <t>951 Т</t>
  </si>
  <si>
    <t>952 Т</t>
  </si>
  <si>
    <t>953 Т</t>
  </si>
  <si>
    <t>954 Т</t>
  </si>
  <si>
    <t>955 Т</t>
  </si>
  <si>
    <t>956 Т</t>
  </si>
  <si>
    <t>957 Т</t>
  </si>
  <si>
    <t>958 Т</t>
  </si>
  <si>
    <t>959 Т</t>
  </si>
  <si>
    <t>960 Т</t>
  </si>
  <si>
    <t>961 Т</t>
  </si>
  <si>
    <t>962 Т</t>
  </si>
  <si>
    <t>963 Т</t>
  </si>
  <si>
    <t>964 Т</t>
  </si>
  <si>
    <t>965 Т</t>
  </si>
  <si>
    <t>966 Т</t>
  </si>
  <si>
    <t>967 Т</t>
  </si>
  <si>
    <t>968 Т</t>
  </si>
  <si>
    <t>969 Т</t>
  </si>
  <si>
    <t>970 Т</t>
  </si>
  <si>
    <t>971 Т</t>
  </si>
  <si>
    <t>972 Т</t>
  </si>
  <si>
    <t>973 Т</t>
  </si>
  <si>
    <t>974 Т</t>
  </si>
  <si>
    <t>975 Т</t>
  </si>
  <si>
    <t>976 Т</t>
  </si>
  <si>
    <t>977 Т</t>
  </si>
  <si>
    <t>978 Т</t>
  </si>
  <si>
    <t>979 Т</t>
  </si>
  <si>
    <t>980 Т</t>
  </si>
  <si>
    <t>981 Т</t>
  </si>
  <si>
    <t>982 Т</t>
  </si>
  <si>
    <t>983 Т</t>
  </si>
  <si>
    <t>984 Т</t>
  </si>
  <si>
    <t>985 Т</t>
  </si>
  <si>
    <t>986 Т</t>
  </si>
  <si>
    <t>987 Т</t>
  </si>
  <si>
    <t>988 Т</t>
  </si>
  <si>
    <t>989 Т</t>
  </si>
  <si>
    <t>990 Т</t>
  </si>
  <si>
    <t>991 Т</t>
  </si>
  <si>
    <t>992 Т</t>
  </si>
  <si>
    <t>993 Т</t>
  </si>
  <si>
    <t>994 Т</t>
  </si>
  <si>
    <t>995 Т</t>
  </si>
  <si>
    <t>996 Т</t>
  </si>
  <si>
    <t>997 Т</t>
  </si>
  <si>
    <t>998 Т</t>
  </si>
  <si>
    <t>999 Т</t>
  </si>
  <si>
    <t>1000 Т</t>
  </si>
  <si>
    <t>1001 Т</t>
  </si>
  <si>
    <t>1002 Т</t>
  </si>
  <si>
    <t>1003 Т</t>
  </si>
  <si>
    <t>1004 Т</t>
  </si>
  <si>
    <t>1005 Т</t>
  </si>
  <si>
    <t>1006 Т</t>
  </si>
  <si>
    <t>1007 Т</t>
  </si>
  <si>
    <t>1008 Т</t>
  </si>
  <si>
    <t>1009 Т</t>
  </si>
  <si>
    <t>1010 Т</t>
  </si>
  <si>
    <t>1011 Т</t>
  </si>
  <si>
    <t>1012 Т</t>
  </si>
  <si>
    <t>1013 Т</t>
  </si>
  <si>
    <t>1014 Т</t>
  </si>
  <si>
    <t>1015 Т</t>
  </si>
  <si>
    <t>1016 Т</t>
  </si>
  <si>
    <t>1017 Т</t>
  </si>
  <si>
    <t>1018 Т</t>
  </si>
  <si>
    <t>1019 Т</t>
  </si>
  <si>
    <t>1020 Т</t>
  </si>
  <si>
    <t>1021 Т</t>
  </si>
  <si>
    <t>1022 Т</t>
  </si>
  <si>
    <t>1023 Т</t>
  </si>
  <si>
    <t>1024 Т</t>
  </si>
  <si>
    <t>1025 Т</t>
  </si>
  <si>
    <t>1026 Т</t>
  </si>
  <si>
    <t>1027 Т</t>
  </si>
  <si>
    <t>1028 Т</t>
  </si>
  <si>
    <t>1029 Т</t>
  </si>
  <si>
    <t>1030 Т</t>
  </si>
  <si>
    <t>1031 Т</t>
  </si>
  <si>
    <t>1032 Т</t>
  </si>
  <si>
    <t>1033 Т</t>
  </si>
  <si>
    <t>1034 Т</t>
  </si>
  <si>
    <t>1035 Т</t>
  </si>
  <si>
    <t>1036 Т</t>
  </si>
  <si>
    <t>1037 Т</t>
  </si>
  <si>
    <t>1038 Т</t>
  </si>
  <si>
    <t>1039 Т</t>
  </si>
  <si>
    <t>1040 Т</t>
  </si>
  <si>
    <t>1041 Т</t>
  </si>
  <si>
    <t>1042 Т</t>
  </si>
  <si>
    <t>1043 Т</t>
  </si>
  <si>
    <t>1044 Т</t>
  </si>
  <si>
    <t>1045 Т</t>
  </si>
  <si>
    <t>1046 Т</t>
  </si>
  <si>
    <t>1047 Т</t>
  </si>
  <si>
    <t>1048 Т</t>
  </si>
  <si>
    <t>1049 Т</t>
  </si>
  <si>
    <t>1050 Т</t>
  </si>
  <si>
    <t>1051 Т</t>
  </si>
  <si>
    <t>1052 Т</t>
  </si>
  <si>
    <t>1053 Т</t>
  </si>
  <si>
    <t>1054 Т</t>
  </si>
  <si>
    <t>1055 Т</t>
  </si>
  <si>
    <t>1056 Т</t>
  </si>
  <si>
    <t>1057 Т</t>
  </si>
  <si>
    <t>1058 Т</t>
  </si>
  <si>
    <t>1059 Т</t>
  </si>
  <si>
    <t>1060 Т</t>
  </si>
  <si>
    <t>1061 Т</t>
  </si>
  <si>
    <t>1062 Т</t>
  </si>
  <si>
    <t>1063 Т</t>
  </si>
  <si>
    <t>1064 Т</t>
  </si>
  <si>
    <t>1065 Т</t>
  </si>
  <si>
    <t>1066 Т</t>
  </si>
  <si>
    <t>1067 Т</t>
  </si>
  <si>
    <t>1068 Т</t>
  </si>
  <si>
    <t>1069 Т</t>
  </si>
  <si>
    <t>1070 Т</t>
  </si>
  <si>
    <t>1071 Т</t>
  </si>
  <si>
    <t>1072 Т</t>
  </si>
  <si>
    <t>1073 Т</t>
  </si>
  <si>
    <t>1074 Т</t>
  </si>
  <si>
    <t>1075 Т</t>
  </si>
  <si>
    <t>1076 Т</t>
  </si>
  <si>
    <t>1077 Т</t>
  </si>
  <si>
    <t>1078 Т</t>
  </si>
  <si>
    <t>1079 Т</t>
  </si>
  <si>
    <t>1080 Т</t>
  </si>
  <si>
    <t>1081 Т</t>
  </si>
  <si>
    <t>1082 Т</t>
  </si>
  <si>
    <t>1083 Т</t>
  </si>
  <si>
    <t>1084 Т</t>
  </si>
  <si>
    <t>1085 Т</t>
  </si>
  <si>
    <t>1086 Т</t>
  </si>
  <si>
    <t>1087 Т</t>
  </si>
  <si>
    <t>1088 Т</t>
  </si>
  <si>
    <t>1089 Т</t>
  </si>
  <si>
    <t>1090 Т</t>
  </si>
  <si>
    <t>1091 Т</t>
  </si>
  <si>
    <t>1092 Т</t>
  </si>
  <si>
    <t>1093 Т</t>
  </si>
  <si>
    <t>1094 Т</t>
  </si>
  <si>
    <t>1095 Т</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</si>
  <si>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</si>
  <si>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</si>
  <si>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</si>
  <si>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</si>
  <si>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</si>
  <si>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</si>
  <si>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</si>
  <si>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</si>
  <si>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</si>
  <si>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</si>
  <si>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</si>
  <si>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</si>
  <si>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</si>
  <si>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</si>
  <si>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</si>
  <si>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</si>
  <si>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</si>
  <si>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</si>
  <si>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</si>
  <si>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</si>
  <si>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</si>
  <si>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1117 Т</t>
  </si>
  <si>
    <t>1118 Т</t>
  </si>
  <si>
    <t>1119 Т</t>
  </si>
  <si>
    <t>1120 Т</t>
  </si>
  <si>
    <t>1121 Т</t>
  </si>
  <si>
    <t>1122 Т</t>
  </si>
  <si>
    <t>1123 Т</t>
  </si>
  <si>
    <t>1124 Т</t>
  </si>
  <si>
    <t>1125 Т</t>
  </si>
  <si>
    <t>1126 Т</t>
  </si>
  <si>
    <t>1127 Т</t>
  </si>
  <si>
    <t>1128 Т</t>
  </si>
  <si>
    <t>1129 Т</t>
  </si>
  <si>
    <t>1130 Т</t>
  </si>
  <si>
    <t>1131 Т</t>
  </si>
  <si>
    <t>1132 Т</t>
  </si>
  <si>
    <t>1133 Т</t>
  </si>
  <si>
    <t>1134 Т</t>
  </si>
  <si>
    <t>1135 Т</t>
  </si>
  <si>
    <t>1136 Т</t>
  </si>
  <si>
    <t>1137 Т</t>
  </si>
  <si>
    <t>1138 Т</t>
  </si>
  <si>
    <t>1139 Т</t>
  </si>
  <si>
    <t>1140 Т</t>
  </si>
  <si>
    <t>1141 Т</t>
  </si>
  <si>
    <t>1142 Т</t>
  </si>
  <si>
    <t>1143 Т</t>
  </si>
  <si>
    <t>1144 Т</t>
  </si>
  <si>
    <t>1145 Т</t>
  </si>
  <si>
    <t>1146 Т</t>
  </si>
  <si>
    <t>1147 Т</t>
  </si>
  <si>
    <t>1148 Т</t>
  </si>
  <si>
    <t>1149 Т</t>
  </si>
  <si>
    <t>1150 Т</t>
  </si>
  <si>
    <t>1151 Т</t>
  </si>
  <si>
    <t>1152 Т</t>
  </si>
  <si>
    <t>1153 Т</t>
  </si>
  <si>
    <t>1154 Т</t>
  </si>
  <si>
    <t>1155 Т</t>
  </si>
  <si>
    <t>1156 Т</t>
  </si>
  <si>
    <t>1157 Т</t>
  </si>
  <si>
    <t>1158 Т</t>
  </si>
  <si>
    <t>1159 Т</t>
  </si>
  <si>
    <t>1160 Т</t>
  </si>
  <si>
    <t>1161 Т</t>
  </si>
  <si>
    <t>1162 Т</t>
  </si>
  <si>
    <t>1163 Т</t>
  </si>
  <si>
    <t>1164 Т</t>
  </si>
  <si>
    <t>1165 Т</t>
  </si>
  <si>
    <t>1166 Т</t>
  </si>
  <si>
    <t>1167 Т</t>
  </si>
  <si>
    <t>1168 Т</t>
  </si>
  <si>
    <t>1169 Т</t>
  </si>
  <si>
    <t>1170 Т</t>
  </si>
  <si>
    <t>1171 Т</t>
  </si>
  <si>
    <t>1172 Т</t>
  </si>
  <si>
    <t>1173 Т</t>
  </si>
  <si>
    <t>1174 Т</t>
  </si>
  <si>
    <t>1175 Т</t>
  </si>
  <si>
    <t>1176 Т</t>
  </si>
  <si>
    <t>1177 Т</t>
  </si>
  <si>
    <t>1178 Т</t>
  </si>
  <si>
    <t>1179 Т</t>
  </si>
  <si>
    <t>1180 Т</t>
  </si>
  <si>
    <t>1181 Т</t>
  </si>
  <si>
    <t>1182 Т</t>
  </si>
  <si>
    <t>1183 Т</t>
  </si>
  <si>
    <t>1184 Т</t>
  </si>
  <si>
    <t>1185 Т</t>
  </si>
  <si>
    <t>1186 Т</t>
  </si>
  <si>
    <t>1187 Т</t>
  </si>
  <si>
    <t>1188 Т</t>
  </si>
  <si>
    <t>1189 Т</t>
  </si>
  <si>
    <t>1190 Т</t>
  </si>
  <si>
    <t>1191 Т</t>
  </si>
  <si>
    <t>1192 Т</t>
  </si>
  <si>
    <t>1193 Т</t>
  </si>
  <si>
    <t>1194 Т</t>
  </si>
  <si>
    <t>1195 Т</t>
  </si>
  <si>
    <t>1196 Т</t>
  </si>
  <si>
    <t>1197 Т</t>
  </si>
  <si>
    <t>1198 Т</t>
  </si>
  <si>
    <t>1199 Т</t>
  </si>
  <si>
    <t>1200 Т</t>
  </si>
  <si>
    <t>1201 Т</t>
  </si>
  <si>
    <t>1202 Т</t>
  </si>
  <si>
    <t>1203 Т</t>
  </si>
  <si>
    <t>1204 Т</t>
  </si>
  <si>
    <t>1205 Т</t>
  </si>
  <si>
    <t>1206 Т</t>
  </si>
  <si>
    <t>1207 Т</t>
  </si>
  <si>
    <t>1208 Т</t>
  </si>
  <si>
    <t>1209 Т</t>
  </si>
  <si>
    <t>1210 Т</t>
  </si>
  <si>
    <t>1211 Т</t>
  </si>
  <si>
    <t>1212 Т</t>
  </si>
  <si>
    <t>1213 Т</t>
  </si>
  <si>
    <t>1214 Т</t>
  </si>
  <si>
    <t>1215 Т</t>
  </si>
  <si>
    <t>1216 Т</t>
  </si>
  <si>
    <t>1217 Т</t>
  </si>
  <si>
    <t>1218 Т</t>
  </si>
  <si>
    <t>1219 Т</t>
  </si>
  <si>
    <t>1220 Т</t>
  </si>
  <si>
    <t>1221 Т</t>
  </si>
  <si>
    <t>1222 Т</t>
  </si>
  <si>
    <t>1223 Т</t>
  </si>
  <si>
    <t>1224 Т</t>
  </si>
  <si>
    <t>1225 Т</t>
  </si>
  <si>
    <t>1226 Т</t>
  </si>
  <si>
    <t>1227 Т</t>
  </si>
  <si>
    <t>1228 Т</t>
  </si>
  <si>
    <t>1229 Т</t>
  </si>
  <si>
    <t>1230 Т</t>
  </si>
  <si>
    <t>1231 Т</t>
  </si>
  <si>
    <t>1232 Т</t>
  </si>
  <si>
    <t>1233 Т</t>
  </si>
  <si>
    <t>1234 Т</t>
  </si>
  <si>
    <t>1235 Т</t>
  </si>
  <si>
    <t>1236 Т</t>
  </si>
  <si>
    <t>1237 Т</t>
  </si>
  <si>
    <t>1238 Т</t>
  </si>
  <si>
    <t>1239 Т</t>
  </si>
  <si>
    <t>1240 Т</t>
  </si>
  <si>
    <t>1241 Т</t>
  </si>
  <si>
    <t>1242 Т</t>
  </si>
  <si>
    <t>1243 Т</t>
  </si>
  <si>
    <t>1244 Т</t>
  </si>
  <si>
    <t>1245 Т</t>
  </si>
  <si>
    <t>1246 Т</t>
  </si>
  <si>
    <t>1247 Т</t>
  </si>
  <si>
    <t>1248 Т</t>
  </si>
  <si>
    <t>1249 Т</t>
  </si>
  <si>
    <t>1250 Т</t>
  </si>
  <si>
    <t>1251 Т</t>
  </si>
  <si>
    <t>1252 Т</t>
  </si>
  <si>
    <t>1253 Т</t>
  </si>
  <si>
    <t>1254 Т</t>
  </si>
  <si>
    <t>1255 Т</t>
  </si>
  <si>
    <t>1256 Т</t>
  </si>
  <si>
    <t>1257 Т</t>
  </si>
  <si>
    <t>1258 Т</t>
  </si>
  <si>
    <t>1259 Т</t>
  </si>
  <si>
    <t>1260 Т</t>
  </si>
  <si>
    <t>1261 Т</t>
  </si>
  <si>
    <t>1262 Т</t>
  </si>
  <si>
    <t>1263 Т</t>
  </si>
  <si>
    <t>1264 Т</t>
  </si>
  <si>
    <t>1265 Т</t>
  </si>
  <si>
    <t>1266 Т</t>
  </si>
  <si>
    <t>1267 Т</t>
  </si>
  <si>
    <t>1268 Т</t>
  </si>
  <si>
    <t>1269 Т</t>
  </si>
  <si>
    <t>1270 Т</t>
  </si>
  <si>
    <t>1271 Т</t>
  </si>
  <si>
    <t>1272 Т</t>
  </si>
  <si>
    <t>1273 Т</t>
  </si>
  <si>
    <t>1274 Т</t>
  </si>
  <si>
    <t>1275 Т</t>
  </si>
  <si>
    <t>1276 Т</t>
  </si>
  <si>
    <t>1277 Т</t>
  </si>
  <si>
    <t>1278 Т</t>
  </si>
  <si>
    <t>1279 Т</t>
  </si>
  <si>
    <t>1280 Т</t>
  </si>
  <si>
    <t>1281 Т</t>
  </si>
  <si>
    <t>1282 Т</t>
  </si>
  <si>
    <t>1283 Т</t>
  </si>
  <si>
    <t>1284 Т</t>
  </si>
  <si>
    <t>1285 Т</t>
  </si>
  <si>
    <t>1286 Т</t>
  </si>
  <si>
    <t>1287 Т</t>
  </si>
  <si>
    <t>1288 Т</t>
  </si>
  <si>
    <t>1289 Т</t>
  </si>
  <si>
    <t>1290 Т</t>
  </si>
  <si>
    <t>1291 Т</t>
  </si>
  <si>
    <t>1292 Т</t>
  </si>
  <si>
    <t>1293 Т</t>
  </si>
  <si>
    <t>1294 Т</t>
  </si>
  <si>
    <t>1295 Т</t>
  </si>
  <si>
    <t>1296 Т</t>
  </si>
  <si>
    <t>1297 Т</t>
  </si>
  <si>
    <t>1298 Т</t>
  </si>
  <si>
    <t>1299 Т</t>
  </si>
  <si>
    <t>1300 Т</t>
  </si>
  <si>
    <t>1301 Т</t>
  </si>
  <si>
    <t>1302 Т</t>
  </si>
  <si>
    <t>1303 Т</t>
  </si>
  <si>
    <t>1304 Т</t>
  </si>
  <si>
    <t>1305 Т</t>
  </si>
  <si>
    <t>1306 Т</t>
  </si>
  <si>
    <t>1307 Т</t>
  </si>
  <si>
    <t>1308 Т</t>
  </si>
  <si>
    <t>1309 Т</t>
  </si>
  <si>
    <t>1310 Т</t>
  </si>
  <si>
    <t>1311 Т</t>
  </si>
  <si>
    <t>1312 Т</t>
  </si>
  <si>
    <t>1313 Т</t>
  </si>
  <si>
    <t>1314 Т</t>
  </si>
  <si>
    <t>1315 Т</t>
  </si>
  <si>
    <t>1316 Т</t>
  </si>
  <si>
    <t>1317 Т</t>
  </si>
  <si>
    <t>1318 Т</t>
  </si>
  <si>
    <t>1319 Т</t>
  </si>
  <si>
    <t>1320 Т</t>
  </si>
  <si>
    <t>1321 Т</t>
  </si>
  <si>
    <t>1322 Т</t>
  </si>
  <si>
    <t>1323 Т</t>
  </si>
  <si>
    <t>1324 Т</t>
  </si>
  <si>
    <t>1325 Т</t>
  </si>
  <si>
    <t>1326 Т</t>
  </si>
  <si>
    <t>1327 Т</t>
  </si>
  <si>
    <t>1328 Т</t>
  </si>
  <si>
    <t>1329 Т</t>
  </si>
  <si>
    <t>1330 Т</t>
  </si>
  <si>
    <t>1331 Т</t>
  </si>
  <si>
    <t>1332 Т</t>
  </si>
  <si>
    <t>1333 Т</t>
  </si>
  <si>
    <t>1334 Т</t>
  </si>
  <si>
    <t>1335 Т</t>
  </si>
  <si>
    <t>1336 Т</t>
  </si>
  <si>
    <t>1337 Т</t>
  </si>
  <si>
    <t>1338 Т</t>
  </si>
  <si>
    <t>1339 Т</t>
  </si>
  <si>
    <t>1340 Т</t>
  </si>
  <si>
    <t>1341 Т</t>
  </si>
  <si>
    <t>1342 Т</t>
  </si>
  <si>
    <t>1343 Т</t>
  </si>
  <si>
    <t>1344 Т</t>
  </si>
  <si>
    <t>1345 Т</t>
  </si>
  <si>
    <t>1346 Т</t>
  </si>
  <si>
    <t>1347 Т</t>
  </si>
  <si>
    <t>1348 Т</t>
  </si>
  <si>
    <t>1349 Т</t>
  </si>
  <si>
    <t>1350 Т</t>
  </si>
  <si>
    <t>1351 Т</t>
  </si>
  <si>
    <t>1352 Т</t>
  </si>
  <si>
    <t>1353 Т</t>
  </si>
  <si>
    <t>1354 Т</t>
  </si>
  <si>
    <t>1355 Т</t>
  </si>
  <si>
    <t>1356 Т</t>
  </si>
  <si>
    <t>1357 Т</t>
  </si>
  <si>
    <t>1358 Т</t>
  </si>
  <si>
    <t>1359 Т</t>
  </si>
  <si>
    <t>1360 Т</t>
  </si>
  <si>
    <t>1361 Т</t>
  </si>
  <si>
    <t>1362 Т</t>
  </si>
  <si>
    <t>1363 Т</t>
  </si>
  <si>
    <t>1364 Т</t>
  </si>
  <si>
    <t>1365 Т</t>
  </si>
  <si>
    <t>1366 Т</t>
  </si>
  <si>
    <t>1367 Т</t>
  </si>
  <si>
    <t>1368 Т</t>
  </si>
  <si>
    <t>1369 Т</t>
  </si>
  <si>
    <t>1370 Т</t>
  </si>
  <si>
    <t>1371 Т</t>
  </si>
  <si>
    <t>1372 Т</t>
  </si>
  <si>
    <t>1373 Т</t>
  </si>
  <si>
    <t>1374 Т</t>
  </si>
  <si>
    <t>1375 Т</t>
  </si>
  <si>
    <t>1376 Т</t>
  </si>
  <si>
    <t>1377 Т</t>
  </si>
  <si>
    <t>1378 Т</t>
  </si>
  <si>
    <t>1379 Т</t>
  </si>
  <si>
    <t>1380 Т</t>
  </si>
  <si>
    <t>1381 Т</t>
  </si>
  <si>
    <t>1382 Т</t>
  </si>
  <si>
    <t>1383 Т</t>
  </si>
  <si>
    <t>1384 Т</t>
  </si>
  <si>
    <t>1385 Т</t>
  </si>
  <si>
    <t>1386 Т</t>
  </si>
  <si>
    <t>1387 Т</t>
  </si>
  <si>
    <t>1388 Т</t>
  </si>
  <si>
    <t>1389 Т</t>
  </si>
  <si>
    <t>1390 Т</t>
  </si>
  <si>
    <t>1391 Т</t>
  </si>
  <si>
    <t>1392 Т</t>
  </si>
  <si>
    <t>1393 Т</t>
  </si>
  <si>
    <t>1394 Т</t>
  </si>
  <si>
    <t>1395 Т</t>
  </si>
  <si>
    <t>1396 Т</t>
  </si>
  <si>
    <t>1397 Т</t>
  </si>
  <si>
    <t>1398 Т</t>
  </si>
  <si>
    <t>1399 Т</t>
  </si>
  <si>
    <t>1400 Т</t>
  </si>
  <si>
    <t>1401 Т</t>
  </si>
  <si>
    <t>1402 Т</t>
  </si>
  <si>
    <t>1403 Т</t>
  </si>
  <si>
    <t>1404 Т</t>
  </si>
  <si>
    <t>1405 Т</t>
  </si>
  <si>
    <t>1406 Т</t>
  </si>
  <si>
    <t>1407 Т</t>
  </si>
  <si>
    <t>1408 Т</t>
  </si>
  <si>
    <t>1409 Т</t>
  </si>
  <si>
    <t>1410 Т</t>
  </si>
  <si>
    <t>1411 Т</t>
  </si>
  <si>
    <t>1412 Т</t>
  </si>
  <si>
    <t>1413 Т</t>
  </si>
  <si>
    <t>1414 Т</t>
  </si>
  <si>
    <t>1415 Т</t>
  </si>
  <si>
    <t>1416 Т</t>
  </si>
  <si>
    <t>1417 Т</t>
  </si>
  <si>
    <t>1418 Т</t>
  </si>
  <si>
    <t>1419 Т</t>
  </si>
  <si>
    <t>1420 Т</t>
  </si>
  <si>
    <t>1421 Т</t>
  </si>
  <si>
    <t>1422 Т</t>
  </si>
  <si>
    <t>1423 Т</t>
  </si>
  <si>
    <t>1424 Т</t>
  </si>
  <si>
    <t>1425 Т</t>
  </si>
  <si>
    <t>1426 Т</t>
  </si>
  <si>
    <t>1427 Т</t>
  </si>
  <si>
    <t>1428 Т</t>
  </si>
  <si>
    <t>1429 Т</t>
  </si>
  <si>
    <t>1430 Т</t>
  </si>
  <si>
    <t>1431 Т</t>
  </si>
  <si>
    <t>1432 Т</t>
  </si>
  <si>
    <t>1433 Т</t>
  </si>
  <si>
    <t>1434 Т</t>
  </si>
  <si>
    <t>1435 Т</t>
  </si>
  <si>
    <t>1436 Т</t>
  </si>
  <si>
    <t>1437 Т</t>
  </si>
  <si>
    <t>1438 Т</t>
  </si>
  <si>
    <t>1439 Т</t>
  </si>
  <si>
    <t>1440 Т</t>
  </si>
  <si>
    <t>1441 Т</t>
  </si>
  <si>
    <t>1442 Т</t>
  </si>
  <si>
    <t>1443 Т</t>
  </si>
  <si>
    <t>1444 Т</t>
  </si>
  <si>
    <t>1445 Т</t>
  </si>
  <si>
    <t>1446 Т</t>
  </si>
  <si>
    <t>1447 Т</t>
  </si>
  <si>
    <t>1448 Т</t>
  </si>
  <si>
    <t>1449 Т</t>
  </si>
  <si>
    <t>1450 Т</t>
  </si>
  <si>
    <t>1451 Т</t>
  </si>
  <si>
    <t>1452 Т</t>
  </si>
  <si>
    <t>1453 Т</t>
  </si>
  <si>
    <t>1454 Т</t>
  </si>
  <si>
    <t>1455 Т</t>
  </si>
  <si>
    <t>1456 Т</t>
  </si>
  <si>
    <t>1457 Т</t>
  </si>
  <si>
    <t>1458 Т</t>
  </si>
  <si>
    <t>1459 Т</t>
  </si>
  <si>
    <t>1460 Т</t>
  </si>
  <si>
    <t>1461 Т</t>
  </si>
  <si>
    <t>1462 Т</t>
  </si>
  <si>
    <t>1463 Т</t>
  </si>
  <si>
    <t>1464 Т</t>
  </si>
  <si>
    <t>1465 Т</t>
  </si>
  <si>
    <t>1466 Т</t>
  </si>
  <si>
    <t>1467 Т</t>
  </si>
  <si>
    <t>1468 Т</t>
  </si>
  <si>
    <t>1469 Т</t>
  </si>
  <si>
    <t>1470 Т</t>
  </si>
  <si>
    <t>1471 Т</t>
  </si>
  <si>
    <t>1472 Т</t>
  </si>
  <si>
    <t>1473 Т</t>
  </si>
  <si>
    <t>1474 Т</t>
  </si>
  <si>
    <t>1475 Т</t>
  </si>
  <si>
    <t>1476 Т</t>
  </si>
  <si>
    <t>1477 Т</t>
  </si>
  <si>
    <t>1478 Т</t>
  </si>
  <si>
    <t>1479 Т</t>
  </si>
  <si>
    <t>1480 Т</t>
  </si>
  <si>
    <t>1481 Т</t>
  </si>
  <si>
    <t>1482 Т</t>
  </si>
  <si>
    <t>1483 Т</t>
  </si>
  <si>
    <t>1484 Т</t>
  </si>
  <si>
    <t>1485 Т</t>
  </si>
  <si>
    <t>1486 Т</t>
  </si>
  <si>
    <t>1487 Т</t>
  </si>
  <si>
    <t>1488 Т</t>
  </si>
  <si>
    <t>1489 Т</t>
  </si>
  <si>
    <t>1490 Т</t>
  </si>
  <si>
    <t>1491 Т</t>
  </si>
  <si>
    <t>1492 Т</t>
  </si>
  <si>
    <t>1493 Т</t>
  </si>
  <si>
    <t>1494 Т</t>
  </si>
  <si>
    <t>1495 Т</t>
  </si>
  <si>
    <t>1496 Т</t>
  </si>
  <si>
    <t>1497 Т</t>
  </si>
  <si>
    <t>1498 Т</t>
  </si>
  <si>
    <t>1499 Т</t>
  </si>
  <si>
    <t>1500 Т</t>
  </si>
  <si>
    <t>1501 Т</t>
  </si>
  <si>
    <t>1502 Т</t>
  </si>
  <si>
    <t>1503 Т</t>
  </si>
  <si>
    <t>1504 Т</t>
  </si>
  <si>
    <t>1505 Т</t>
  </si>
  <si>
    <t>1506 Т</t>
  </si>
  <si>
    <t>1507 Т</t>
  </si>
  <si>
    <t>1508 Т</t>
  </si>
  <si>
    <t>1509 Т</t>
  </si>
  <si>
    <t>1510 Т</t>
  </si>
  <si>
    <t>1511 Т</t>
  </si>
  <si>
    <t>1512 Т</t>
  </si>
  <si>
    <t>1513 Т</t>
  </si>
  <si>
    <t>1514 Т</t>
  </si>
  <si>
    <t>1515 Т</t>
  </si>
  <si>
    <t>1516 Т</t>
  </si>
  <si>
    <t>1517 Т</t>
  </si>
  <si>
    <t>1518 Т</t>
  </si>
  <si>
    <t>1519 Т</t>
  </si>
  <si>
    <t>1520 Т</t>
  </si>
  <si>
    <t>1521 Т</t>
  </si>
  <si>
    <t>1522 Т</t>
  </si>
  <si>
    <t>1523 Т</t>
  </si>
  <si>
    <t>1524 Т</t>
  </si>
  <si>
    <t>1525 Т</t>
  </si>
  <si>
    <t>1526 Т</t>
  </si>
  <si>
    <t>1527 Т</t>
  </si>
  <si>
    <t>1528 Т</t>
  </si>
  <si>
    <t>1529 Т</t>
  </si>
  <si>
    <t>1530 Т</t>
  </si>
  <si>
    <t>1531 Т</t>
  </si>
  <si>
    <t>1532 Т</t>
  </si>
  <si>
    <t>1533 Т</t>
  </si>
  <si>
    <t>1534 Т</t>
  </si>
  <si>
    <t>1535 Т</t>
  </si>
  <si>
    <t>1536 Т</t>
  </si>
  <si>
    <t>1537 Т</t>
  </si>
  <si>
    <t>1538 Т</t>
  </si>
  <si>
    <t>1539 Т</t>
  </si>
  <si>
    <t>1540 Т</t>
  </si>
  <si>
    <t>1541 Т</t>
  </si>
  <si>
    <t>1542 Т</t>
  </si>
  <si>
    <t>1543 Т</t>
  </si>
  <si>
    <t>1544 Т</t>
  </si>
  <si>
    <t>1545 Т</t>
  </si>
  <si>
    <t>1546 Т</t>
  </si>
  <si>
    <t>1547 Т</t>
  </si>
  <si>
    <t>1548 Т</t>
  </si>
  <si>
    <t>1549 Т</t>
  </si>
  <si>
    <t>1550 Т</t>
  </si>
  <si>
    <t>1551 Т</t>
  </si>
  <si>
    <t>1552 Т</t>
  </si>
  <si>
    <t>1553 Т</t>
  </si>
  <si>
    <t>1554 Т</t>
  </si>
  <si>
    <t>1555 Т</t>
  </si>
  <si>
    <t>1556 Т</t>
  </si>
  <si>
    <t>1557 Т</t>
  </si>
  <si>
    <t>1558 Т</t>
  </si>
  <si>
    <t>1559 Т</t>
  </si>
  <si>
    <t>1560 Т</t>
  </si>
  <si>
    <t>1561 Т</t>
  </si>
  <si>
    <t>1562 Т</t>
  </si>
  <si>
    <t>1563 Т</t>
  </si>
  <si>
    <t>1564 Т</t>
  </si>
  <si>
    <t>1565 Т</t>
  </si>
  <si>
    <t>1566 Т</t>
  </si>
  <si>
    <t>1567 Т</t>
  </si>
  <si>
    <t>1568 Т</t>
  </si>
  <si>
    <t>1569 Т</t>
  </si>
  <si>
    <t>1570 Т</t>
  </si>
  <si>
    <t>1571 Т</t>
  </si>
  <si>
    <t>1572 Т</t>
  </si>
  <si>
    <t>1573 Т</t>
  </si>
  <si>
    <t>1574 Т</t>
  </si>
  <si>
    <t>1575 Т</t>
  </si>
  <si>
    <t>1576 Т</t>
  </si>
  <si>
    <t>1577 Т</t>
  </si>
  <si>
    <t>1578 Т</t>
  </si>
  <si>
    <t>1579 Т</t>
  </si>
  <si>
    <t>1580 Т</t>
  </si>
  <si>
    <t>1581 Т</t>
  </si>
  <si>
    <t>1582 Т</t>
  </si>
  <si>
    <t>1583 Т</t>
  </si>
  <si>
    <t>1584 Т</t>
  </si>
  <si>
    <t>1585 Т</t>
  </si>
  <si>
    <t>1586 Т</t>
  </si>
  <si>
    <t>1587 Т</t>
  </si>
  <si>
    <t>1588 Т</t>
  </si>
  <si>
    <t>1589 Т</t>
  </si>
  <si>
    <t>1590 Т</t>
  </si>
  <si>
    <t>1591 Т</t>
  </si>
  <si>
    <t>1592 Т</t>
  </si>
  <si>
    <t>1593 Т</t>
  </si>
  <si>
    <t>1594 Т</t>
  </si>
  <si>
    <t>1595 Т</t>
  </si>
  <si>
    <t>1596 Т</t>
  </si>
  <si>
    <t>1597 Т</t>
  </si>
  <si>
    <t>1598 Т</t>
  </si>
  <si>
    <t>1599 Т</t>
  </si>
  <si>
    <t>1600 Т</t>
  </si>
  <si>
    <t>1601 Т</t>
  </si>
  <si>
    <t>1602 Т</t>
  </si>
  <si>
    <t>1603 Т</t>
  </si>
  <si>
    <t>1604 Т</t>
  </si>
  <si>
    <t>1605 Т</t>
  </si>
  <si>
    <t>1606 Т</t>
  </si>
  <si>
    <t>1607 Т</t>
  </si>
  <si>
    <t>1608 Т</t>
  </si>
  <si>
    <t>1609 Т</t>
  </si>
  <si>
    <t>1610 Т</t>
  </si>
  <si>
    <t>1611 Т</t>
  </si>
  <si>
    <t>1612 Т</t>
  </si>
  <si>
    <t>1613 Т</t>
  </si>
  <si>
    <t>1614 Т</t>
  </si>
  <si>
    <t>1615 Т</t>
  </si>
  <si>
    <t>1616 Т</t>
  </si>
  <si>
    <t>1617 Т</t>
  </si>
  <si>
    <t>1618 Т</t>
  </si>
  <si>
    <t>1619 Т</t>
  </si>
  <si>
    <t>1620 Т</t>
  </si>
  <si>
    <t>1621 Т</t>
  </si>
  <si>
    <t>1622 Т</t>
  </si>
  <si>
    <t>1623 Т</t>
  </si>
  <si>
    <t>1624 Т</t>
  </si>
  <si>
    <t>1625 Т</t>
  </si>
  <si>
    <t>1626 Т</t>
  </si>
  <si>
    <t>1627 Т</t>
  </si>
  <si>
    <t>1628 Т</t>
  </si>
  <si>
    <t>1629 Т</t>
  </si>
  <si>
    <t>1630 Т</t>
  </si>
  <si>
    <t>1631 Т</t>
  </si>
  <si>
    <t>1632 Т</t>
  </si>
  <si>
    <t>1633 Т</t>
  </si>
  <si>
    <t>1634 Т</t>
  </si>
  <si>
    <t>1635 Т</t>
  </si>
  <si>
    <t>1636 Т</t>
  </si>
  <si>
    <t>1637 Т</t>
  </si>
  <si>
    <t>1638 Т</t>
  </si>
  <si>
    <t>1639 Т</t>
  </si>
  <si>
    <t>1640 Т</t>
  </si>
  <si>
    <t>1641 Т</t>
  </si>
  <si>
    <t>1642 Т</t>
  </si>
  <si>
    <t>1643 Т</t>
  </si>
  <si>
    <t>1644 Т</t>
  </si>
  <si>
    <t>1645 Т</t>
  </si>
  <si>
    <t>1646 Т</t>
  </si>
  <si>
    <t>1647 Т</t>
  </si>
  <si>
    <t>1648 Т</t>
  </si>
  <si>
    <t>1649 Т</t>
  </si>
  <si>
    <t>1650 Т</t>
  </si>
  <si>
    <t>1651 Т</t>
  </si>
  <si>
    <t>1652 Т</t>
  </si>
  <si>
    <t>1653 Т</t>
  </si>
  <si>
    <t>1654 Т</t>
  </si>
  <si>
    <t>1655 Т</t>
  </si>
  <si>
    <t>1656 Т</t>
  </si>
  <si>
    <t>1657 Т</t>
  </si>
  <si>
    <t>1658 Т</t>
  </si>
  <si>
    <t>1659 Т</t>
  </si>
  <si>
    <t>1660 Т</t>
  </si>
  <si>
    <t>1661 Т</t>
  </si>
  <si>
    <t>1662 Т</t>
  </si>
  <si>
    <t>1663 Т</t>
  </si>
  <si>
    <t>1664 Т</t>
  </si>
  <si>
    <t>1665 Т</t>
  </si>
  <si>
    <t>1666 Т</t>
  </si>
  <si>
    <t>1667 Т</t>
  </si>
  <si>
    <t>1668 Т</t>
  </si>
  <si>
    <t>1669 Т</t>
  </si>
  <si>
    <t>1670 Т</t>
  </si>
  <si>
    <t>1671 Т</t>
  </si>
  <si>
    <t>1672 Т</t>
  </si>
  <si>
    <t>1673 Т</t>
  </si>
  <si>
    <t>1674 Т</t>
  </si>
  <si>
    <t>1675 Т</t>
  </si>
  <si>
    <t>1676 Т</t>
  </si>
  <si>
    <t>1677 Т</t>
  </si>
  <si>
    <t>1678 Т</t>
  </si>
  <si>
    <t>1679 Т</t>
  </si>
  <si>
    <t>1680 Т</t>
  </si>
  <si>
    <t>1681 Т</t>
  </si>
  <si>
    <t>1682 Т</t>
  </si>
  <si>
    <t>1683 Т</t>
  </si>
  <si>
    <t>1684 Т</t>
  </si>
  <si>
    <t>1685 Т</t>
  </si>
  <si>
    <t>1686 Т</t>
  </si>
  <si>
    <t>1687 Т</t>
  </si>
  <si>
    <t>1688 Т</t>
  </si>
  <si>
    <t>1689 Т</t>
  </si>
  <si>
    <t>1690 Т</t>
  </si>
  <si>
    <t>1691 Т</t>
  </si>
  <si>
    <t>1692 Т</t>
  </si>
  <si>
    <t>1693 Т</t>
  </si>
  <si>
    <t>1694 Т</t>
  </si>
  <si>
    <t>1695 Т</t>
  </si>
  <si>
    <t>1696 Т</t>
  </si>
  <si>
    <t>1697 Т</t>
  </si>
  <si>
    <t>1698 Т</t>
  </si>
  <si>
    <t>1699 Т</t>
  </si>
  <si>
    <t>1700 Т</t>
  </si>
  <si>
    <t>1701 Т</t>
  </si>
  <si>
    <t>1702 Т</t>
  </si>
  <si>
    <t>1703 Т</t>
  </si>
  <si>
    <t>1704 Т</t>
  </si>
  <si>
    <t>1705 Т</t>
  </si>
  <si>
    <t>1706 Т</t>
  </si>
  <si>
    <t>1707 Т</t>
  </si>
  <si>
    <t>1708 Т</t>
  </si>
  <si>
    <t>1709 Т</t>
  </si>
  <si>
    <t>1710 Т</t>
  </si>
  <si>
    <t>1711 Т</t>
  </si>
  <si>
    <t>1712 Т</t>
  </si>
  <si>
    <t>1713 Т</t>
  </si>
  <si>
    <t>1714 Т</t>
  </si>
  <si>
    <t>1715 Т</t>
  </si>
  <si>
    <t>1716 Т</t>
  </si>
  <si>
    <t>1717 Т</t>
  </si>
  <si>
    <t>1718 Т</t>
  </si>
  <si>
    <t>1719 Т</t>
  </si>
  <si>
    <t>1720 Т</t>
  </si>
  <si>
    <t>1721 Т</t>
  </si>
  <si>
    <t>1722 Т</t>
  </si>
  <si>
    <t>1723 Т</t>
  </si>
  <si>
    <t>1724 Т</t>
  </si>
  <si>
    <t>1725 Т</t>
  </si>
  <si>
    <t>1726 Т</t>
  </si>
  <si>
    <t>1727 Т</t>
  </si>
  <si>
    <t>1728 Т</t>
  </si>
  <si>
    <t>1729 Т</t>
  </si>
  <si>
    <t>1730 Т</t>
  </si>
  <si>
    <t>1731 Т</t>
  </si>
  <si>
    <t>1732 Т</t>
  </si>
  <si>
    <t>1733 Т</t>
  </si>
  <si>
    <t>1734 Т</t>
  </si>
  <si>
    <t>1735 Т</t>
  </si>
  <si>
    <t>1736 Т</t>
  </si>
  <si>
    <t>1737 Т</t>
  </si>
  <si>
    <t>1738 Т</t>
  </si>
  <si>
    <t>1739 Т</t>
  </si>
  <si>
    <t>1740 Т</t>
  </si>
  <si>
    <t>1741 Т</t>
  </si>
  <si>
    <t>1742 Т</t>
  </si>
  <si>
    <t>1743 Т</t>
  </si>
  <si>
    <t>1744 Т</t>
  </si>
  <si>
    <t>1745 Т</t>
  </si>
  <si>
    <t>1746 Т</t>
  </si>
  <si>
    <t>1747 Т</t>
  </si>
  <si>
    <t>1748 Т</t>
  </si>
  <si>
    <t>1749 Т</t>
  </si>
  <si>
    <t>1750 Т</t>
  </si>
  <si>
    <t>1751 Т</t>
  </si>
  <si>
    <t>1752 Т</t>
  </si>
  <si>
    <t>1753 Т</t>
  </si>
  <si>
    <t>1754 Т</t>
  </si>
  <si>
    <t>1755 Т</t>
  </si>
  <si>
    <t>1756 Т</t>
  </si>
  <si>
    <t>1757 Т</t>
  </si>
  <si>
    <t>1758 Т</t>
  </si>
  <si>
    <t>1759 Т</t>
  </si>
  <si>
    <t>1760 Т</t>
  </si>
  <si>
    <t>1761 Т</t>
  </si>
  <si>
    <t>1762 Т</t>
  </si>
  <si>
    <t>1763 Т</t>
  </si>
  <si>
    <t>1764 Т</t>
  </si>
  <si>
    <t>1765 Т</t>
  </si>
  <si>
    <t>1766 Т</t>
  </si>
  <si>
    <t>1767 Т</t>
  </si>
  <si>
    <t>1768 Т</t>
  </si>
  <si>
    <t>1769 Т</t>
  </si>
  <si>
    <t>1770 Т</t>
  </si>
  <si>
    <t>1771 Т</t>
  </si>
  <si>
    <t>1772 Т</t>
  </si>
  <si>
    <t>1773 Т</t>
  </si>
  <si>
    <t>1774 Т</t>
  </si>
  <si>
    <t>1775 Т</t>
  </si>
  <si>
    <t>1776 Т</t>
  </si>
  <si>
    <t>1777 Т</t>
  </si>
  <si>
    <t>1778 Т</t>
  </si>
  <si>
    <t>1779 Т</t>
  </si>
  <si>
    <t>1780 Т</t>
  </si>
  <si>
    <t>1781 Т</t>
  </si>
  <si>
    <t>1782 Т</t>
  </si>
  <si>
    <t>1783 Т</t>
  </si>
  <si>
    <t>1784 Т</t>
  </si>
  <si>
    <t>1785 Т</t>
  </si>
  <si>
    <t>1786 Т</t>
  </si>
  <si>
    <t>1787 Т</t>
  </si>
  <si>
    <t>1788 Т</t>
  </si>
  <si>
    <t>1789 Т</t>
  </si>
  <si>
    <t>1790 Т</t>
  </si>
  <si>
    <t>1791 Т</t>
  </si>
  <si>
    <t>1792 Т</t>
  </si>
  <si>
    <t>1793 Т</t>
  </si>
  <si>
    <t>1794 Т</t>
  </si>
  <si>
    <t>1795 Т</t>
  </si>
  <si>
    <t>1796 Т</t>
  </si>
  <si>
    <t>1797 Т</t>
  </si>
  <si>
    <t>1798 Т</t>
  </si>
  <si>
    <t>1799 Т</t>
  </si>
  <si>
    <t>1800 Т</t>
  </si>
  <si>
    <t>1801 Т</t>
  </si>
  <si>
    <t>1802 Т</t>
  </si>
  <si>
    <t>1803 Т</t>
  </si>
  <si>
    <t>1804 Т</t>
  </si>
  <si>
    <t>1805 Т</t>
  </si>
  <si>
    <t>1806 Т</t>
  </si>
  <si>
    <t>1807 Т</t>
  </si>
  <si>
    <t>1808 Т</t>
  </si>
  <si>
    <t>1809 Т</t>
  </si>
  <si>
    <t>1810 Т</t>
  </si>
  <si>
    <t>1811 Т</t>
  </si>
  <si>
    <t>1812 Т</t>
  </si>
  <si>
    <t>1813 Т</t>
  </si>
  <si>
    <t>1814 Т</t>
  </si>
  <si>
    <t>1815 Т</t>
  </si>
  <si>
    <t>1816 Т</t>
  </si>
  <si>
    <t>1817 Т</t>
  </si>
  <si>
    <t>1818 Т</t>
  </si>
  <si>
    <t>1819 Т</t>
  </si>
  <si>
    <t>1820 Т</t>
  </si>
  <si>
    <t>1821 Т</t>
  </si>
  <si>
    <t>1822 Т</t>
  </si>
  <si>
    <t>1823 Т</t>
  </si>
  <si>
    <t>1824 Т</t>
  </si>
  <si>
    <t>1825 Т</t>
  </si>
  <si>
    <t>1826 Т</t>
  </si>
  <si>
    <t>1827 Т</t>
  </si>
  <si>
    <t>1828 Т</t>
  </si>
  <si>
    <t>1829 Т</t>
  </si>
  <si>
    <t>1830 Т</t>
  </si>
  <si>
    <t>1831 Т</t>
  </si>
  <si>
    <t>1832 Т</t>
  </si>
  <si>
    <t>1833 Т</t>
  </si>
  <si>
    <t>1834 Т</t>
  </si>
  <si>
    <t>1835 Т</t>
  </si>
  <si>
    <t>1836 Т</t>
  </si>
  <si>
    <t>1837 Т</t>
  </si>
  <si>
    <t>1838 Т</t>
  </si>
  <si>
    <t>1839 Т</t>
  </si>
  <si>
    <t>1840 Т</t>
  </si>
  <si>
    <t>1841 Т</t>
  </si>
  <si>
    <t>1842 Т</t>
  </si>
  <si>
    <t>1843 Т</t>
  </si>
  <si>
    <t>1844 Т</t>
  </si>
  <si>
    <t>1845 Т</t>
  </si>
  <si>
    <t>1846 Т</t>
  </si>
  <si>
    <t>1847 Т</t>
  </si>
  <si>
    <t>1848 Т</t>
  </si>
  <si>
    <t>1849 Т</t>
  </si>
  <si>
    <t>1850 Т</t>
  </si>
  <si>
    <t>1851 Т</t>
  </si>
  <si>
    <t>1852 Т</t>
  </si>
  <si>
    <t>1853 Т</t>
  </si>
  <si>
    <t>1854 Т</t>
  </si>
  <si>
    <t>1855 Т</t>
  </si>
  <si>
    <t>1856 Т</t>
  </si>
  <si>
    <t>1857 Т</t>
  </si>
  <si>
    <t>1858 Т</t>
  </si>
  <si>
    <t>1859 Т</t>
  </si>
  <si>
    <t>1860 Т</t>
  </si>
  <si>
    <t>1861 Т</t>
  </si>
  <si>
    <t>1862 Т</t>
  </si>
  <si>
    <t>1863 Т</t>
  </si>
  <si>
    <t>1864 Т</t>
  </si>
  <si>
    <t>1865 Т</t>
  </si>
  <si>
    <t>1866 Т</t>
  </si>
  <si>
    <t>1867 Т</t>
  </si>
  <si>
    <t>1868 Т</t>
  </si>
  <si>
    <t>1869 Т</t>
  </si>
  <si>
    <t>1870 Т</t>
  </si>
  <si>
    <t>1871 Т</t>
  </si>
  <si>
    <t>1872 Т</t>
  </si>
  <si>
    <t>1873 Т</t>
  </si>
  <si>
    <t>1874 Т</t>
  </si>
  <si>
    <t>1875 Т</t>
  </si>
  <si>
    <t>1876 Т</t>
  </si>
  <si>
    <t>1877 Т</t>
  </si>
  <si>
    <t>1878 Т</t>
  </si>
  <si>
    <t>1879 Т</t>
  </si>
  <si>
    <t>1880 Т</t>
  </si>
  <si>
    <t>1881 Т</t>
  </si>
  <si>
    <t>1882 Т</t>
  </si>
  <si>
    <t>1883 Т</t>
  </si>
  <si>
    <t>1884 Т</t>
  </si>
  <si>
    <t>1885 Т</t>
  </si>
  <si>
    <t>1886 Т</t>
  </si>
  <si>
    <t>1887 Т</t>
  </si>
  <si>
    <t>1888 Т</t>
  </si>
  <si>
    <t>1889 Т</t>
  </si>
  <si>
    <t>1890 Т</t>
  </si>
  <si>
    <t>1891 Т</t>
  </si>
  <si>
    <t>1892 Т</t>
  </si>
  <si>
    <t>1893 Т</t>
  </si>
  <si>
    <t>1894 Т</t>
  </si>
  <si>
    <t>1895 Т</t>
  </si>
  <si>
    <t>1896 Т</t>
  </si>
  <si>
    <t>1897 Т</t>
  </si>
  <si>
    <t>1898 Т</t>
  </si>
  <si>
    <t>1899 Т</t>
  </si>
  <si>
    <t>1900 Т</t>
  </si>
  <si>
    <t>1901 Т</t>
  </si>
  <si>
    <t>1902 Т</t>
  </si>
  <si>
    <t>1903 Т</t>
  </si>
  <si>
    <t>1904 Т</t>
  </si>
  <si>
    <t>1905 Т</t>
  </si>
  <si>
    <t>1906 Т</t>
  </si>
  <si>
    <t>1907 Т</t>
  </si>
  <si>
    <t>1908 Т</t>
  </si>
  <si>
    <t>1909 Т</t>
  </si>
  <si>
    <t>1910 Т</t>
  </si>
  <si>
    <t>1911 Т</t>
  </si>
  <si>
    <t>1912 Т</t>
  </si>
  <si>
    <t>1913 Т</t>
  </si>
  <si>
    <t>1914 Т</t>
  </si>
  <si>
    <t>1915 Т</t>
  </si>
  <si>
    <t>1916 Т</t>
  </si>
  <si>
    <t>1917 Т</t>
  </si>
  <si>
    <t>1918 Т</t>
  </si>
  <si>
    <t>1919 Т</t>
  </si>
  <si>
    <t>1920 Т</t>
  </si>
  <si>
    <t>1921 Т</t>
  </si>
  <si>
    <t>1922 Т</t>
  </si>
  <si>
    <t>1923 Т</t>
  </si>
  <si>
    <t>1924 Т</t>
  </si>
  <si>
    <t>1925 Т</t>
  </si>
  <si>
    <t>1926 Т</t>
  </si>
  <si>
    <t>1927 Т</t>
  </si>
  <si>
    <t>1928 Т</t>
  </si>
  <si>
    <t>1929 Т</t>
  </si>
  <si>
    <t>1930 Т</t>
  </si>
  <si>
    <t>1931 Т</t>
  </si>
  <si>
    <t>1932 Т</t>
  </si>
  <si>
    <t>1933 Т</t>
  </si>
  <si>
    <t>1934 Т</t>
  </si>
  <si>
    <t>1935 Т</t>
  </si>
  <si>
    <t>1936 Т</t>
  </si>
  <si>
    <t>1937 Т</t>
  </si>
  <si>
    <t>1938 Т</t>
  </si>
  <si>
    <t>1939 Т</t>
  </si>
  <si>
    <t>1940 Т</t>
  </si>
  <si>
    <t>1941 Т</t>
  </si>
  <si>
    <t>1942 Т</t>
  </si>
  <si>
    <t>1943 Т</t>
  </si>
  <si>
    <t>1944 Т</t>
  </si>
  <si>
    <t>1945 Т</t>
  </si>
  <si>
    <t>1946 Т</t>
  </si>
  <si>
    <t>1947 Т</t>
  </si>
  <si>
    <t>1948 Т</t>
  </si>
  <si>
    <t>1949 Т</t>
  </si>
  <si>
    <t>1950 Т</t>
  </si>
  <si>
    <t>1951 Т</t>
  </si>
  <si>
    <t>1952 Т</t>
  </si>
  <si>
    <t>1953 Т</t>
  </si>
  <si>
    <t>1954 Т</t>
  </si>
  <si>
    <t>1955 Т</t>
  </si>
  <si>
    <t>1956 Т</t>
  </si>
  <si>
    <t>1957 Т</t>
  </si>
  <si>
    <t>1958 Т</t>
  </si>
  <si>
    <t>1959 Т</t>
  </si>
  <si>
    <t>1960 Т</t>
  </si>
  <si>
    <t>1961 Т</t>
  </si>
  <si>
    <t>1962 Т</t>
  </si>
  <si>
    <t>1963 Т</t>
  </si>
  <si>
    <t>1964 Т</t>
  </si>
  <si>
    <t>1965 Т</t>
  </si>
  <si>
    <t>1966 Т</t>
  </si>
  <si>
    <t>1967 Т</t>
  </si>
  <si>
    <t>1968 Т</t>
  </si>
  <si>
    <t>1969 Т</t>
  </si>
  <si>
    <t>1970 Т</t>
  </si>
  <si>
    <t>1971 Т</t>
  </si>
  <si>
    <t>1972 Т</t>
  </si>
  <si>
    <t>1973 Т</t>
  </si>
  <si>
    <t>1974 Т</t>
  </si>
  <si>
    <t>1975 Т</t>
  </si>
  <si>
    <t>1976 Т</t>
  </si>
  <si>
    <t>1977 Т</t>
  </si>
  <si>
    <t>1978 Т</t>
  </si>
  <si>
    <t>1979 Т</t>
  </si>
  <si>
    <t>1980 Т</t>
  </si>
  <si>
    <t>1981 Т</t>
  </si>
  <si>
    <t>1982 Т</t>
  </si>
  <si>
    <t>1983 Т</t>
  </si>
  <si>
    <t>1984 Т</t>
  </si>
  <si>
    <t>1985 Т</t>
  </si>
  <si>
    <t>1986 Т</t>
  </si>
  <si>
    <t>1987 Т</t>
  </si>
  <si>
    <t>1988 Т</t>
  </si>
  <si>
    <t>1989 Т</t>
  </si>
  <si>
    <t>1990 Т</t>
  </si>
  <si>
    <t>1991 Т</t>
  </si>
  <si>
    <t>1992 Т</t>
  </si>
  <si>
    <t>1993 Т</t>
  </si>
  <si>
    <t>1994 Т</t>
  </si>
  <si>
    <t>1995 Т</t>
  </si>
  <si>
    <t>1996 Т</t>
  </si>
  <si>
    <t>1997 Т</t>
  </si>
  <si>
    <t>1998 Т</t>
  </si>
  <si>
    <t>1999 Т</t>
  </si>
  <si>
    <t>2000 Т</t>
  </si>
  <si>
    <t>2001 Т</t>
  </si>
  <si>
    <t>2002 Т</t>
  </si>
  <si>
    <t>2003 Т</t>
  </si>
  <si>
    <t>2004 Т</t>
  </si>
  <si>
    <t>2005 Т</t>
  </si>
  <si>
    <t>2006 Т</t>
  </si>
  <si>
    <t>2007 Т</t>
  </si>
  <si>
    <t>2008 Т</t>
  </si>
  <si>
    <t>2009 Т</t>
  </si>
  <si>
    <t>2010 Т</t>
  </si>
  <si>
    <t>2011 Т</t>
  </si>
  <si>
    <t>2012 Т</t>
  </si>
  <si>
    <t>2013 Т</t>
  </si>
  <si>
    <t>2014 Т</t>
  </si>
  <si>
    <t>2015 Т</t>
  </si>
  <si>
    <t>2016 Т</t>
  </si>
  <si>
    <t>2017 Т</t>
  </si>
  <si>
    <t>2018 Т</t>
  </si>
  <si>
    <t>2019 Т</t>
  </si>
  <si>
    <t>2020 Т</t>
  </si>
  <si>
    <t>2021 Т</t>
  </si>
  <si>
    <t>2022 Т</t>
  </si>
  <si>
    <t>2023 Т</t>
  </si>
  <si>
    <t>2024 Т</t>
  </si>
  <si>
    <t>2025 Т</t>
  </si>
  <si>
    <t>2026 Т</t>
  </si>
  <si>
    <t>2027 Т</t>
  </si>
  <si>
    <t>2028 Т</t>
  </si>
  <si>
    <t>2029 Т</t>
  </si>
  <si>
    <t>2030 Т</t>
  </si>
  <si>
    <t>2031 Т</t>
  </si>
  <si>
    <t>2032 Т</t>
  </si>
  <si>
    <t>2033 Т</t>
  </si>
  <si>
    <t>2034 Т</t>
  </si>
  <si>
    <t>2035 Т</t>
  </si>
  <si>
    <t>2036 Т</t>
  </si>
  <si>
    <t>2037 Т</t>
  </si>
  <si>
    <t>2038 Т</t>
  </si>
  <si>
    <t>2039 Т</t>
  </si>
  <si>
    <t>2040 Т</t>
  </si>
  <si>
    <t>2041 Т</t>
  </si>
  <si>
    <t>2042 Т</t>
  </si>
  <si>
    <t>2043 Т</t>
  </si>
  <si>
    <t>2044 Т</t>
  </si>
  <si>
    <t>2045 Т</t>
  </si>
  <si>
    <t>2046 Т</t>
  </si>
  <si>
    <t>2047 Т</t>
  </si>
  <si>
    <t>2048 Т</t>
  </si>
  <si>
    <t>2049 Т</t>
  </si>
  <si>
    <t>2050 Т</t>
  </si>
  <si>
    <t>2051 Т</t>
  </si>
  <si>
    <t>2052 Т</t>
  </si>
  <si>
    <t>2053 Т</t>
  </si>
  <si>
    <t>2054 Т</t>
  </si>
  <si>
    <t>2055 Т</t>
  </si>
  <si>
    <t>2056 Т</t>
  </si>
  <si>
    <t>2057 Т</t>
  </si>
  <si>
    <t>2058 Т</t>
  </si>
  <si>
    <t>2059 Т</t>
  </si>
  <si>
    <t>2060 Т</t>
  </si>
  <si>
    <t>2061 Т</t>
  </si>
  <si>
    <t>2062 Т</t>
  </si>
  <si>
    <t>2063 Т</t>
  </si>
  <si>
    <t>2064 Т</t>
  </si>
  <si>
    <t>2065 Т</t>
  </si>
  <si>
    <t>2066 Т</t>
  </si>
  <si>
    <t>2067 Т</t>
  </si>
  <si>
    <t>2068 Т</t>
  </si>
  <si>
    <t>2069 Т</t>
  </si>
  <si>
    <t>2070 Т</t>
  </si>
  <si>
    <t>2071 Т</t>
  </si>
  <si>
    <t>2072 Т</t>
  </si>
  <si>
    <t>2073 Т</t>
  </si>
  <si>
    <t>2074 Т</t>
  </si>
  <si>
    <t>2075 Т</t>
  </si>
  <si>
    <t>2076 Т</t>
  </si>
  <si>
    <t>2077 Т</t>
  </si>
  <si>
    <t>2078 Т</t>
  </si>
  <si>
    <t>2079 Т</t>
  </si>
  <si>
    <t>2080 Т</t>
  </si>
  <si>
    <t>2081 Т</t>
  </si>
  <si>
    <t>2082 Т</t>
  </si>
  <si>
    <t>2083 Т</t>
  </si>
  <si>
    <t>2084 Т</t>
  </si>
  <si>
    <t>2085 Т</t>
  </si>
  <si>
    <t>2086 Т</t>
  </si>
  <si>
    <t>2087 Т</t>
  </si>
  <si>
    <t>2088 Т</t>
  </si>
  <si>
    <t>2089 Т</t>
  </si>
  <si>
    <t>2090 Т</t>
  </si>
  <si>
    <t>2091 Т</t>
  </si>
  <si>
    <t>2092 Т</t>
  </si>
  <si>
    <t>2093 Т</t>
  </si>
  <si>
    <t>2094 Т</t>
  </si>
  <si>
    <t>2095 Т</t>
  </si>
  <si>
    <t>2096 Т</t>
  </si>
  <si>
    <t>Предназначен для мытья полов .Держатель для швабры МОП 47*12*2см с ручкой. Пластиковый. Изготовлен из высококачественного пластика. Высопрочная ручка. Долговечность в самых тяжелых эксплуатациях.</t>
  </si>
  <si>
    <t>27.33.13.900.006.00.0796.000000000001</t>
  </si>
  <si>
    <t>Удлинитель</t>
  </si>
  <si>
    <t>электрический, бытовой, длина 5 метров</t>
  </si>
  <si>
    <t>Всего:</t>
  </si>
  <si>
    <t>исключена</t>
  </si>
  <si>
    <t>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t>
  </si>
  <si>
    <t>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t>
  </si>
  <si>
    <t>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t>
  </si>
  <si>
    <t>План закупок товаров, работ и услуг на 2016 год по ТОО "КазМунайГаз-Сервис"</t>
  </si>
  <si>
    <t>152-2 Т</t>
  </si>
  <si>
    <t>февраль-март,апрель-май</t>
  </si>
  <si>
    <t>со дня заключения договора по 30 июня 2016 г.</t>
  </si>
  <si>
    <t>11,14,18,20,21</t>
  </si>
  <si>
    <t>145-2 Т</t>
  </si>
  <si>
    <t>февраль-март, апрель-май</t>
  </si>
  <si>
    <t>155 У</t>
  </si>
  <si>
    <t>Услуги погрузки отходов на мусоровоз и разгрузки 
в специально отведенных местах, с объектов, 
расположенных в с. Зеренда 
Акмолинской области (696 м3 мес).</t>
  </si>
  <si>
    <t>163-2 Т</t>
  </si>
  <si>
    <t>114-1 У</t>
  </si>
  <si>
    <t>7,11</t>
  </si>
  <si>
    <t>115-1 У</t>
  </si>
  <si>
    <t>125-1 У</t>
  </si>
  <si>
    <t>155-1 Т</t>
  </si>
  <si>
    <t>156-1 Т</t>
  </si>
  <si>
    <t>157-1 Т</t>
  </si>
  <si>
    <t>158-1 Т</t>
  </si>
  <si>
    <t>159-1 Т</t>
  </si>
  <si>
    <t>161-1 Т</t>
  </si>
  <si>
    <t>162-1 Т</t>
  </si>
  <si>
    <t>32 Р</t>
  </si>
  <si>
    <t>Работы по ремонту и реставрации полов кабинета А615 в адм. Здании по пр. Кабанбай Батыра 19 (блок А)</t>
  </si>
  <si>
    <t>43.39.19.335.000.00.0999.000000000000</t>
  </si>
  <si>
    <t>Работы по ремонту/реконструкции отдельных элементов нежилых зданий/сооружений/помещений (кроме оборудования, инженерных систем и коммуникаций)</t>
  </si>
  <si>
    <t>6-1 Р</t>
  </si>
  <si>
    <t>7-1 Р</t>
  </si>
  <si>
    <t>8-1 Р</t>
  </si>
  <si>
    <t>9-1 Р</t>
  </si>
  <si>
    <t>10-1 Р</t>
  </si>
  <si>
    <t>18-1 Р</t>
  </si>
  <si>
    <t>24-1 Р</t>
  </si>
  <si>
    <t>126-1 У</t>
  </si>
  <si>
    <t>49-2 У</t>
  </si>
  <si>
    <t>50-2 У</t>
  </si>
  <si>
    <t>55-1 У</t>
  </si>
  <si>
    <t>51-1 У</t>
  </si>
  <si>
    <t>52-1 У</t>
  </si>
  <si>
    <t>53-1 У</t>
  </si>
  <si>
    <t>56-1 У</t>
  </si>
  <si>
    <t>57-1 У</t>
  </si>
  <si>
    <t>58-1 У</t>
  </si>
  <si>
    <t>59-1 У</t>
  </si>
  <si>
    <t>124-1 У</t>
  </si>
  <si>
    <t>127-1 У</t>
  </si>
  <si>
    <t>131-1 У</t>
  </si>
  <si>
    <t>149-1 У</t>
  </si>
  <si>
    <t>120-1 У</t>
  </si>
  <si>
    <t>31-1 Р</t>
  </si>
  <si>
    <t>11,20,21</t>
  </si>
  <si>
    <t>42-1 У</t>
  </si>
  <si>
    <t>43-1 У</t>
  </si>
  <si>
    <t>44-1 У</t>
  </si>
  <si>
    <t>3,4,5,6,7</t>
  </si>
  <si>
    <t>Коллективная аптечка первой помощи до 100 человек</t>
  </si>
  <si>
    <t>555-1 Т</t>
  </si>
  <si>
    <t>Услуги по сервисному обслуживанию бассейна, расположенному по адресу: пр Кабанбай батыра, 19, блок А.</t>
  </si>
  <si>
    <t>6,11</t>
  </si>
  <si>
    <t>21-1У</t>
  </si>
  <si>
    <t>с короткими рукавами, из хлопчатобумажной ткани 100% . Цвет: темно-синий с фирменным логотипом по заказу заказчика с предоставлением образца.</t>
  </si>
  <si>
    <t>121-1 Т</t>
  </si>
  <si>
    <t>объем 0,7л</t>
  </si>
  <si>
    <t>1-1 Т</t>
  </si>
  <si>
    <t>2-1 Т</t>
  </si>
  <si>
    <t>3-1 Т</t>
  </si>
  <si>
    <t>5-1 Т</t>
  </si>
  <si>
    <t>4-1 Т</t>
  </si>
  <si>
    <t>6-1 Т</t>
  </si>
  <si>
    <t>7-1 Т</t>
  </si>
  <si>
    <t>8-1 Т</t>
  </si>
  <si>
    <t>9-1 Т</t>
  </si>
  <si>
    <t>10-1 Т</t>
  </si>
  <si>
    <t>11-1 Т</t>
  </si>
  <si>
    <t>12-1 Т</t>
  </si>
  <si>
    <t>13-1 Т</t>
  </si>
  <si>
    <t>14-1 Т</t>
  </si>
  <si>
    <t>15-1 Т</t>
  </si>
  <si>
    <t>16-1 Т</t>
  </si>
  <si>
    <t>17-1 Т</t>
  </si>
  <si>
    <t>18-1 Т</t>
  </si>
  <si>
    <t>19-1 Т</t>
  </si>
  <si>
    <t>20-1 Т</t>
  </si>
  <si>
    <t>21-1 Т</t>
  </si>
  <si>
    <t>22-1 Т</t>
  </si>
  <si>
    <t>23 -1Т</t>
  </si>
  <si>
    <t>24-1 Т</t>
  </si>
  <si>
    <t>25-1 Т</t>
  </si>
  <si>
    <t>26-1 Т</t>
  </si>
  <si>
    <t>27-1 Т</t>
  </si>
  <si>
    <t>28-1 Т</t>
  </si>
  <si>
    <t>29-1 Т</t>
  </si>
  <si>
    <t>30-1 Т</t>
  </si>
  <si>
    <t>31-1 Т</t>
  </si>
  <si>
    <t>32-1 Т</t>
  </si>
  <si>
    <t>33-1 Т</t>
  </si>
  <si>
    <t>34-1 Т</t>
  </si>
  <si>
    <t>35-1 Т</t>
  </si>
  <si>
    <t>36-1 Т</t>
  </si>
  <si>
    <t>37-1 Т</t>
  </si>
  <si>
    <t>38-1 Т</t>
  </si>
  <si>
    <t>39-1 Т</t>
  </si>
  <si>
    <t>40-1 Т</t>
  </si>
  <si>
    <t>41-1 Т</t>
  </si>
  <si>
    <t>42-1 Т</t>
  </si>
  <si>
    <t>43-1 Т</t>
  </si>
  <si>
    <t>44-1 Т</t>
  </si>
  <si>
    <t>45-1 Т</t>
  </si>
  <si>
    <t>46-1 Т</t>
  </si>
  <si>
    <t>47-1 Т</t>
  </si>
  <si>
    <t>48-1 Т</t>
  </si>
  <si>
    <t>49-1 Т</t>
  </si>
  <si>
    <t>50-1 Т</t>
  </si>
  <si>
    <t>51-1 Т</t>
  </si>
  <si>
    <t>52-1 Т</t>
  </si>
  <si>
    <t>53-1 Т</t>
  </si>
  <si>
    <t>54-1 Т</t>
  </si>
  <si>
    <t>55-1 Т</t>
  </si>
  <si>
    <t>56-1 Т</t>
  </si>
  <si>
    <t>57-1 Т</t>
  </si>
  <si>
    <t>58-1 Т</t>
  </si>
  <si>
    <t>59-1 Т</t>
  </si>
  <si>
    <t>60-1Т</t>
  </si>
  <si>
    <t>61-1 Т</t>
  </si>
  <si>
    <t>62-1 Т</t>
  </si>
  <si>
    <t>63-1 Т</t>
  </si>
  <si>
    <t>64-1 Т</t>
  </si>
  <si>
    <t>65-1 Т</t>
  </si>
  <si>
    <t>66-1 Т</t>
  </si>
  <si>
    <t>67-1 Т</t>
  </si>
  <si>
    <t>68-1 Т</t>
  </si>
  <si>
    <t>69-1 Т</t>
  </si>
  <si>
    <t>70-1 Т</t>
  </si>
  <si>
    <t>71-1 Т</t>
  </si>
  <si>
    <t>72-1 Т</t>
  </si>
  <si>
    <t>73-1 Т</t>
  </si>
  <si>
    <t>74-1 Т</t>
  </si>
  <si>
    <t>75-1 Т</t>
  </si>
  <si>
    <t>76-1 Т</t>
  </si>
  <si>
    <t>77-1 Т</t>
  </si>
  <si>
    <t>78-1 Т</t>
  </si>
  <si>
    <t>79-1 Т</t>
  </si>
  <si>
    <t>80-1 Т</t>
  </si>
  <si>
    <t>81-1 Т</t>
  </si>
  <si>
    <t>82-1 Т</t>
  </si>
  <si>
    <t>83-1 Т</t>
  </si>
  <si>
    <t>84-1 Т</t>
  </si>
  <si>
    <t>85-1 Т</t>
  </si>
  <si>
    <t>86-1 Т</t>
  </si>
  <si>
    <t>87-1 Т</t>
  </si>
  <si>
    <t>88-1 Т</t>
  </si>
  <si>
    <t>89-1 Т</t>
  </si>
  <si>
    <t>90-1 Т</t>
  </si>
  <si>
    <t>91-1 Т</t>
  </si>
  <si>
    <t>92-1 Т</t>
  </si>
  <si>
    <t>93-1 Т</t>
  </si>
  <si>
    <t>94-1 Т</t>
  </si>
  <si>
    <t>95-1 Т</t>
  </si>
  <si>
    <t>96-1 Т</t>
  </si>
  <si>
    <t>97-1 Т</t>
  </si>
  <si>
    <t>98-1 Т</t>
  </si>
  <si>
    <t>99-1 Т</t>
  </si>
  <si>
    <t>100-1 Т</t>
  </si>
  <si>
    <t>101 -1Т</t>
  </si>
  <si>
    <t>102-1 Т</t>
  </si>
  <si>
    <t>103-1 Т</t>
  </si>
  <si>
    <t>104-1 Т</t>
  </si>
  <si>
    <t>105-1 Т</t>
  </si>
  <si>
    <t>106-1 Т</t>
  </si>
  <si>
    <t>107-1 Т</t>
  </si>
  <si>
    <t>108-1 Т</t>
  </si>
  <si>
    <t>109-1 Т</t>
  </si>
  <si>
    <t>110-1 Т</t>
  </si>
  <si>
    <t>111-1 Т</t>
  </si>
  <si>
    <t>112-1 Т</t>
  </si>
  <si>
    <t>113-1 Т</t>
  </si>
  <si>
    <t>115-1 Т</t>
  </si>
  <si>
    <t>116-1 Т</t>
  </si>
  <si>
    <t>117-1 Т</t>
  </si>
  <si>
    <t>118-1 Т</t>
  </si>
  <si>
    <t>119-1 Т</t>
  </si>
  <si>
    <t>120-1 Т</t>
  </si>
  <si>
    <t>122-1 Т</t>
  </si>
  <si>
    <t>123-1 Т</t>
  </si>
  <si>
    <t>124-1 Т</t>
  </si>
  <si>
    <t>125-1 Т</t>
  </si>
  <si>
    <t>126-1 Т</t>
  </si>
  <si>
    <t>127-1 Т</t>
  </si>
  <si>
    <t>128-1 Т</t>
  </si>
  <si>
    <t>129-1 Т</t>
  </si>
  <si>
    <t>130-1 Т</t>
  </si>
  <si>
    <t>131-1 Т</t>
  </si>
  <si>
    <t>132-1 Т</t>
  </si>
  <si>
    <t>133-1 Т</t>
  </si>
  <si>
    <t xml:space="preserve">Спортивный костюм тренировочный
Костюм состоит из куртки и брюк.
Куртка рукав реглан, прилегающего силуэта.  Длина куртки до середины линии бедра.  Центральная часть полочки и спинки выполнены из основной ткани синего цвета (TPX 18-4244). Воротник стойка из ластика(рибаны) синего цвета.Куртка на замке длинной 22 см. Настрочной шеврон "Флаг РК" 4,0*8,0 см на левом полочке на уровне линий груди. На правой полочке от проймы расположить "национальный орнамент" выполнен контурной вышивкой желтого цвета (TPX 12-0643). Спинка без модельных особенностей выполена из основной ткани синего цвета (TPX 18-4244). По центру спинки надпись "KAZAKHSTAN" 30,0*5,0 см выполнена методом контурной вышивки желтого цвета (TPX 12-0643). Рукава выполнены из контрастной ткани - желтого цвета (TPX 12-0643), по низу рукавов симметричные вставки из основной ткани синего цвета (TPX 18-4244). Низ рукавов обрабатывается манжетой шириной 6,0 см из ластика синего цвета (TPX 18-4244). Низ изделия так же обрабатывается манжетой шириной 6,0 см из ластика синего цвета (TPX 18-4244).
Брюки прямого силуэта из основной ткани синего цвета (TPX 18-4244). Брюки с боковыми лампасами из основной ткани синего цвета (TPX 18-4244). В шве стачивания лампас расположены карманы на молнии №3 (TPX 18-4244).Пояс на резине, с регулируемым шнуром. Низ брюк обработаны манжетой шириной 6,0см из ластика синего цвета(TPX 18-4244).                                                                                                     
цвет основной –  синий по пантону TPX 18-4244
цвет дополнительный – желтый по пантону TPX 12-0643 Подклад:сетка 100% полиэстр
</t>
  </si>
  <si>
    <t>1806-1 Т</t>
  </si>
  <si>
    <t>1807-1 Т</t>
  </si>
  <si>
    <t>1808-1 Т</t>
  </si>
  <si>
    <t>1809-1 Т</t>
  </si>
  <si>
    <t>Детали: усиление в области свода стопы; Хлопок - 69%, Полиэстер - 18%, Нейлон - 11%, Эластан - 2%</t>
  </si>
  <si>
    <t>Техническое обслуживание ворот и шлагбаумов в паркинге</t>
  </si>
  <si>
    <t>41-1 У</t>
  </si>
  <si>
    <t>129-1 У</t>
  </si>
  <si>
    <t>134-1 У</t>
  </si>
  <si>
    <t>20,21</t>
  </si>
  <si>
    <t>128-1 У</t>
  </si>
  <si>
    <t>130-1 У</t>
  </si>
  <si>
    <t>8,11,15,22</t>
  </si>
  <si>
    <t>6,8,11,15,18,19,20,21,22</t>
  </si>
  <si>
    <t>156 У</t>
  </si>
  <si>
    <t>74.90.20.000.045.00.0777.000000000000</t>
  </si>
  <si>
    <t>Услуги по предоставлению электронно-цифровых подписей</t>
  </si>
  <si>
    <t>1787-1 Т</t>
  </si>
  <si>
    <t>148-1 У</t>
  </si>
  <si>
    <t>10.51.52.431.000.00.0796.000000000000</t>
  </si>
  <si>
    <t>питьевой, без пищевых добавок, СТ РК 2069-2010</t>
  </si>
  <si>
    <t>3,5,8,11,15,22</t>
  </si>
  <si>
    <t>10.51.40.312.000.00.0166.000000000000</t>
  </si>
  <si>
    <t>крестьянский, массовая доля жира не менее 5%, СТ РК 94-95</t>
  </si>
  <si>
    <t>Консистенция однородная, жидкая с легкой тягучестью, упаковка 0,5 л</t>
  </si>
  <si>
    <t>3,5,6,8,11,15,18,20,21,22</t>
  </si>
  <si>
    <t>19-2 У</t>
  </si>
  <si>
    <t xml:space="preserve">декабрь-январь, февраль-март, апрель-май </t>
  </si>
  <si>
    <t>10-2 У</t>
  </si>
  <si>
    <t>11-2 У</t>
  </si>
  <si>
    <t>60-1 У</t>
  </si>
  <si>
    <t>45-1 У</t>
  </si>
  <si>
    <t>С изменениями и дополнениями от 13.04.2016 года №143</t>
  </si>
  <si>
    <t>23.91.11.600.006.00.0796.000000000000</t>
  </si>
  <si>
    <t>охлажденная, полутуша, I категория, ГОСТ 32225-2013</t>
  </si>
  <si>
    <t>сорт высший, ГОСТ 16833-2014</t>
  </si>
  <si>
    <t>сахарное, ГОСТ 24901-2014</t>
  </si>
  <si>
    <t>прямого отжима, без добавок сахара, СТ РК 1472-2005</t>
  </si>
  <si>
    <t>11.07.11.310.000.01.0868.000000000008</t>
  </si>
  <si>
    <t>карданная, для специализированного автомобиля</t>
  </si>
  <si>
    <t>правая, передняя, для специального и специализированного автомобиля</t>
  </si>
  <si>
    <t>94-1 У</t>
  </si>
  <si>
    <t>2097 Т</t>
  </si>
  <si>
    <t>22.29.29.900.039.00.0625.000000000001</t>
  </si>
  <si>
    <t>Поликарбонат (полигаль)</t>
  </si>
  <si>
    <t>листовой, толщина 8 мм</t>
  </si>
  <si>
    <t>Сотовый поликарбонат, в комлекте с торцевым профилем (8мм*2100мм), размер 2,1*12м, цвет синий</t>
  </si>
  <si>
    <t>157 У</t>
  </si>
  <si>
    <t>6-2 Р</t>
  </si>
  <si>
    <t>2098 Т</t>
  </si>
  <si>
    <t>32.99.59.900.036.00.0839.000000000000</t>
  </si>
  <si>
    <t>Шлагбаум</t>
  </si>
  <si>
    <t>устройство для быстрого преграждения и освобождения пути в виде поворачивающейся вокруг горизонтальной или вертикальной оси стрелы</t>
  </si>
  <si>
    <t>2099 Т</t>
  </si>
  <si>
    <t>2100 Т</t>
  </si>
  <si>
    <t>Шлагбаум в шириной проезда до 8 метров. Стрела прямоугольная алюминиевая 6,85м. В комплекте с брелком-передатчиком 2-х канальным, с опорой стрелы, а также с бетонированием, монтажом и доставкой.</t>
  </si>
  <si>
    <t>Шлагбаум в шириной проезда до 8 метров. Стрела прямоугольная алюминиевая 4,2м. В комплекте сфотоэлементами (дальность  10м), а также с бетонированием, монтажом и доставкой.</t>
  </si>
  <si>
    <t>Шлагбаум в шириной проезда до 8 метров. Стрела прямоугольная алюминиевая 4,2м с шарниром.. В комплекте сфотоэлементами (дальность  10м), а также с бетонированием, монтажом и доставкой.</t>
  </si>
  <si>
    <t>158 У</t>
  </si>
  <si>
    <t>Услуги по оценке пневмонасосной станции и распределительного пункта РП-59 по ул.Букейхана, 4, г. Астана.</t>
  </si>
  <si>
    <t>159 У</t>
  </si>
  <si>
    <t>33.19.10.800.003.00.0777.000000000000</t>
  </si>
  <si>
    <t>Услуги по техническому обслуживанию/содержанию магистральных/местных трубопроводов и аналогичных сетей/систем</t>
  </si>
  <si>
    <t>Услуги по обслуживанию инженерных сетей адм.здания  по пр. Кабанбай батыра, 19, блоки С и Е</t>
  </si>
  <si>
    <t>102-1 У</t>
  </si>
  <si>
    <t>95-1 У</t>
  </si>
  <si>
    <t>96-1 У</t>
  </si>
  <si>
    <t>16-1 Р</t>
  </si>
  <si>
    <t>49-3 У</t>
  </si>
  <si>
    <t>160 У</t>
  </si>
  <si>
    <t>12,20,21</t>
  </si>
  <si>
    <t>12-1 Р</t>
  </si>
  <si>
    <t>33 Р</t>
  </si>
  <si>
    <t>80.20.10.000.001.00.0999.000000000000</t>
  </si>
  <si>
    <t>Работы по ремонту/модернизации сейфов и аналогичных изделий</t>
  </si>
  <si>
    <t>2101 Т</t>
  </si>
  <si>
    <t>25.93.13.900.004.00.0839.000000000000</t>
  </si>
  <si>
    <t>Ограждение</t>
  </si>
  <si>
    <t>металлическое</t>
  </si>
  <si>
    <t>Комплект из 30 столбиков, 120  анкеров для крепления, 100м цепи и 60 шт карабина</t>
  </si>
  <si>
    <t>2102 Т</t>
  </si>
  <si>
    <t>25.11.10.300.006.00.0839.000000000005</t>
  </si>
  <si>
    <t>Мобильное здание</t>
  </si>
  <si>
    <t>административное, для поста охраны, для поста охраны</t>
  </si>
  <si>
    <t>Стационарная будка с доставкой и монтажом</t>
  </si>
  <si>
    <t>2103 Т</t>
  </si>
  <si>
    <t>26.51.82.500.085.00.0796.000000000000</t>
  </si>
  <si>
    <t>Датчик-сигнализатор</t>
  </si>
  <si>
    <t>для сигнализатора горючих газов и паров</t>
  </si>
  <si>
    <t>датчик уровня СО системы JET-вентиляции</t>
  </si>
  <si>
    <t>62.01.11.900.005.00.0999.000000000000</t>
  </si>
  <si>
    <t>Работы по разработке программного обеспечения</t>
  </si>
  <si>
    <t>разработка и техническое обслуживание виртуальной комнаты "Virtual Data Room"</t>
  </si>
  <si>
    <t>34 Р</t>
  </si>
  <si>
    <t>С изменениями и дополнениями от 20.04.2016 года №164</t>
  </si>
  <si>
    <t>2104 Т</t>
  </si>
  <si>
    <t>25.99.29.190.061.00.0839.000000000000</t>
  </si>
  <si>
    <t>Комплект индивидуального спасательного устройства</t>
  </si>
  <si>
    <t>комплектность катушка с тросом, спасательный треугольник</t>
  </si>
  <si>
    <t>Индивидуальное спасательное устроство модели Т-180 включая установку, налоги и оборудование для вскрытия оконных проемов</t>
  </si>
  <si>
    <t>2105 Т</t>
  </si>
  <si>
    <t>28.13.23.900.002.00.0796.000000000000</t>
  </si>
  <si>
    <t>компрессор винтовой</t>
  </si>
  <si>
    <t>винтовой</t>
  </si>
  <si>
    <t>винтовый компрессор чиллера</t>
  </si>
  <si>
    <t>2106 Т</t>
  </si>
  <si>
    <t>28.13.32.000.065.00.0796.000000000000</t>
  </si>
  <si>
    <t>для компрессора</t>
  </si>
  <si>
    <t>комплект прокладок для установки компрессора</t>
  </si>
  <si>
    <t>2107 Т</t>
  </si>
  <si>
    <t>2108 Т</t>
  </si>
  <si>
    <t>25.94.11.800.001.00.0796.000000000002</t>
  </si>
  <si>
    <t>Гайка-барашек</t>
  </si>
  <si>
    <t>стальная, резьба М10, ГОСТ 3032-76</t>
  </si>
  <si>
    <t>маховик к пожарному вентилю 12*12</t>
  </si>
  <si>
    <t>маховик к пожарному вентилю 10*10</t>
  </si>
  <si>
    <t>маховик к пожарному вентилю  14*14</t>
  </si>
  <si>
    <t>2109Т</t>
  </si>
  <si>
    <t>25.11.23.500.000.00.0796.000000000001</t>
  </si>
  <si>
    <t>Стойка ограждения</t>
  </si>
  <si>
    <t>для устройства временного ограждения, с вытяжной лентой, из нержавеющей стали, длина ленты до 3 м</t>
  </si>
  <si>
    <t>анкерный болт для крепления столбиков, рабочая длина 100мм, диаметр болта 10мм</t>
  </si>
  <si>
    <t>25.93.17.200.000.01.0006.000000000001</t>
  </si>
  <si>
    <t>Цепь</t>
  </si>
  <si>
    <t>сварная, грузовая, круглозвенная, калибр 8 мм</t>
  </si>
  <si>
    <t>2110 Т</t>
  </si>
  <si>
    <t>2111 Т</t>
  </si>
  <si>
    <t>2112 Т</t>
  </si>
  <si>
    <t>2113 Т</t>
  </si>
  <si>
    <t>25.99.29.490.055.00.0796.000000000001</t>
  </si>
  <si>
    <t>Карабин</t>
  </si>
  <si>
    <t>винтовой, М4</t>
  </si>
  <si>
    <t>153-2 Т</t>
  </si>
  <si>
    <t>18,19,20,21</t>
  </si>
  <si>
    <t>1601-1 Т</t>
  </si>
  <si>
    <t>8,15,22</t>
  </si>
  <si>
    <t>1602-1 Т</t>
  </si>
  <si>
    <t>1603-1 Т</t>
  </si>
  <si>
    <t>1604-1 Т</t>
  </si>
  <si>
    <t>1605-1 Т</t>
  </si>
  <si>
    <t>155-2 Т</t>
  </si>
  <si>
    <t>156-2 Т</t>
  </si>
  <si>
    <t>157-2 Т</t>
  </si>
  <si>
    <t>158-2 Т</t>
  </si>
  <si>
    <t>159-2 Т</t>
  </si>
  <si>
    <t>160 -2 Т</t>
  </si>
  <si>
    <t>160 -1 Т</t>
  </si>
  <si>
    <t>161-2 Т</t>
  </si>
  <si>
    <t>162-2 Т</t>
  </si>
  <si>
    <t>1549-1 Т</t>
  </si>
  <si>
    <t>1550-1 Т</t>
  </si>
  <si>
    <t>1551-1 Т</t>
  </si>
  <si>
    <t>1552-1 Т</t>
  </si>
  <si>
    <t>Столбик с анкерным креплением парковочный. Высота 750мм, диаметр 273мм, материал - металл, масса 3,3кг</t>
  </si>
  <si>
    <t>цепь оцинкованная. Диаметр сечения звена 3 мм, длина в бухте 100 м, цвет-серебристый</t>
  </si>
  <si>
    <t>Карабин с муфтой 4 мм, применяется для присоединения оцинкованной цепи к парковочному столбику</t>
  </si>
  <si>
    <t>35 Р</t>
  </si>
  <si>
    <t>71.12.35.100.000.00.0999.000000000002</t>
  </si>
  <si>
    <t>Инженерно-геодезические работы</t>
  </si>
  <si>
    <t>Топографические работы</t>
  </si>
  <si>
    <t>Топографическая съемка земельного участка ЖК "Нурлы дала"</t>
  </si>
  <si>
    <t>19-3 У</t>
  </si>
  <si>
    <t>со 1 июня по 31 декабря 2016 г.</t>
  </si>
  <si>
    <t>Услуги по аренде микроавтобусов с водителем в г. Астана  в количестве 4 единиц, 5-ти дневная рабочая неделя, расчетный ежемесячный пробег 3900км, время эксплуатации с 06:00 до 21:00ч.</t>
  </si>
  <si>
    <t>558-1 Т</t>
  </si>
  <si>
    <t>561-1 Т</t>
  </si>
  <si>
    <t>562-1 Т</t>
  </si>
  <si>
    <t>563-1 Т</t>
  </si>
  <si>
    <t>564-1 Т</t>
  </si>
  <si>
    <t>566-1 Т</t>
  </si>
  <si>
    <t>567-1 Т</t>
  </si>
  <si>
    <t>569-1 Т</t>
  </si>
  <si>
    <t>570-1 Т</t>
  </si>
  <si>
    <t>571-1 Т</t>
  </si>
  <si>
    <t>572-1 Т</t>
  </si>
  <si>
    <t>574-1 Т</t>
  </si>
  <si>
    <t>575-1 Т</t>
  </si>
  <si>
    <t>576-1 Т</t>
  </si>
  <si>
    <t>577-1 Т</t>
  </si>
  <si>
    <t>578-1 Т</t>
  </si>
  <si>
    <t>579-1 Т</t>
  </si>
  <si>
    <t>580-1 Т</t>
  </si>
  <si>
    <t>582-1 Т</t>
  </si>
  <si>
    <t>583-1 Т</t>
  </si>
  <si>
    <t>584-1 Т</t>
  </si>
  <si>
    <t>585-1 Т</t>
  </si>
  <si>
    <t>586-1 Т</t>
  </si>
  <si>
    <t>587-1 Т</t>
  </si>
  <si>
    <t>588-1 Т</t>
  </si>
  <si>
    <t>589-1 Т</t>
  </si>
  <si>
    <t>590-1 Т</t>
  </si>
  <si>
    <t>591-1 Т</t>
  </si>
  <si>
    <t>592-1 Т</t>
  </si>
  <si>
    <t>594-1 Т</t>
  </si>
  <si>
    <t>595-1 Т</t>
  </si>
  <si>
    <t>596-1 Т</t>
  </si>
  <si>
    <t>597-1 Т</t>
  </si>
  <si>
    <t>598-1 Т</t>
  </si>
  <si>
    <t>599-1 Т</t>
  </si>
  <si>
    <t>600-1 Т</t>
  </si>
  <si>
    <t>601-1 Т</t>
  </si>
  <si>
    <t>602-1 Т</t>
  </si>
  <si>
    <t>10-2 Р</t>
  </si>
  <si>
    <t>7,23</t>
  </si>
  <si>
    <t>603-1 Т</t>
  </si>
  <si>
    <t>605-1 Т</t>
  </si>
  <si>
    <t>606-1 Т</t>
  </si>
  <si>
    <t>607-1 Т</t>
  </si>
  <si>
    <t>608-1 Т</t>
  </si>
  <si>
    <t>609-1 Т</t>
  </si>
  <si>
    <t>610-1 Т</t>
  </si>
  <si>
    <t>611-1 Т</t>
  </si>
  <si>
    <t>612-1 Т</t>
  </si>
  <si>
    <t>613-1 Т</t>
  </si>
  <si>
    <t>614-1 Т</t>
  </si>
  <si>
    <t>615-1 Т</t>
  </si>
  <si>
    <t>616-1 Т</t>
  </si>
  <si>
    <t>617-1 Т</t>
  </si>
  <si>
    <t>618-1 Т</t>
  </si>
  <si>
    <t>620-1 Т</t>
  </si>
  <si>
    <t>622-1 Т</t>
  </si>
  <si>
    <t>623-1 Т</t>
  </si>
  <si>
    <t>624-1 Т</t>
  </si>
  <si>
    <t>625-1 Т</t>
  </si>
  <si>
    <t>626-1 Т</t>
  </si>
  <si>
    <t>627-1 Т</t>
  </si>
  <si>
    <t>628-1 Т</t>
  </si>
  <si>
    <t>629-1 Т</t>
  </si>
  <si>
    <t>630-1 Т</t>
  </si>
  <si>
    <t>631-1 Т</t>
  </si>
  <si>
    <t>632-1 Т</t>
  </si>
  <si>
    <t>633-1 Т</t>
  </si>
  <si>
    <t>634-1 Т</t>
  </si>
  <si>
    <t>635-1 Т</t>
  </si>
  <si>
    <t>636-1 Т</t>
  </si>
  <si>
    <t>637-1 Т</t>
  </si>
  <si>
    <t>638-1 Т</t>
  </si>
  <si>
    <t>639-1 Т</t>
  </si>
  <si>
    <t>640-1 Т</t>
  </si>
  <si>
    <t>641-1 Т</t>
  </si>
  <si>
    <t>642-1 Т</t>
  </si>
  <si>
    <t>643-1 Т</t>
  </si>
  <si>
    <t>644-1 Т</t>
  </si>
  <si>
    <t>645-1 Т</t>
  </si>
  <si>
    <t>646-1 Т</t>
  </si>
  <si>
    <t>647-1 Т</t>
  </si>
  <si>
    <t>648-1 Т</t>
  </si>
  <si>
    <t>649-1 Т</t>
  </si>
  <si>
    <t>650-1 Т</t>
  </si>
  <si>
    <t>651-1 Т</t>
  </si>
  <si>
    <t>652-1 Т</t>
  </si>
  <si>
    <t>653-1 Т</t>
  </si>
  <si>
    <t>654-1 Т</t>
  </si>
  <si>
    <t>655-1 Т</t>
  </si>
  <si>
    <t>656-1 Т</t>
  </si>
  <si>
    <t>657-1 Т</t>
  </si>
  <si>
    <t>658-1 Т</t>
  </si>
  <si>
    <t>659-1 Т</t>
  </si>
  <si>
    <t>660-1 Т</t>
  </si>
  <si>
    <t>661-1 Т</t>
  </si>
  <si>
    <t>662-1 Т</t>
  </si>
  <si>
    <t>663-1 Т</t>
  </si>
  <si>
    <t>664-1 Т</t>
  </si>
  <si>
    <t>665-1 Т</t>
  </si>
  <si>
    <t>666-1 Т</t>
  </si>
  <si>
    <t>667-1 Т</t>
  </si>
  <si>
    <t>668-1 Т</t>
  </si>
  <si>
    <t>669-1 Т</t>
  </si>
  <si>
    <t>670-1 Т</t>
  </si>
  <si>
    <t>671-1 Т</t>
  </si>
  <si>
    <t>672-1 Т</t>
  </si>
  <si>
    <t>673-1 Т</t>
  </si>
  <si>
    <t>674-1 Т</t>
  </si>
  <si>
    <t>675-1 Т</t>
  </si>
  <si>
    <t>676-1 Т</t>
  </si>
  <si>
    <t>677-1 Т</t>
  </si>
  <si>
    <t>679-1 Т</t>
  </si>
  <si>
    <t>681-1 Т</t>
  </si>
  <si>
    <t>682-1 Т</t>
  </si>
  <si>
    <t>683-1 Т</t>
  </si>
  <si>
    <t>684-1 Т</t>
  </si>
  <si>
    <t>686-1 Т</t>
  </si>
  <si>
    <t>687-1 Т</t>
  </si>
  <si>
    <t>688-1 Т</t>
  </si>
  <si>
    <t>689-1 Т</t>
  </si>
  <si>
    <t>690-1 Т</t>
  </si>
  <si>
    <t>691-1 Т</t>
  </si>
  <si>
    <t>692-1 Т</t>
  </si>
  <si>
    <t>693-1 Т</t>
  </si>
  <si>
    <t>695-1 Т</t>
  </si>
  <si>
    <t>696-1 Т</t>
  </si>
  <si>
    <t>697-1 Т</t>
  </si>
  <si>
    <t>698-1 Т</t>
  </si>
  <si>
    <t>699-1 Т</t>
  </si>
  <si>
    <t>700-1 Т</t>
  </si>
  <si>
    <t>701-1 Т</t>
  </si>
  <si>
    <t>702-1 Т</t>
  </si>
  <si>
    <t>703-1 Т</t>
  </si>
  <si>
    <t>704-1 Т</t>
  </si>
  <si>
    <t>705-1 Т</t>
  </si>
  <si>
    <t>706-1 Т</t>
  </si>
  <si>
    <t>707-1 Т</t>
  </si>
  <si>
    <t>708-1 Т</t>
  </si>
  <si>
    <t>709-1 Т</t>
  </si>
  <si>
    <t>710-1 Т</t>
  </si>
  <si>
    <t>711-1 Т</t>
  </si>
  <si>
    <t>712-1 Т</t>
  </si>
  <si>
    <t>714-1 Т</t>
  </si>
  <si>
    <t>715-1 Т</t>
  </si>
  <si>
    <t>716-1 Т</t>
  </si>
  <si>
    <t>717-1 Т</t>
  </si>
  <si>
    <t>718-1 Т</t>
  </si>
  <si>
    <t>719-1 Т</t>
  </si>
  <si>
    <t>720-1 Т</t>
  </si>
  <si>
    <t>721-1 Т</t>
  </si>
  <si>
    <t>722-1 Т</t>
  </si>
  <si>
    <t>723-1 Т</t>
  </si>
  <si>
    <t>724-1 Т</t>
  </si>
  <si>
    <t>725-1 Т</t>
  </si>
  <si>
    <t>726-1 Т</t>
  </si>
  <si>
    <t>727-1 Т</t>
  </si>
  <si>
    <t>728-1 Т</t>
  </si>
  <si>
    <t>729-1 Т</t>
  </si>
  <si>
    <t>730-1 Т</t>
  </si>
  <si>
    <t>731-1 Т</t>
  </si>
  <si>
    <t>732-1 Т</t>
  </si>
  <si>
    <t>733-1 Т</t>
  </si>
  <si>
    <t>734-1 Т</t>
  </si>
  <si>
    <t>735-1 Т</t>
  </si>
  <si>
    <t>736-1 Т</t>
  </si>
  <si>
    <t>737-1 Т</t>
  </si>
  <si>
    <t>738-1 Т</t>
  </si>
  <si>
    <t>739-1 Т</t>
  </si>
  <si>
    <t>740-1 Т</t>
  </si>
  <si>
    <t>741-1 Т</t>
  </si>
  <si>
    <t>742-1 Т</t>
  </si>
  <si>
    <t>746-1 Т</t>
  </si>
  <si>
    <t>747-1 Т</t>
  </si>
  <si>
    <t>748-1 Т</t>
  </si>
  <si>
    <t>749-1 Т</t>
  </si>
  <si>
    <t>750-1 Т</t>
  </si>
  <si>
    <t>751-1 Т</t>
  </si>
  <si>
    <t>753-1 Т</t>
  </si>
  <si>
    <t>754-1 Т</t>
  </si>
  <si>
    <t>756-1 Т</t>
  </si>
  <si>
    <t>757-1 Т</t>
  </si>
  <si>
    <t>758-1 Т</t>
  </si>
  <si>
    <t>759-1 Т</t>
  </si>
  <si>
    <t>760-1 Т</t>
  </si>
  <si>
    <t>761-1 Т</t>
  </si>
  <si>
    <t>762-1 Т</t>
  </si>
  <si>
    <t>763-1 Т</t>
  </si>
  <si>
    <t>764-1 Т</t>
  </si>
  <si>
    <t>765-1 Т</t>
  </si>
  <si>
    <t>766-1 Т</t>
  </si>
  <si>
    <t>767-1 Т</t>
  </si>
  <si>
    <t>768-1 Т</t>
  </si>
  <si>
    <t>769-1 Т</t>
  </si>
  <si>
    <t>770-1 Т</t>
  </si>
  <si>
    <t>771-1 Т</t>
  </si>
  <si>
    <t>772-1 Т</t>
  </si>
  <si>
    <t>773-1 Т</t>
  </si>
  <si>
    <t>774-1 Т</t>
  </si>
  <si>
    <t>778-1 Т</t>
  </si>
  <si>
    <t>779-1 Т</t>
  </si>
  <si>
    <t>780-1 Т</t>
  </si>
  <si>
    <t>781-1 Т</t>
  </si>
  <si>
    <t>783-1 Т</t>
  </si>
  <si>
    <t>784-1 Т</t>
  </si>
  <si>
    <t>785-1 Т</t>
  </si>
  <si>
    <t>786-1 Т</t>
  </si>
  <si>
    <t>787-1 Т</t>
  </si>
  <si>
    <t>788-1 Т</t>
  </si>
  <si>
    <t>789-1 Т</t>
  </si>
  <si>
    <t>790-1 Т</t>
  </si>
  <si>
    <t>791-1 Т</t>
  </si>
  <si>
    <t>792-1 Т</t>
  </si>
  <si>
    <t>793-1 Т</t>
  </si>
  <si>
    <t>794-1 Т</t>
  </si>
  <si>
    <t>795-1 Т</t>
  </si>
  <si>
    <t>796-1 Т</t>
  </si>
  <si>
    <t>797-1 Т</t>
  </si>
  <si>
    <t>798-1 Т</t>
  </si>
  <si>
    <t>799-1 Т</t>
  </si>
  <si>
    <t>800-1 Т</t>
  </si>
  <si>
    <t>801-1 Т</t>
  </si>
  <si>
    <t>авансовый платеж - 00%, оставшаяся часть в течение 10 рабочих дней со дня подписания акта приема - передачи поставленных товаров</t>
  </si>
  <si>
    <t>802-1 Т</t>
  </si>
  <si>
    <t>804-1 Т</t>
  </si>
  <si>
    <t>805-1 Т</t>
  </si>
  <si>
    <t>806-1 Т</t>
  </si>
  <si>
    <t>807-1 Т</t>
  </si>
  <si>
    <t>808-1 Т</t>
  </si>
  <si>
    <t>809-1 Т</t>
  </si>
  <si>
    <t>810-1 Т</t>
  </si>
  <si>
    <t>811-1 Т</t>
  </si>
  <si>
    <t>812-1 Т</t>
  </si>
  <si>
    <t>813-1 Т</t>
  </si>
  <si>
    <t>814-1 Т</t>
  </si>
  <si>
    <t>815-1 Т</t>
  </si>
  <si>
    <t>816-1 Т</t>
  </si>
  <si>
    <t>817-1 Т</t>
  </si>
  <si>
    <t>818-1 Т</t>
  </si>
  <si>
    <t>819-1 Т</t>
  </si>
  <si>
    <t>820-1 Т</t>
  </si>
  <si>
    <t>821-1 Т</t>
  </si>
  <si>
    <t>822-1 Т</t>
  </si>
  <si>
    <t>824-1 Т</t>
  </si>
  <si>
    <t>825-1 Т</t>
  </si>
  <si>
    <t>826-1 Т</t>
  </si>
  <si>
    <t>827-1 Т</t>
  </si>
  <si>
    <t>828-1 Т</t>
  </si>
  <si>
    <t>829-1 Т</t>
  </si>
  <si>
    <t>830-1 Т</t>
  </si>
  <si>
    <t>831-1 Т</t>
  </si>
  <si>
    <t>832-1 Т</t>
  </si>
  <si>
    <t>833-1 Т</t>
  </si>
  <si>
    <t>834-1 Т</t>
  </si>
  <si>
    <t>835-1 Т</t>
  </si>
  <si>
    <t>836-1 Т</t>
  </si>
  <si>
    <t>837-1 Т</t>
  </si>
  <si>
    <t>838-1 Т</t>
  </si>
  <si>
    <t>839-1 Т</t>
  </si>
  <si>
    <t>840-1 Т</t>
  </si>
  <si>
    <t>841-1 Т</t>
  </si>
  <si>
    <t>842-1 Т</t>
  </si>
  <si>
    <t>843-1 Т</t>
  </si>
  <si>
    <t>846-1 Т</t>
  </si>
  <si>
    <t>848-1 Т</t>
  </si>
  <si>
    <t>849-1 Т</t>
  </si>
  <si>
    <t>850-1 Т</t>
  </si>
  <si>
    <t>851-1 Т</t>
  </si>
  <si>
    <t>852-1 Т</t>
  </si>
  <si>
    <t>853-1 Т</t>
  </si>
  <si>
    <t>854-1 Т</t>
  </si>
  <si>
    <t>855-1 Т</t>
  </si>
  <si>
    <t>856-1 Т</t>
  </si>
  <si>
    <t>857-1 Т</t>
  </si>
  <si>
    <t>858-1 Т</t>
  </si>
  <si>
    <t>861-1 Т</t>
  </si>
  <si>
    <t>862-1 Т</t>
  </si>
  <si>
    <t>863-1 Т</t>
  </si>
  <si>
    <t>864-1 Т</t>
  </si>
  <si>
    <t>865-1 Т</t>
  </si>
  <si>
    <t>866-1 Т</t>
  </si>
  <si>
    <t>867-1 Т</t>
  </si>
  <si>
    <t>868-1 Т</t>
  </si>
  <si>
    <t>869-1 Т</t>
  </si>
  <si>
    <t>870-1 Т</t>
  </si>
  <si>
    <t>871-1 Т</t>
  </si>
  <si>
    <t>872-1 Т</t>
  </si>
  <si>
    <t>873-1 Т</t>
  </si>
  <si>
    <t>874-1 Т</t>
  </si>
  <si>
    <t>875-1 Т</t>
  </si>
  <si>
    <t>876-1 Т</t>
  </si>
  <si>
    <t>879-1 Т</t>
  </si>
  <si>
    <t>880-1 Т</t>
  </si>
  <si>
    <t>881-1 Т</t>
  </si>
  <si>
    <t>882-1 Т</t>
  </si>
  <si>
    <t>883-1 Т</t>
  </si>
  <si>
    <t>884-1 Т</t>
  </si>
  <si>
    <t>885-1 Т</t>
  </si>
  <si>
    <t>886-1 Т</t>
  </si>
  <si>
    <t>887-1 Т</t>
  </si>
  <si>
    <t>888-1 Т</t>
  </si>
  <si>
    <t>889-1 Т</t>
  </si>
  <si>
    <t>890-1 Т</t>
  </si>
  <si>
    <t>891-1 Т</t>
  </si>
  <si>
    <t>892-1 Т</t>
  </si>
  <si>
    <t>893-1 Т</t>
  </si>
  <si>
    <t>894-1 Т</t>
  </si>
  <si>
    <t>895-1 Т</t>
  </si>
  <si>
    <t>896-1 Т</t>
  </si>
  <si>
    <t>897-1 Т</t>
  </si>
  <si>
    <t>898-1 Т</t>
  </si>
  <si>
    <t>899-1 Т</t>
  </si>
  <si>
    <t>900-1 Т</t>
  </si>
  <si>
    <t>901-1 Т</t>
  </si>
  <si>
    <t>902-1 Т</t>
  </si>
  <si>
    <t>903-1 Т</t>
  </si>
  <si>
    <t>904-1 Т</t>
  </si>
  <si>
    <t>905-1 Т</t>
  </si>
  <si>
    <t>906-1 Т</t>
  </si>
  <si>
    <t>907-1 Т</t>
  </si>
  <si>
    <t>908-1 Т</t>
  </si>
  <si>
    <t>909-1 Т</t>
  </si>
  <si>
    <t>910-1 Т</t>
  </si>
  <si>
    <t>911-1 Т</t>
  </si>
  <si>
    <t>912-1 Т</t>
  </si>
  <si>
    <t>913-1 Т</t>
  </si>
  <si>
    <t>914-1 Т</t>
  </si>
  <si>
    <t>915-1 Т</t>
  </si>
  <si>
    <t>916-1 Т</t>
  </si>
  <si>
    <t>917-1 Т</t>
  </si>
  <si>
    <t>918-1 Т</t>
  </si>
  <si>
    <t>919-1 Т</t>
  </si>
  <si>
    <t>920-1 Т</t>
  </si>
  <si>
    <t>921-1 Т</t>
  </si>
  <si>
    <t>922-1 Т</t>
  </si>
  <si>
    <t>923-1 Т</t>
  </si>
  <si>
    <t>924-1 Т</t>
  </si>
  <si>
    <t>925-1 Т</t>
  </si>
  <si>
    <t>926-1 Т</t>
  </si>
  <si>
    <t>927-1 Т</t>
  </si>
  <si>
    <t>928-1 Т</t>
  </si>
  <si>
    <t>929-1 Т</t>
  </si>
  <si>
    <t>930-1 Т</t>
  </si>
  <si>
    <t>931-1 Т</t>
  </si>
  <si>
    <t>932-1 Т</t>
  </si>
  <si>
    <t>933-1 Т</t>
  </si>
  <si>
    <t>934-1 Т</t>
  </si>
  <si>
    <t>935-1 Т</t>
  </si>
  <si>
    <t>936-1 Т</t>
  </si>
  <si>
    <t>937-1 Т</t>
  </si>
  <si>
    <t>938-1 Т</t>
  </si>
  <si>
    <t>939-1 Т</t>
  </si>
  <si>
    <t>940-1 Т</t>
  </si>
  <si>
    <t>941-1 Т</t>
  </si>
  <si>
    <t>942-1 Т</t>
  </si>
  <si>
    <t>943-1 Т</t>
  </si>
  <si>
    <t>944-1 Т</t>
  </si>
  <si>
    <t>945-1 Т</t>
  </si>
  <si>
    <t>946-1 Т</t>
  </si>
  <si>
    <t>947-1 Т</t>
  </si>
  <si>
    <t>948-1 Т</t>
  </si>
  <si>
    <t>949-1 Т</t>
  </si>
  <si>
    <t>950-1 Т</t>
  </si>
  <si>
    <t>951-1 Т</t>
  </si>
  <si>
    <t>952-1 Т</t>
  </si>
  <si>
    <t>953-1 Т</t>
  </si>
  <si>
    <t>954-1 Т</t>
  </si>
  <si>
    <t>955-1 Т</t>
  </si>
  <si>
    <t>956-1 Т</t>
  </si>
  <si>
    <t>957-1 Т</t>
  </si>
  <si>
    <t>958-1 Т</t>
  </si>
  <si>
    <t>959-1 Т</t>
  </si>
  <si>
    <t>960-1 Т</t>
  </si>
  <si>
    <t>961-1 Т</t>
  </si>
  <si>
    <t>962-1 Т</t>
  </si>
  <si>
    <t>963-1 Т</t>
  </si>
  <si>
    <t>964-1 Т</t>
  </si>
  <si>
    <t>965-1 Т</t>
  </si>
  <si>
    <t>966-1 Т</t>
  </si>
  <si>
    <t>967-1 Т</t>
  </si>
  <si>
    <t>968-1 Т</t>
  </si>
  <si>
    <t>969-1 Т</t>
  </si>
  <si>
    <t>970-1 Т</t>
  </si>
  <si>
    <t>971-1 Т</t>
  </si>
  <si>
    <t>972-1 Т</t>
  </si>
  <si>
    <t>973-1 Т</t>
  </si>
  <si>
    <t>974-1 Т</t>
  </si>
  <si>
    <t>975-1 Т</t>
  </si>
  <si>
    <t>976-1 Т</t>
  </si>
  <si>
    <t>977-1 Т</t>
  </si>
  <si>
    <t>978-1 Т</t>
  </si>
  <si>
    <t>979-1 Т</t>
  </si>
  <si>
    <t>980-1 Т</t>
  </si>
  <si>
    <t>981-1 Т</t>
  </si>
  <si>
    <t>982-1 Т</t>
  </si>
  <si>
    <t>983-1 Т</t>
  </si>
  <si>
    <t>984-1 Т</t>
  </si>
  <si>
    <t>985-1 Т</t>
  </si>
  <si>
    <t>986-1 Т</t>
  </si>
  <si>
    <t>987-1 Т</t>
  </si>
  <si>
    <t>988-1 Т</t>
  </si>
  <si>
    <t>989-1 Т</t>
  </si>
  <si>
    <t>990-1 Т</t>
  </si>
  <si>
    <t>991-1 Т</t>
  </si>
  <si>
    <t>992-1 Т</t>
  </si>
  <si>
    <t>993-1 Т</t>
  </si>
  <si>
    <t>994-1 Т</t>
  </si>
  <si>
    <t>995-1 Т</t>
  </si>
  <si>
    <t>996-1 Т</t>
  </si>
  <si>
    <t>997-1 Т</t>
  </si>
  <si>
    <t>998-1 Т</t>
  </si>
  <si>
    <t>999-1 Т</t>
  </si>
  <si>
    <t>1000-1 Т</t>
  </si>
  <si>
    <t>1001-1 Т</t>
  </si>
  <si>
    <t>1002-1 Т</t>
  </si>
  <si>
    <t>1003-1 Т</t>
  </si>
  <si>
    <t>1004-1 Т</t>
  </si>
  <si>
    <t>1005-1 Т</t>
  </si>
  <si>
    <t>1006-1 Т</t>
  </si>
  <si>
    <t>1007-1 Т</t>
  </si>
  <si>
    <t>1008-1 Т</t>
  </si>
  <si>
    <t>1009-1 Т</t>
  </si>
  <si>
    <t>1010-1 Т</t>
  </si>
  <si>
    <t>1011-1 Т</t>
  </si>
  <si>
    <t>1012-1 Т</t>
  </si>
  <si>
    <t>1013-1 Т</t>
  </si>
  <si>
    <t>1014-1 Т</t>
  </si>
  <si>
    <t>1015-1 Т</t>
  </si>
  <si>
    <t>1016-1Т</t>
  </si>
  <si>
    <t>1017-1 Т</t>
  </si>
  <si>
    <t>1018-1 Т</t>
  </si>
  <si>
    <t>1019-1 Т</t>
  </si>
  <si>
    <t>1020-1 Т</t>
  </si>
  <si>
    <t>1021-1 Т</t>
  </si>
  <si>
    <t>1022-1 Т</t>
  </si>
  <si>
    <t>1023-1 Т</t>
  </si>
  <si>
    <t>1025-1 Т</t>
  </si>
  <si>
    <t>1026-1 Т</t>
  </si>
  <si>
    <t>1027-1 Т</t>
  </si>
  <si>
    <t>1028-1 Т</t>
  </si>
  <si>
    <t>1029-1 Т</t>
  </si>
  <si>
    <t>1030-1 Т</t>
  </si>
  <si>
    <t>1031-1 Т</t>
  </si>
  <si>
    <t>1032-1 Т</t>
  </si>
  <si>
    <t>1033-1 Т</t>
  </si>
  <si>
    <t>1034-1 Т</t>
  </si>
  <si>
    <t>1035-1 Т</t>
  </si>
  <si>
    <t>1036-1 Т</t>
  </si>
  <si>
    <t>1037-1 Т</t>
  </si>
  <si>
    <t>1038-1 Т</t>
  </si>
  <si>
    <t>1039-1 Т</t>
  </si>
  <si>
    <t>1040-1 Т</t>
  </si>
  <si>
    <t>1041-1 Т</t>
  </si>
  <si>
    <t>1042-1 Т</t>
  </si>
  <si>
    <t>1043-1 Т</t>
  </si>
  <si>
    <t>1044-1 Т</t>
  </si>
  <si>
    <t>1045-1 Т</t>
  </si>
  <si>
    <t>1046-1 Т</t>
  </si>
  <si>
    <t>1047-1 Т</t>
  </si>
  <si>
    <t>1049-1 Т</t>
  </si>
  <si>
    <t>1050-1 Т</t>
  </si>
  <si>
    <t>1051-1 Т</t>
  </si>
  <si>
    <t>1052-1 Т</t>
  </si>
  <si>
    <t>1053-1 Т</t>
  </si>
  <si>
    <t>1054-1 Т</t>
  </si>
  <si>
    <t>1055-1 Т</t>
  </si>
  <si>
    <t>1056-1 Т</t>
  </si>
  <si>
    <t>1057-1 Т</t>
  </si>
  <si>
    <t>1058-1 Т</t>
  </si>
  <si>
    <t>1059-1 Т</t>
  </si>
  <si>
    <t>1060-1 Т</t>
  </si>
  <si>
    <t>1061-1 Т</t>
  </si>
  <si>
    <t>1062-1 Т</t>
  </si>
  <si>
    <t>1063-1 Т</t>
  </si>
  <si>
    <t>1064-1 Т</t>
  </si>
  <si>
    <t>1065-1 Т</t>
  </si>
  <si>
    <t>1066-1 Т</t>
  </si>
  <si>
    <t>1067-1 Т</t>
  </si>
  <si>
    <t>1068-1 Т</t>
  </si>
  <si>
    <t>1069-1 Т</t>
  </si>
  <si>
    <t>1070-1 Т</t>
  </si>
  <si>
    <t>1071-1 Т</t>
  </si>
  <si>
    <t>1072-1 Т</t>
  </si>
  <si>
    <t>1073-1 Т</t>
  </si>
  <si>
    <t>1074-1 Т</t>
  </si>
  <si>
    <t>1075-1 Т</t>
  </si>
  <si>
    <t>1076-1 Т</t>
  </si>
  <si>
    <t>1077-1 Т</t>
  </si>
  <si>
    <t>1078-1 Т</t>
  </si>
  <si>
    <t>1079-1 Т</t>
  </si>
  <si>
    <t>1080-1 Т</t>
  </si>
  <si>
    <t>1081-1 Т</t>
  </si>
  <si>
    <t>1082-1 Т</t>
  </si>
  <si>
    <t>1083-1 Т</t>
  </si>
  <si>
    <t>1084-1 Т</t>
  </si>
  <si>
    <t>1085-1 Т</t>
  </si>
  <si>
    <t>1086-1 Т</t>
  </si>
  <si>
    <t>1087-1 Т</t>
  </si>
  <si>
    <t>1088-1 Т</t>
  </si>
  <si>
    <t>1089-1 Т</t>
  </si>
  <si>
    <t>1090-1 Т</t>
  </si>
  <si>
    <t>1091-1 Т</t>
  </si>
  <si>
    <t>1092-1 Т</t>
  </si>
  <si>
    <t>1093-1 Т</t>
  </si>
  <si>
    <t>1094-1 Т</t>
  </si>
  <si>
    <t>1095-1 Т</t>
  </si>
  <si>
    <t>1096-1 Т</t>
  </si>
  <si>
    <t>1097-1 Т</t>
  </si>
  <si>
    <t>1098-1 Т</t>
  </si>
  <si>
    <t>1099-1 Т</t>
  </si>
  <si>
    <t>1100-1 Т</t>
  </si>
  <si>
    <t>1101-1 Т</t>
  </si>
  <si>
    <t>1102-1 Т</t>
  </si>
  <si>
    <t>1103-1 Т</t>
  </si>
  <si>
    <t>1104-1 Т</t>
  </si>
  <si>
    <t>1105-1 Т</t>
  </si>
  <si>
    <t>1106-1 Т</t>
  </si>
  <si>
    <t>1107-1 Т</t>
  </si>
  <si>
    <t>1108-1 Т</t>
  </si>
  <si>
    <t>1109-1 Т</t>
  </si>
  <si>
    <t>1110-1 Т</t>
  </si>
  <si>
    <t>1111-1 Т</t>
  </si>
  <si>
    <t>1112-1 Т</t>
  </si>
  <si>
    <t>1113-1 Т</t>
  </si>
  <si>
    <t>1114-1 Т</t>
  </si>
  <si>
    <t>1115-1 Т</t>
  </si>
  <si>
    <t>1116-1 Т</t>
  </si>
  <si>
    <t>1117-1 Т</t>
  </si>
  <si>
    <t>1118-1 Т</t>
  </si>
  <si>
    <t>1119-1 Т</t>
  </si>
  <si>
    <t>1120-1 Т</t>
  </si>
  <si>
    <t>1121-1 Т</t>
  </si>
  <si>
    <t>1122-1 Т</t>
  </si>
  <si>
    <t>1123-1 Т</t>
  </si>
  <si>
    <t>1124-1 Т</t>
  </si>
  <si>
    <t>1125-1 Т</t>
  </si>
  <si>
    <t>1126-1 Т</t>
  </si>
  <si>
    <t>1127-1 Т</t>
  </si>
  <si>
    <t>1128-1 Т</t>
  </si>
  <si>
    <t>1129-1 Т</t>
  </si>
  <si>
    <t>1130-1 Т</t>
  </si>
  <si>
    <t>1131-1 Т</t>
  </si>
  <si>
    <t>134-1 Т</t>
  </si>
  <si>
    <t>декабрь-январь, февраль-март, апрель-май</t>
  </si>
  <si>
    <t>6,8,14,20,21,22</t>
  </si>
  <si>
    <t>С изменениями и дополнениями от 29.04.2016 года №198</t>
  </si>
  <si>
    <t>1504-1 Т</t>
  </si>
  <si>
    <t>1505-1 Т</t>
  </si>
  <si>
    <t>1506-1 Т</t>
  </si>
  <si>
    <t>1507-1 Т</t>
  </si>
  <si>
    <t>1508-1 Т</t>
  </si>
  <si>
    <t>2114 Т</t>
  </si>
  <si>
    <t>1562-1 Т</t>
  </si>
  <si>
    <t>3,5,6</t>
  </si>
  <si>
    <t>27.20.11.900.002.00.0796.000000000000</t>
  </si>
  <si>
    <t>Батарейка Крона</t>
  </si>
  <si>
    <t>щелочного типа</t>
  </si>
  <si>
    <t>3,4,5,6</t>
  </si>
  <si>
    <t>1559-1 Т</t>
  </si>
  <si>
    <t>1563-1 Т</t>
  </si>
  <si>
    <t>1567-1 Т</t>
  </si>
  <si>
    <t>ПКСВ 2*0.4 провода кроссовые станционные с изоляцией из поливинилхлоридного пластиката в соответствии с СТ ТОО 41021646-07-2007</t>
  </si>
  <si>
    <t>1568-1Т</t>
  </si>
  <si>
    <t>Набор  состоящий из всевозможных плоскогубцев, кусачек, отверток, гаечных ключей и других метрических инструментов, необходимых для проверки, обслуживания и ремонта телекоммуникационных сетей. Особенности Напряжение: 220В. Размеры: 440х340х165 мм. Комплектация и характеристики Длинногубцы (135 мм) Кусачки диагональные (110 мм) Бокорезы (165 мм) Длинногубцы (165 мм) Разводной ключ (6) Цифровой мультиметр (3-3/4) Тоновая прозвонка сети Набор складных шестигранных ключей (7 шт.) метрических размеров Инструмент для расшивки кабеля (лезвие 110) Ножницы технические Телефонный тестер Линейные сборные адаптеры 3 в 1 на 4/6/8 разъемов Нож для резки кабеля Шлицевая отвертка 3.0×75 мм Крестообразная отвертка #0×75 мм Шлицевая отвертка 6.0×100 мм Крестообразная отвертка #2×100 мм Шлицевая отвертка 5.0×100 мм Крестообразная отвертка #1×100 мм Торцевая отвертка 5 мм Торцевая отвертка 6 мм Кейс с алюминиевым каркасом</t>
  </si>
  <si>
    <t>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</si>
  <si>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</si>
  <si>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Процессор:  Intel Core i5 Модель процессора: 4590 Тактовая частота, ГГц:  3.3 Максимальная тактовая частота при Turbo Boost/Turbo Core, ГГц: 3.7 Количество ядер:  4 L2 кэш-память:  4х256 Кб L3 кэш-память:  6144 Кб  Тип оперативной памяти:  DDR3 Объем оперативной памяти:  4096 Мб Расширение оперативной памяти: до 16 Гб, 4 слота Объем жесткого диска:  500 Гб Контроллер жёсткого диска:  SATA  Видеокарта:  Встроенная Встроенное видео:  Intel HD Graphics Оптическое устройство:  DVD+R/RW&amp;CDRW Средства коммуникации:  LAN Слоты расширения:  1x PCI Express X1, 1x PCI Express X4, 1x PCI Express X16 Разъемы на задней панели: 4 х USB, 2 х USB 3.0, 1 х VGA, 1 x COM, 2 х PS/2, 1 х RJ-45, 2 x DisplayPort, Mic-in, Line-in, Line-out Разъемы на передней панели: 2 х USB, 2 х USB 3.0, Mic-in, Line-out Дополнительные аксессуары: Проводная мышь, Проводная клавиатура Цвет, используемый в оформлении:  Черный Отсеки для накопителей: 5.25" - 2 внешних, 3.5" - 2 внутренних Операционная система:  Microsoft Windows 7 Профессиональная (x64) Мощность блока питания: 290 Вт Безопасность:  Слот для замка Kensington Lock  Диагональ монитора, дюйм: 23 Максимальное разрешение: 1920х1080 Дополнительно : Стильный дизайн гармонично вписывается в любой интерьер Порты с удобным доступом В комплекте монитор Dell Р2314Н со светодиодной подсветкой Диагональ: 23" IPS Матрица Яркость (обычная): 250 кд/м2 Время отклика: 8 мс Динамическая контрастность: 2000000:1 Максимальное разрешение: FullHD (1920x1080)</t>
  </si>
  <si>
    <t xml:space="preserve"> Цветность: Монохромный Поддерживаемые размеры печатных носителей: А4, A5, A6, B5 (ISO, JIS), DL, C5, B5 Размеры печатных носителей, нестандартные: от 76 x 127 мм до 216 x 356 мм Процессор:  266 МГц Память:  2 Мб Жесткий диск: Нет Разрешение:  600 х 600 dpi Максимальная скорость ч/б печати, стр/мин, до: 18 Время выхода первой страницы, сек:  8.5 Виды печатных материалов: Бумага (для лазерной печати, обычная, фото, грубая, веленевая), конверты, наклейки, плотная бумага, прозрачные пленки, почтовые открытки Плотность печатных носителей:  до 163 г/м.кв Емкость подающего лотка: 150 листов Емкость принимающего лотка: 100 листов Максимальная нагрузка, стр/мес, до:  5000 Рекомендуемый месячный объем печати, стр, до: 1500 Интерфейс:  USB 2.0 Автоматическая двусторонняя печать (дуплекс):  Нет Потребляемая мощность (при печати) Вт: 360 Потребляемая мощность (в режиме ожидания) Вт: 1.4 Уровень шума (при печати) дБ: 51 Совместимые картриджи:  Картридж CE285A: 1600 страниц А4 Дополнительно: Технология HP Smart Install Технология HP Auto-On/Auto-Off Технология Instant-on </t>
  </si>
  <si>
    <t>1572-1 Т</t>
  </si>
  <si>
    <t>FTP 4х2хAWG24/1 PVC Сat. (6, 6А) - кабель витой пары для структурированных кабельных систем. Кабели симметричные для цифровых систем передачи информации в соответствии с СТ ТОО 143-1930-10-16-34-2012, ISO/IEC 11801; предельно допустимая рабочая температура кабеля S-FTP при условии эксплуатации в фиксированном (неподвижном) состоянии от -40ºС до +60ºСи относительной влажности воздуха до 98% при температуре +35ºС; кабель S-FTP поставляется на фанерной катушке по 500 м; минимальный радиус прокладки кабеля S-FTP, не менее – 6 диаметров кабеля; минимальный срок службы кабеля S-FTP не менее – 10 лет. Структура кабеля S-FTP токопроводящая жила из медной проволоки марки ММ диаметром соответствующим AWG24/1; изоляция жил выполнена из полиэтилена; эксцентриситет изолированной жилы кабеля, не более, - 2%; удлинение при разрыве изолированной жилы кабеля - 22±6 %; маркировка жил кабеля S-FTP:бело-синий/синий; бело-оранжевый/оранжевый; бело-зеленый/зеленый; бело-коричневый/коричневый. изолированные жилы кабеля скручены в пары, пары скручены в сердечник кабеля (для категории 6, 6А - пары скручены в сердечник кабеля вокруг крестовины); поверх скрученного сердечника наложен экран из алюмополиэтилентерефталатной ленты и медной луженой оплетки; поверх экранированного сердечника нанесена оболочка из не распространяющего горение ПВХ пластиката; кабели наружного применения имеют дополнительную оболочку из светостабилизированного полиэтилена чёрного цвета: наружный диаметр кабеля наружного применения — не более 10,5 мм; так же возможно исполнение кабеля наружного применения с вынесенным силовым элементом из стального оцинкованного каната (форма кабеля в виде восьмёрки).</t>
  </si>
  <si>
    <t>1571-1 Т</t>
  </si>
  <si>
    <t>12-секундный "Автотест" – измерение потерь в двух оптических кабелях на двух волнах, расчет уровня потерь в оптоволоконном соединении и анализ соответствия/несоответствия (Pass/Fail) Измерение длины и потери на нескольких длинах волн. Проверка целостности и полярности волокна Позволяет сократить время сертификации на 50%, выполняя измерения на двух волокнах на двух длинах волн, не требуя переподключения главного и удаленного модулей. Оптимизирован для тестирования систем 10Gb Ethernet Встроенный определитель обрывов оптоволокна (VFL). Поддержка оптических разъемов ST, SC, LC, FC. Оптические спецификации (23ºC) Входные (измеритель) соединения. Съемный адаптер на измерителе мощности оптоволокна (входной порт). Съемный адаптер SC сочетается с продукцией. Дополнительные съемные адаптеры: LC, ST и FC Выходные разъемы (источник) Стационарные SC-адаптеры Тип источника и номинальная длина волны DTX-MFM2: 850 нм LED и 1300 нм LEDDTX-GFM2: 850 нм, VCSEL и 1310 нм лазер FP DTX-SFM2: 1310 нм лазер FP и 1550 нм лазер FP. Мощность источника:DTX-MFM2: ≥ -20 дБм, DTX-SFM2: ≥ -7 дБм. Измерение длины DTX-MFM2: ≤ 5000 м 62,5 или 50 мкм оптоволокна DTX-GFM2: ≤ 5,000 м 62,5 или 50 мкм оптоволокна DTX-SFM2: ≤ 10 000 м 9 мкм одномодового оптоволокна. Тип измерителя мощности Детектор InGaAs Диапазон измерения мощности от 0 до -60 дБм (1310 нм и 1550 нм) от 0 до -52 дБм (850 нм). Спецификации VFL (23ºC) Тип лазера и номинальная длина волны Класс II CDRH, 650 нм Режимы выходного сигнала непрерывный и прерывистый режим передачи сигнала Адаптер разъема 2,5 мм, универсальный. Характеристики окружающей среды Условия эксплуатации от 0 до 40 ºC Температура хранения от -20 до 60 ºC .Требования безопасности CE, CSA, EN 61010-1</t>
  </si>
  <si>
    <t>2115 Т</t>
  </si>
  <si>
    <t>28.29.42.300.001.00.0796.000000000000</t>
  </si>
  <si>
    <t>Оборудование гладильное</t>
  </si>
  <si>
    <t>тип каландровый</t>
  </si>
  <si>
    <t>Гладильный каток. Производительность 25кг/час; скорость глажения 3,3 м/мин; диаметр вала 200мм.</t>
  </si>
  <si>
    <t>2116 Т</t>
  </si>
  <si>
    <t>31.09.12.350.000.00.0796.000000000003</t>
  </si>
  <si>
    <t>Кровать</t>
  </si>
  <si>
    <t>двухярусная, габариты до: 1900x700x1850мм, Состоит из следующих элементов: две спинки, два основания, лестница, две ручки</t>
  </si>
  <si>
    <t>Кровать двухярусная с поролоновыми матрацами</t>
  </si>
  <si>
    <t>1960-1 Т</t>
  </si>
  <si>
    <t>132-1 У</t>
  </si>
  <si>
    <t>19-4 У</t>
  </si>
  <si>
    <t>14</t>
  </si>
  <si>
    <t>1952-1 Т</t>
  </si>
  <si>
    <t>11,18,20,21</t>
  </si>
  <si>
    <t>14-1 У</t>
  </si>
  <si>
    <t>Услуги по аренде легковых автомобилей без водителя в г. Астана (автомобиль повышенной проходимости, представительского класса - 7 ед., объем двигателя не менее 3955 куб.см, расчетный ежемесячный пробег - 3900 км, 6-дневная рабочая неделя)</t>
  </si>
  <si>
    <t>6,20,21</t>
  </si>
  <si>
    <t>20-1 У</t>
  </si>
  <si>
    <t>Услуги по аренде легковых автомобилей с водителем в г. Астана  в количестве 7 единиц</t>
  </si>
  <si>
    <t>Услуги по аренде легковых автомобилей без водителя в г. Астана (автомобиль повышенной проходимости, представительского класса - 2 ед., объем двигателя не менее 4590 куб.см, расчетный ежемесячный пробег - 3900 км, 7-дневная рабочая неделя)</t>
  </si>
  <si>
    <t>Внешний накопитель HDD 2.5, 1 TB (TS1TSJ25M3) USB 3.0 для хранения и портативного переноса данных с персонального компьютера</t>
  </si>
  <si>
    <t xml:space="preserve"> Тип:  Аккумулятор Типоразмер:  ААА Технология:  Никель-металлогидридная (Ni-MH) Количество в упаковке: 4 x ААA Напряжение питания: 1.2 В Емкость аккумуляторов ААА:  800 мАч Размеры упаковки (Ш х В х Г): 12 х 8 х 1 см Вес с упаковкой: 0.050 кг Упаковка:  RTL, модель: 56703-4</t>
  </si>
  <si>
    <t xml:space="preserve"> Типоразмер: 9V. Технология: Щелочная, Количество в упаковке: 1, Напряжение питания: 9 В. Размеры (Ш х В х Г): 2 х 4.8 х 1.6 см. Размеры упаковки (Ш х В х Г): 8 х 12.1х 2 см. Вес изделия: 0.5 кг. Вес с упаковкой: 0.55 кг. Упаковка:  RTL. Модель: 6LP3146.</t>
  </si>
  <si>
    <t>Набор инструментов для монтажа телекоммуникационных сетей. Самозажимной пинцет Пружинный крюк Набор инструментов для удерживания и фиксации спаиваемых элементов (3 эл.). Длинногубцы с загнутым носиком (130 мм) Микрокусачки Кусачки диагональной обрезки. Длинногубцы с кусачками (150 мм) Разводной ключ (150 мм) Приспособление для зацепки проводов  Пинцет-ножницы (127 мм).Тестер сетевого кабеля Сменное лезвие -110 для 8PK-3140N Набор отверток (6 шт) Точный инструмент для зачистки проводов. Инструмент для установки и извлечения микросхем Мини-фонарик Набор складывающихся шестигранных ключей (7 шт.), метрических. Инструмент для расшивки кабеля без пробойника Стальная линейка 150 мм  Сменное лезвие 7" (175 мм). Рукоятка с трещоточным механизмом 8 отверток #0, #1, #2; 3, 5, 6 мм; T10, T15, 7 насадок-торцевых головок: 5, 6, 8, 9, 10, 11, 12 мм (метрические)  Двухсторонняя отвертка (3 мм/#0) Антистатический браслет (10 FT) Рулетка измерительная с магнитным наконечником (3 м). Ножницы для радиокомпонентов Инструмент для обзора в труднодоступных местах Продвинутый современный телефонный тестер.Простой телефонный тестер для двух линий Нож для электрики Плоскогубцы со смещаемой осью (204 мм) Двухсекционный кейс для инструментов.</t>
  </si>
  <si>
    <t xml:space="preserve">Тип:  Аккумулятор Типоразмер:  АА Технология:  Никель-металлогидридная (Ni-MH)Количество в упаковке: 4 x АА Напряжение питания: 1.2 В Емкость аккумуляторов АА:  2100 мАч Размеры упаковки (Ш х В х Г): 8 х 12 х 1.3 см Вес с упаковкой: 0.12 кг Упаковка:  RTL, Модель: 56706 </t>
  </si>
  <si>
    <t>795-2 Т</t>
  </si>
  <si>
    <t>793-2 Т</t>
  </si>
  <si>
    <t>2117 Т</t>
  </si>
  <si>
    <t>27.40.42.500.003.00.0796.000000000002</t>
  </si>
  <si>
    <t>для электрических ламп, керамический, цоколь Е40</t>
  </si>
  <si>
    <t>Патрон керамический, цоколь GU10</t>
  </si>
  <si>
    <t>10-3 Р</t>
  </si>
  <si>
    <t>36 Р</t>
  </si>
  <si>
    <t>43.21.10.335.001.00.0999.000000000000</t>
  </si>
  <si>
    <t>Работы по установке (монтажу) оборудования/приборов учета электроэнергии</t>
  </si>
  <si>
    <t xml:space="preserve">Проверка 2-х электросчетчиков "Меркурий 230" №3393426-09 и №3399927-09 и 4-х трансформаторов тока ТОЛ СЭЩ-10 </t>
  </si>
  <si>
    <t>37 Р</t>
  </si>
  <si>
    <t>33.14.11.100.000.00.0999.000000000000</t>
  </si>
  <si>
    <t>Работы по ремонту/реконструкции электростанций и аналогичных объектов</t>
  </si>
  <si>
    <t>161 У</t>
  </si>
  <si>
    <t>Испытание электрозащитных средств: 20 пар диэлектр. перчаток, 8 пар диэлектр. бот, 6 шт диэлектр. штанг, 6 шт указателей высокого напряжения (УВН-10кВ)</t>
  </si>
  <si>
    <t>152-1 У</t>
  </si>
  <si>
    <t>Ремонт трансформатора ТСЛ-1600 кВА 10/0,4 кВ, который будет использоваться в качестве
резерва для бесперебойного электроснабжения в административном здании «Изумрудный квартал» (блок Б).</t>
  </si>
  <si>
    <t>С изменениями и дополнениями от 17.05.2016 года №229</t>
  </si>
  <si>
    <t>21.20.13.990.109.00.0872.000000000000</t>
  </si>
  <si>
    <t>настойка</t>
  </si>
  <si>
    <t>Пантокрин во флаконах по 200мл</t>
  </si>
  <si>
    <t>1951-1 Т</t>
  </si>
  <si>
    <t>4,5,6,16,17,18,19,20,21</t>
  </si>
  <si>
    <t>132-2 У</t>
  </si>
  <si>
    <t xml:space="preserve">Услуги по предоставлению туристических маршрутов </t>
  </si>
  <si>
    <t>Посещение музея природы и зооугла</t>
  </si>
  <si>
    <t>162 У</t>
  </si>
  <si>
    <t>6,20,21,22</t>
  </si>
  <si>
    <t>163 У</t>
  </si>
  <si>
    <t>2118 Т</t>
  </si>
  <si>
    <t>28.93.15.800.003.00.0796.000000000000</t>
  </si>
  <si>
    <t>Машина для измельчения, нарезания</t>
  </si>
  <si>
    <t>для переработки мяса, овощей и теста</t>
  </si>
  <si>
    <t>Слайсер для нарезки сыров твердых сортов, колбасных изделий и других гастрономических продуктов без отходов и в большом количестве</t>
  </si>
  <si>
    <t>2119 Т</t>
  </si>
  <si>
    <t>2120 Т</t>
  </si>
  <si>
    <t>27.51.21.750.000.00.0796.000000000001</t>
  </si>
  <si>
    <t>Электромясорубка</t>
  </si>
  <si>
    <t>с реверсом</t>
  </si>
  <si>
    <t>Мясорубка производительность 80 кг/ч, корпус-нержавеющая сталь, 0,25 кВ, 220В, реверс</t>
  </si>
  <si>
    <t>28.93.17.100.001.00.0796.000000000000</t>
  </si>
  <si>
    <t>Машина тестомесильная</t>
  </si>
  <si>
    <t>мощность 1,1 кВт, объем загрузки 60 кг, производительность 120 кг/ч</t>
  </si>
  <si>
    <t>Тестомес с дежой 140л. Из угл. Стали 550кг/ч</t>
  </si>
  <si>
    <t>28.29.50.000.000.00.0796.000000000002</t>
  </si>
  <si>
    <t>Машина посудомоечная</t>
  </si>
  <si>
    <t>промышленного типа, конвейерная</t>
  </si>
  <si>
    <t>Машина посудомоечная туннельная МПТ-1700 правая, 1700 т/ч, 2 дозатора (моющ/ополаск), насос мойки</t>
  </si>
  <si>
    <t>2121 Т</t>
  </si>
  <si>
    <t>28.24.11.200.000.00.0796.000000000023</t>
  </si>
  <si>
    <t>Пила</t>
  </si>
  <si>
    <t>ленточная, ширина 3 мм</t>
  </si>
  <si>
    <t>Пила настольная 0,75 кВт</t>
  </si>
  <si>
    <t>27.12.31.500.000.01.0796.000000000001</t>
  </si>
  <si>
    <t>турникета, двухзамковый</t>
  </si>
  <si>
    <t>Контроллер доступа с внутренней памятью ключей</t>
  </si>
  <si>
    <t>2122 Т</t>
  </si>
  <si>
    <t xml:space="preserve">Извещатель охранный точечный магнитоконтактный для блокировки </t>
  </si>
  <si>
    <t>38 Р</t>
  </si>
  <si>
    <t>Замена входных дверей (алюминиевые двухстворчатые) центрального входа и служебного входа в здание с третьего этажа "Изумрудный квартал" Блок А.Б.</t>
  </si>
  <si>
    <t>11,20,21,22</t>
  </si>
  <si>
    <t>39 Р</t>
  </si>
  <si>
    <t>42.22.21.335.006.00.0999.000000000000</t>
  </si>
  <si>
    <t>Работы по ремонту/реконструкции линий связи/линейно-кабельных сооружений</t>
  </si>
  <si>
    <t>Работы по ремонту кабельных разделок РУ 10кв, ремонт наладка и испытание ячеек КСО2-10, силовых трансформаторов в ТП административного здания "Изумрудный квартал", находящегося по адресу ул.Кунаева, 8, блок Б.</t>
  </si>
  <si>
    <t>40 Р</t>
  </si>
  <si>
    <t>41 Р</t>
  </si>
  <si>
    <t>Разработка проектно-сметной документации по устройству фитнес-зала на 2 этаже адм. Здания "Изумрудный квартал" блок Б.</t>
  </si>
  <si>
    <t>159-3 Т</t>
  </si>
  <si>
    <t>апрель-май, июнь-июль</t>
  </si>
  <si>
    <t>160 -3 Т</t>
  </si>
  <si>
    <t>11,19,20,21</t>
  </si>
  <si>
    <t>161-3 Т</t>
  </si>
  <si>
    <t>13-1 Р</t>
  </si>
  <si>
    <t>162-3 Т</t>
  </si>
  <si>
    <t>Работы по изготовлению и доставке 6 стеклопакетов, демонтажа стекла, герметизации, монтажа стекла, зеделки швов в здании "Изумрудный квартал блок Б"</t>
  </si>
  <si>
    <t>со дня заключения договора в течение 75 календарных дней</t>
  </si>
  <si>
    <t>2123 Т</t>
  </si>
  <si>
    <t>26.20.11.100.002.00.0796.000000000004</t>
  </si>
  <si>
    <t>Ноутбук</t>
  </si>
  <si>
    <t>мультимедийный, диагональ не менее 15 дюйма, производительность высокая</t>
  </si>
  <si>
    <t>Ноутбук. Core i7 6700 HQ -2.6 GHz/15.6" FHD/1000Gb+8GbSSD/8Gb/GT960M, 4G/WL/BT/W10</t>
  </si>
  <si>
    <t>26.11.30.200.000.00.0796.000000000081</t>
  </si>
  <si>
    <t>Оперативная память</t>
  </si>
  <si>
    <t>техническое исполнение DIMM, вид памяти DDR3, PC12800, емкость 8 Гб</t>
  </si>
  <si>
    <t>SO-DIMM 16Gb DDR3L PC 12800/1600 Mhz, 2*8 Gb Kit, CL9, 1.35 V</t>
  </si>
  <si>
    <t>2124 Т</t>
  </si>
  <si>
    <t>2125 Т</t>
  </si>
  <si>
    <t>26.20.22.000.001.00.0796.000000000000</t>
  </si>
  <si>
    <t>тип SSD, размер 2,5 дюймов, интерфейс SATA 6 Гбит/с, емкость 128 Гб, жесткий</t>
  </si>
  <si>
    <t>2126 Т</t>
  </si>
  <si>
    <t>2127 Т</t>
  </si>
  <si>
    <t>26.20.22.000.001.00.0796.000000000004</t>
  </si>
  <si>
    <t>тип SSD, размер 2,5 дюймов, интерфейс SATA 6 Гбит/с, емкость 256 Гб, жесткий</t>
  </si>
  <si>
    <t>SSD 240 Gb 2,5", read 560 Mбайт, write 530 Мбайт/с, SATA III</t>
  </si>
  <si>
    <t>26.20.16.500.000.00.0839.000000000000</t>
  </si>
  <si>
    <t>Комплект клавиатура-мышь</t>
  </si>
  <si>
    <t>оптический, инфракрасный, беспроводной</t>
  </si>
  <si>
    <t>Клавиатура+мышь. Wireless, Multimedia, Black, USB, 2*AAA, 1*AAA</t>
  </si>
  <si>
    <t>2128 Т</t>
  </si>
  <si>
    <t>2129 Т</t>
  </si>
  <si>
    <t>2130 Т</t>
  </si>
  <si>
    <t>26.20.30.100.002.00.0839.000000000000</t>
  </si>
  <si>
    <t>Комплекс оборудования сетевой безопасности</t>
  </si>
  <si>
    <t>для защиты от распределенных атак, вторжений, вирусов, угроз различного типа (защита от DDoS, межсетевое экранирование, IPS/IDS, Антивирус, Антиспам)</t>
  </si>
  <si>
    <t>Антивирус на 3 ПК, 12м, продление на 20м, каз-яз</t>
  </si>
  <si>
    <t>26.20.16.300.001.00.0796.000000000000</t>
  </si>
  <si>
    <t>Принтер маркиратор</t>
  </si>
  <si>
    <t>портативный, ленточный</t>
  </si>
  <si>
    <t>Принтер ленточный для маркировки</t>
  </si>
  <si>
    <t>26.20.40.000.142.00.0796.000000000003</t>
  </si>
  <si>
    <t>для принтера, термотрансферная</t>
  </si>
  <si>
    <t>Лента термотрансфертная на Epson LC3WBW9, C5S624406, белый/черный</t>
  </si>
  <si>
    <t>Лента термотрансфертная на Epson LC-4WBW9, C53S625411, белый/черный</t>
  </si>
  <si>
    <t>Лента термотрансфертная на Epson C53S626410, LC-5WBW9, белый</t>
  </si>
  <si>
    <t>26.30.21.900.004.00.0796.000000000000</t>
  </si>
  <si>
    <t>Маршрутизатор</t>
  </si>
  <si>
    <t>верхнего класса</t>
  </si>
  <si>
    <t>27.11.50.700.000.00.0796.000000000006</t>
  </si>
  <si>
    <t>Преобразователь напряжения</t>
  </si>
  <si>
    <t>напряжение на выходе 24 В, рабочий ток 2,1 А, мощность 50,4 Вт</t>
  </si>
  <si>
    <t>26.30.40.900.011.00.0796.000000000001</t>
  </si>
  <si>
    <t>Приемопередатчик</t>
  </si>
  <si>
    <t>оптический трансивер</t>
  </si>
  <si>
    <t>20.41.31.590.002.01.5111.000000000000</t>
  </si>
  <si>
    <t>20.14.22.200.000.00.0112.000000000000</t>
  </si>
  <si>
    <t>1-Пропанол (пропиловый спирт)</t>
  </si>
  <si>
    <t>температура кипения 97°, плотность 803,40 кг/м³, молярная масса 60,09502 г/моль, температура плавления -126°C</t>
  </si>
  <si>
    <t>27.31.12.900.000.00.0796.000000000002</t>
  </si>
  <si>
    <t>Шнур оптический (патчкорд)</t>
  </si>
  <si>
    <t>соединительный, оконцован с двух сторон коннекторами типа LC - LC одномодовое или многомодовое волокно, кабель 2-3 миллиметра</t>
  </si>
  <si>
    <t>2131 Т</t>
  </si>
  <si>
    <t>2132 Т</t>
  </si>
  <si>
    <t>2133 Т</t>
  </si>
  <si>
    <t>Лента термотрансфертная на Epson LC-6WBN9, C53S627402, белый/черный</t>
  </si>
  <si>
    <t>Лента термотрансфертная на Epson LC4GBF9, C53S625413, зеленый/черный</t>
  </si>
  <si>
    <t>роутер hAP AC C Связь 3G 4G Стандарты Wifi 802.11 ac 1200 Mbps. Процессор QCA9880 720 MHz 128 MB 16MB. Антенна 6 шт MIMOS*3 макс 29dBm 3*2,5 dBi 3*2 dBi. Интерфейс USB есть. Кол-во портов RJ45 5 USB 2.0 1 in SFP-1 шт</t>
  </si>
  <si>
    <t xml:space="preserve">48 to 24 V PoE </t>
  </si>
  <si>
    <t>SPF трансивер</t>
  </si>
  <si>
    <t>Протирочная салфетка для оптических линий связи. Размер 100*100 мм в упаковке 100 шт.</t>
  </si>
  <si>
    <t>2134 Т</t>
  </si>
  <si>
    <t>Изоппропиловый спирт 96% для оптики. Изопропанол 2-пропанол</t>
  </si>
  <si>
    <t>Патчкорд  LC\LC M5 Duplex 1 метр</t>
  </si>
  <si>
    <t>2135 Т</t>
  </si>
  <si>
    <t>2136 Т</t>
  </si>
  <si>
    <t>42 Р</t>
  </si>
  <si>
    <t>23.19.91.000.000.00.0999.000000000000</t>
  </si>
  <si>
    <t>Работы по обработке стеклянных изделий</t>
  </si>
  <si>
    <t>26.51.11.500.001.00.0796.000000000000</t>
  </si>
  <si>
    <t>Система GPS</t>
  </si>
  <si>
    <t>спутниковая </t>
  </si>
  <si>
    <t>Оборудование для дооснащения системы GPS/ГЛОНАСС мониторинга автотранспорта с монтажем, установкой, настройкой и обучением персонала в комплекте</t>
  </si>
  <si>
    <t>2137 Т</t>
  </si>
  <si>
    <t>1848-1 Т</t>
  </si>
  <si>
    <t>1849-1 Т</t>
  </si>
  <si>
    <t>1850-1 Т</t>
  </si>
  <si>
    <t>1851-1 Т</t>
  </si>
  <si>
    <t>1852-1 Т</t>
  </si>
  <si>
    <t>1853-1 Т</t>
  </si>
  <si>
    <t>1854-1 Т</t>
  </si>
  <si>
    <t>1855-1 Т</t>
  </si>
  <si>
    <t>1856-1 Т</t>
  </si>
  <si>
    <t>1857-1 Т</t>
  </si>
  <si>
    <t>1858-1 Т</t>
  </si>
  <si>
    <t>1859-1 Т</t>
  </si>
  <si>
    <t>1860-1 Т</t>
  </si>
  <si>
    <t>1861-1 Т</t>
  </si>
  <si>
    <t>1862-1 Т</t>
  </si>
  <si>
    <t>1863-1 Т</t>
  </si>
  <si>
    <t>1864-1 Т</t>
  </si>
  <si>
    <t>1865-1 Т</t>
  </si>
  <si>
    <t>1866-1 Т</t>
  </si>
  <si>
    <t>1867-1 Т</t>
  </si>
  <si>
    <t>1868-1 Т</t>
  </si>
  <si>
    <t>1869-1 Т</t>
  </si>
  <si>
    <t>1871-1 Т</t>
  </si>
  <si>
    <t>1872-1 Т</t>
  </si>
  <si>
    <t>1873-1 Т</t>
  </si>
  <si>
    <t>1875-1 Т</t>
  </si>
  <si>
    <t>1876-1 Т</t>
  </si>
  <si>
    <t>1877-1 Т</t>
  </si>
  <si>
    <t>1878-1 Т</t>
  </si>
  <si>
    <t>1879-1 Т</t>
  </si>
  <si>
    <t>1881-1 Т</t>
  </si>
  <si>
    <t>1882-1 Т</t>
  </si>
  <si>
    <t>1883-1 Т</t>
  </si>
  <si>
    <t>1884-1 Т</t>
  </si>
  <si>
    <t>1885-1 Т</t>
  </si>
  <si>
    <t>1886-1 Т</t>
  </si>
  <si>
    <t>1887-1 Т</t>
  </si>
  <si>
    <t>1888-1 Т</t>
  </si>
  <si>
    <t>1889-1 Т</t>
  </si>
  <si>
    <t>1890-1 Т</t>
  </si>
  <si>
    <t>1891-1 Т</t>
  </si>
  <si>
    <t>1892-1 Т</t>
  </si>
  <si>
    <t>1893-1 Т</t>
  </si>
  <si>
    <t>1894-1 Т</t>
  </si>
  <si>
    <t>1895-1 Т</t>
  </si>
  <si>
    <t>1896-1 Т</t>
  </si>
  <si>
    <t>1897-1 Т</t>
  </si>
  <si>
    <t>1898-1 Т</t>
  </si>
  <si>
    <t>1899-1 Т</t>
  </si>
  <si>
    <t>1900-1 Т</t>
  </si>
  <si>
    <t>1901-1 Т</t>
  </si>
  <si>
    <t>1902-1 Т</t>
  </si>
  <si>
    <t>1903-1 Т</t>
  </si>
  <si>
    <t>1904-1 Т</t>
  </si>
  <si>
    <t>1905-1 Т</t>
  </si>
  <si>
    <t>1906-1 Т</t>
  </si>
  <si>
    <t>1907-1 Т</t>
  </si>
  <si>
    <t>1910-1 Т</t>
  </si>
  <si>
    <t>1911-1 Т</t>
  </si>
  <si>
    <t>1912-1 Т</t>
  </si>
  <si>
    <t>1913-1 Т</t>
  </si>
  <si>
    <t>1914-1 Т</t>
  </si>
  <si>
    <t>1915-1 Т</t>
  </si>
  <si>
    <t>1916-1 Т</t>
  </si>
  <si>
    <t>1917-1 Т</t>
  </si>
  <si>
    <t>1918-1 Т</t>
  </si>
  <si>
    <t>1919-1 Т</t>
  </si>
  <si>
    <t>1920-1 Т</t>
  </si>
  <si>
    <t>1921-1 Т</t>
  </si>
  <si>
    <t>1922-1 Т</t>
  </si>
  <si>
    <t>1923-1 Т</t>
  </si>
  <si>
    <t>1925-1 Т</t>
  </si>
  <si>
    <t>1926-1 Т</t>
  </si>
  <si>
    <t>1927-1 Т</t>
  </si>
  <si>
    <t>1928-1 Т</t>
  </si>
  <si>
    <t>1929-1 Т</t>
  </si>
  <si>
    <t>1930-1 Т</t>
  </si>
  <si>
    <t>1931-1 Т</t>
  </si>
  <si>
    <t>1932-1 Т</t>
  </si>
  <si>
    <t>1933-1 Т</t>
  </si>
  <si>
    <t>1934-1 Т</t>
  </si>
  <si>
    <t>1935-1 Т</t>
  </si>
  <si>
    <t>1936-1 Т</t>
  </si>
  <si>
    <t>1937-1 Т</t>
  </si>
  <si>
    <t>1938-1 Т</t>
  </si>
  <si>
    <t>1939-1 Т</t>
  </si>
  <si>
    <t>1940-1 Т</t>
  </si>
  <si>
    <t>1941-1 Т</t>
  </si>
  <si>
    <t>1942-1 Т</t>
  </si>
  <si>
    <t>1943-1 Т</t>
  </si>
  <si>
    <t>1944-1 Т</t>
  </si>
  <si>
    <t>1945-1 Т</t>
  </si>
  <si>
    <t>1946-1 Т</t>
  </si>
  <si>
    <t>1947-1 Т</t>
  </si>
  <si>
    <t>1948-1 Т</t>
  </si>
  <si>
    <t>1949-1 Т</t>
  </si>
  <si>
    <t>1950-1 Т</t>
  </si>
  <si>
    <t>1953-1 Т</t>
  </si>
  <si>
    <t>1954-1 Т</t>
  </si>
  <si>
    <t>1955-1 Т</t>
  </si>
  <si>
    <t>1956-1 Т</t>
  </si>
  <si>
    <t>1957-1 Т</t>
  </si>
  <si>
    <t>Прокладка резиновая уплотнительная кольцевая (кольцо круглого сечения) O RING - OD 93,81*2,62 TRANE, D=88,57 мм S=2, 62 мм.</t>
  </si>
  <si>
    <t>2138 Т</t>
  </si>
  <si>
    <t>2139 Т</t>
  </si>
  <si>
    <t>28.13.32.000.065.02.0796.000000000000</t>
  </si>
  <si>
    <t>уплотнительная, для клапана компрессора</t>
  </si>
  <si>
    <t>Газодинамическое уплотнение (прокладка) GASKET; 0,031*5,12*4,38, CHLOROPRENE (NON-ASBESTOS) W/ANTI-STICK COATING ONE SIDE TRANE, D=130 мм d=111ммм S=0,78 мм хлоропрен</t>
  </si>
  <si>
    <t>Газодинамическое уплотнение (прокладка) GASKET; 0,031*4,16*3,38, CHLOROPRENE (NON-ASBESTOS) W/ANTI-STICK COATING ONE SIDE TRANE, D=106 мм d=85,9ммм S=0,78 мм хлоропрен</t>
  </si>
  <si>
    <t>2140 Т</t>
  </si>
  <si>
    <t>2141 Т</t>
  </si>
  <si>
    <t>Прокладка резиновая уплотнительная кольцевая (кольцо круглого сечения) O RING - OD 93,81*2,62 TRANE, D=88,57 мм S=2, 62 мм. RING; NEOPRENE, 4.609 ID X.139 RD TRANE, Неопрен Dвн=117 мм S=3,5</t>
  </si>
  <si>
    <t>2142 Т</t>
  </si>
  <si>
    <t>Прокладка резиновая уплотнительная кольцевая (кольцо круглого сечения) O RING - OD 93,81*2,62 TRANE, D=88,57 мм S=2, 62 мм. RING; NEOPRENE, 4.609 ID X.139 RD TRANE, Неопрен Dвн=98 мм S=3,5</t>
  </si>
  <si>
    <t>2143 Т</t>
  </si>
  <si>
    <t>Прокладка резиновая уплотнительная кольцевая (кольцо круглого сечения) O RING - OD 93,81*2,62 TRANE, D=88,57 мм S=2, 62 мм. RING; NEOPRENE, 4.609 ID X.139 RD TRANE, Неопрен Dвн=85,32 мм S=3,5</t>
  </si>
  <si>
    <t>1436-1 Т</t>
  </si>
  <si>
    <t>1448-1 Т</t>
  </si>
  <si>
    <t>1880-1 Т</t>
  </si>
  <si>
    <t>1908-1 Т</t>
  </si>
  <si>
    <t>1909-1 Т</t>
  </si>
  <si>
    <t>1924-1 Т</t>
  </si>
  <si>
    <t>С изменениями и дополнениями от 27.05.2016 года №256</t>
  </si>
  <si>
    <t>2144 Т</t>
  </si>
  <si>
    <t>2145 Т</t>
  </si>
  <si>
    <t>2146 Т</t>
  </si>
  <si>
    <t>2147 Т</t>
  </si>
  <si>
    <t>2148 Т</t>
  </si>
  <si>
    <t>2149 Т</t>
  </si>
  <si>
    <t>41-1 Р</t>
  </si>
  <si>
    <t>Разработка проектно-сметной документации по устройству фитнес-зала на 2 этаже адм. Здания "Изумрудный квартал" блок Б.«Разработка проектно-сметной документации, с получением положительного заключения РГП «Госэкспертиза» по устройству фитнес-зала на 2 этаже административного здания «Изумрудный квартал» блок Б, расположенного по адресу: Республика Казахстан, город Астана, ул. Д.Кунаева 8</t>
  </si>
  <si>
    <t>6</t>
  </si>
  <si>
    <t>164 У</t>
  </si>
  <si>
    <t>Услуги по страхованию административного здания, расположенного по адресу: г. Астана, пр. Республики 32</t>
  </si>
  <si>
    <t>29-1 Р</t>
  </si>
  <si>
    <t>июнь-июль</t>
  </si>
  <si>
    <t>2115-1 Т</t>
  </si>
  <si>
    <t>35-1 Р</t>
  </si>
  <si>
    <t xml:space="preserve">Топографическая съемка земельного участка </t>
  </si>
  <si>
    <t>2150 Т</t>
  </si>
  <si>
    <t>2151 Т</t>
  </si>
  <si>
    <t>28.25.12.500.001.00.0796.000000000023</t>
  </si>
  <si>
    <t>Кондиционер</t>
  </si>
  <si>
    <t>прецизионный, холодопроизводительность 24-120 кВт</t>
  </si>
  <si>
    <t>25-1 У</t>
  </si>
  <si>
    <t>1833-1 Т</t>
  </si>
  <si>
    <t>апрель-май, июнь</t>
  </si>
  <si>
    <t>42-2 У</t>
  </si>
  <si>
    <t>43-2 У</t>
  </si>
  <si>
    <t>44-2 У</t>
  </si>
  <si>
    <t>45-2 У</t>
  </si>
  <si>
    <t>февраль-март, апрель-май, июнь</t>
  </si>
  <si>
    <t>декабрь-январь, февраль-март, апрель-май, июнь</t>
  </si>
  <si>
    <t>19-5 У</t>
  </si>
  <si>
    <t>1601-2 Т</t>
  </si>
  <si>
    <t>1602-2 Т</t>
  </si>
  <si>
    <t>1603-2 Т</t>
  </si>
  <si>
    <t>1604-2 Т</t>
  </si>
  <si>
    <t>1605-2 Т</t>
  </si>
  <si>
    <t>1785-1 Т</t>
  </si>
  <si>
    <t>1784-1 Т</t>
  </si>
  <si>
    <t>1786-1 Т</t>
  </si>
  <si>
    <t>апрель-май, июнь-мюль</t>
  </si>
  <si>
    <t>1787-2 Т</t>
  </si>
  <si>
    <t>1788-1 Т</t>
  </si>
  <si>
    <t>1789-1 Т</t>
  </si>
  <si>
    <t>1790-1 Т</t>
  </si>
  <si>
    <t>1791-1 Т</t>
  </si>
  <si>
    <t>1792-1 Т</t>
  </si>
  <si>
    <t>1793-1 Т</t>
  </si>
  <si>
    <t>1794-1 Т</t>
  </si>
  <si>
    <t>1795-1 Т</t>
  </si>
  <si>
    <t>1796-1 Т</t>
  </si>
  <si>
    <t>1797-1 Т</t>
  </si>
  <si>
    <t>1798-1 Т</t>
  </si>
  <si>
    <t>1799-1 Т</t>
  </si>
  <si>
    <t>1800-1 Т</t>
  </si>
  <si>
    <t>1801-1 Т</t>
  </si>
  <si>
    <t>1802-1 Т</t>
  </si>
  <si>
    <t>1803-1 Т</t>
  </si>
  <si>
    <t>1804-1 Т</t>
  </si>
  <si>
    <t>1805-1 Т</t>
  </si>
  <si>
    <t>1806-2 Т</t>
  </si>
  <si>
    <t>1807-2 Т</t>
  </si>
  <si>
    <t>1808-2 Т</t>
  </si>
  <si>
    <t>1809-2 Т</t>
  </si>
  <si>
    <t>1810-1 Т</t>
  </si>
  <si>
    <t>1811-1 Т</t>
  </si>
  <si>
    <t>1812-1 Т</t>
  </si>
  <si>
    <t>1813-1 Т</t>
  </si>
  <si>
    <t>1814-1 Т</t>
  </si>
  <si>
    <t>1815-1 Т</t>
  </si>
  <si>
    <t>1816-1 Т</t>
  </si>
  <si>
    <t>1817-1 Т</t>
  </si>
  <si>
    <t>1818-1 Т</t>
  </si>
  <si>
    <t>1819-1 Т</t>
  </si>
  <si>
    <t>1820-1 Т</t>
  </si>
  <si>
    <t>1821-1 Т</t>
  </si>
  <si>
    <t>1822-1 Т</t>
  </si>
  <si>
    <t>1826-1 Т</t>
  </si>
  <si>
    <t>1827-1 Т</t>
  </si>
  <si>
    <t>1828-1 Т</t>
  </si>
  <si>
    <t>1829-1 Т</t>
  </si>
  <si>
    <t>1830-1 Т</t>
  </si>
  <si>
    <t>1831-1 Т</t>
  </si>
  <si>
    <t>1832-1 Т</t>
  </si>
  <si>
    <t>1834-1 Т</t>
  </si>
  <si>
    <t>1835-1 Т</t>
  </si>
  <si>
    <t>1836-1 Т</t>
  </si>
  <si>
    <t>1837-1 Т</t>
  </si>
  <si>
    <t>1838-1 Т</t>
  </si>
  <si>
    <t>1839-1 Т</t>
  </si>
  <si>
    <t>1840-1 Т</t>
  </si>
  <si>
    <t>1841-1 Т</t>
  </si>
  <si>
    <t>1842-1 Т</t>
  </si>
  <si>
    <t>1843-1 Т</t>
  </si>
  <si>
    <t>1844-1 Т</t>
  </si>
  <si>
    <t>1845-1 Т</t>
  </si>
  <si>
    <t>1846-1 Т</t>
  </si>
  <si>
    <t>1847-1 Т</t>
  </si>
  <si>
    <t>22.23.11.900.000.00.0055.000000000063</t>
  </si>
  <si>
    <t>потолочная, гигиеническая, размер 600*1200*19 мм</t>
  </si>
  <si>
    <t>Плита потолочная 600*1200 мм.</t>
  </si>
  <si>
    <t>1825-1 Т</t>
  </si>
  <si>
    <t>Работы по проведению ремонта системы пожарной безопасности бизнес-центра в г.Ташкент</t>
  </si>
  <si>
    <t>6,11,20,21</t>
  </si>
  <si>
    <t>94-2 У</t>
  </si>
  <si>
    <t>апрель-май, июнь- июль</t>
  </si>
  <si>
    <t>95-2 У</t>
  </si>
  <si>
    <t>июнь- июль</t>
  </si>
  <si>
    <t>158-1 У</t>
  </si>
  <si>
    <t>Прецизионный кондиционер. Мощность охлаждения 25,8 кВт. В комплекте: 2 наружних блока; увлажнитель; датчик загрязнения фильтра; мониторинг; регулятор скорости вращения вентилятора; низкотемпературный комплект до -40*, а также с монтажными работами и материалами (трубы, изоляция, дренаж, фреон, кронштейны, кабель)</t>
  </si>
  <si>
    <t>26.20.16.970.004.00.0796.000000000000</t>
  </si>
  <si>
    <t>Повторитель интерфейса</t>
  </si>
  <si>
    <t>для приема и передачи пакетов данных по интерфейсу RS-485 или RS-232 с последующей передачей их по радиоканалу</t>
  </si>
  <si>
    <t>2152 Т</t>
  </si>
  <si>
    <t>2153 Т</t>
  </si>
  <si>
    <t>Радиостанция</t>
  </si>
  <si>
    <t>26.30.11.000.000.01.0796.000000000001</t>
  </si>
  <si>
    <t>портативная (носимая), многоканальная</t>
  </si>
  <si>
    <t xml:space="preserve">Нанесение теплозащитной пленки с внутренней стороны блоков остекленения на 43 и 44 этажах здания "Изумрудный квартал" блок Б, с учетом материала. 190 м2 теплозащитной пленки. </t>
  </si>
  <si>
    <t>1753-1 Т</t>
  </si>
  <si>
    <t>1754-1 Т</t>
  </si>
  <si>
    <t>1755-1 Т</t>
  </si>
  <si>
    <t>1756-1 Т</t>
  </si>
  <si>
    <t>1757-1 Т</t>
  </si>
  <si>
    <t>1758-1 Т</t>
  </si>
  <si>
    <t>1759-1 Т</t>
  </si>
  <si>
    <t>1760-1 Т</t>
  </si>
  <si>
    <t>1761-1 Т</t>
  </si>
  <si>
    <t>1762-1 Т</t>
  </si>
  <si>
    <t>1763-1 Т</t>
  </si>
  <si>
    <t>1764-1 Т</t>
  </si>
  <si>
    <t>1765-1 Т</t>
  </si>
  <si>
    <t>1766-1 Т</t>
  </si>
  <si>
    <t>1767-1 Т</t>
  </si>
  <si>
    <t>1768-1 Т</t>
  </si>
  <si>
    <t>1769-1 Т</t>
  </si>
  <si>
    <t>1770-1 Т</t>
  </si>
  <si>
    <t>1771-1 Т</t>
  </si>
  <si>
    <t>1772-1 Т</t>
  </si>
  <si>
    <t>1773-1 Т</t>
  </si>
  <si>
    <t>1774-1 Т</t>
  </si>
  <si>
    <t>1775-1 Т</t>
  </si>
  <si>
    <t>1776-1 Т</t>
  </si>
  <si>
    <t>1777-1 Т</t>
  </si>
  <si>
    <t>1778-1 Т</t>
  </si>
  <si>
    <t>1779-1 Т</t>
  </si>
  <si>
    <t>1780-1 Т</t>
  </si>
  <si>
    <t>Радиостанция цифровая носимая в комплекте с АКБ 2900 мАч Li-Ion, и гарнитурой с прозрачной акустической трубкой, включая программирование радиостанций на частоты заказчика.</t>
  </si>
  <si>
    <t>Легкие, дышащие шорты для бега, а также для любого другого вида спорта или для активного отдыха. Шорты выполнены из запатентованной ткани, которая обеспечивает непрерывный вывод избыточной влаги, создавая комфортные условия для занятий спортом, даже при повышенной активности.Подкладка изготовлена из сетчатого материала. 
Есть небольшой карман на молнии. 
Эластичный пояс регулируется шнурком. 
Состав: полиэстер.</t>
  </si>
  <si>
    <t>апрель-май, июн-июль</t>
  </si>
  <si>
    <t>6,11,12</t>
  </si>
  <si>
    <t>112-1 У</t>
  </si>
  <si>
    <t>Ретранслятор (репитер) в комплекте с настенной стойкой, дуплексным фильтром, АКБ, мачтой, стационарной антенной с коаксильным кабелем и разъемами, включая услуги по подготовке документов для оформления разрешения на использование радиочастотного спектра, изготовление санитарного паспорта, ввод в эксплуатацию в гос.  органах, а также монтаж всего оборудования, проверка питания и заземления в уполномоченном органе</t>
  </si>
  <si>
    <t>со дня заключения договора в течение 50 рабочих дней</t>
  </si>
  <si>
    <t>8,11,15,18,19,20,21,22</t>
  </si>
  <si>
    <t>С изменениями и дополнениями от 07.06.2016 года №273</t>
  </si>
  <si>
    <t>6,8,11,15,22</t>
  </si>
  <si>
    <t>1874-1 Т</t>
  </si>
  <si>
    <t>Функциональная экипировка, которая отвечает специфическим требованиям конкретных видов спорта — от тренировок в тренажерном зале до занятий бегом по пересеченной местности. Обеспечивает комфорт и ощущение прохлады при физических нагрузках даже в самую сильную жару активно выводит влагу и избытки тепла с поверхности кожи. Легкие, дышащие ткани, непосредственно контактируют с поверхностью кожи обеспечивают выведение влаги с кожи (посредством комбинации специально разработанных материалов, волокон и методов обработки тканей)дарят ощущение сухости и прохлады в жаркую погоду помогает сохранять оптимальную температуру тела
Специально спроектированные вентиляционные каналы и материалы с трехмерной структурой обеспечивают микровентиляцию тепло и влаговыводящие материалы впитывают пот и выводят его на поверхность ткани для дальнейшего быстрого испарения.</t>
  </si>
  <si>
    <t>2154 Т</t>
  </si>
  <si>
    <t>62.01.29.000.000.00.0796.000000000000</t>
  </si>
  <si>
    <t>Программное обеспечение</t>
  </si>
  <si>
    <t>Оригинал программного обеспечения (кроме услуг по разработке программных обеспечении по заказу)</t>
  </si>
  <si>
    <t>2155 Т</t>
  </si>
  <si>
    <t>15.12.12.100.005.00.0796.000000000002</t>
  </si>
  <si>
    <t>для бумаг, из текстильных материалов</t>
  </si>
  <si>
    <t>1436-2 Т</t>
  </si>
  <si>
    <t xml:space="preserve">июнь-июль </t>
  </si>
  <si>
    <t>1442-1 Т</t>
  </si>
  <si>
    <t>1444-1 Т</t>
  </si>
  <si>
    <t>2144-1 Т</t>
  </si>
  <si>
    <t>2145-1 Т</t>
  </si>
  <si>
    <t>2146-1 Т</t>
  </si>
  <si>
    <t>2147-1 Т</t>
  </si>
  <si>
    <t>2148-1 Т</t>
  </si>
  <si>
    <t>2149-1 Т</t>
  </si>
  <si>
    <t>1448-2 Т</t>
  </si>
  <si>
    <t>127-2 У</t>
  </si>
  <si>
    <t>2156 Т</t>
  </si>
  <si>
    <t>31.00.13.500.001.00.0796.000000000019</t>
  </si>
  <si>
    <t>Кресло</t>
  </si>
  <si>
    <t>кожаное, полозья металлические хромированные, подлокотники деревянные</t>
  </si>
  <si>
    <t>2157 Т</t>
  </si>
  <si>
    <t>2158 Т</t>
  </si>
  <si>
    <t>Стул</t>
  </si>
  <si>
    <t>31.01.11.500.000.00.0796.000000000008</t>
  </si>
  <si>
    <t>из кожезаменителя, подлокотники, ножки металлические хромированные</t>
  </si>
  <si>
    <t>Стул офисный, Металлические подлокотники с деревянными накладками.</t>
  </si>
  <si>
    <t>1505-2 Т</t>
  </si>
  <si>
    <t>1504-2 Т</t>
  </si>
  <si>
    <t>165 У</t>
  </si>
  <si>
    <t>122-2 У</t>
  </si>
  <si>
    <t>март-апрель, июнь-июль</t>
  </si>
  <si>
    <t>2159 Т</t>
  </si>
  <si>
    <t>2160 Т</t>
  </si>
  <si>
    <t>08.12.11.900.001.00.0796.000000000000</t>
  </si>
  <si>
    <t>Пескоблок</t>
  </si>
  <si>
    <t>формовочный</t>
  </si>
  <si>
    <t>2161 Т</t>
  </si>
  <si>
    <t>25.12.10.300.000.00.0796.000000000000</t>
  </si>
  <si>
    <t>стальная</t>
  </si>
  <si>
    <t>Дверь противопожарная металлическая двухстворчатая 2050*2100 с фурнитурой</t>
  </si>
  <si>
    <t>2162 Т</t>
  </si>
  <si>
    <t>31.01.11.900.000.00.0796.000000000000</t>
  </si>
  <si>
    <t>Стеллаж</t>
  </si>
  <si>
    <t>сталь, размер 2000*1200*400 мм</t>
  </si>
  <si>
    <t>Металлический стеллаж 2000*1820*600 (3 полки). Комплект состоит из: стойка-4 шт., балка-12 шт., фанера-3шт., стяжка. Нагрузка на одну полку до 300кг.</t>
  </si>
  <si>
    <t>31.01.11.900.000.00.0796.000000000001</t>
  </si>
  <si>
    <t>сталь, размер 2400*1500*600 мм</t>
  </si>
  <si>
    <t>2163 Т</t>
  </si>
  <si>
    <t>2164 Т</t>
  </si>
  <si>
    <t>2165 Т</t>
  </si>
  <si>
    <t>Водонагреватель 50л, напряжение: 230 В, макс. мощность: 1500 Вт, макс. давление на входе 8 бар,  максим. нагрев воды: до +75 С, механический терморегулятор.</t>
  </si>
  <si>
    <t>27.12.40.900.049.00.0796.000000000003</t>
  </si>
  <si>
    <t>вертикальной установки, объем 40 л</t>
  </si>
  <si>
    <t>Водонагреватель 30 л, Напряжение : 230 В, максимальная мощность: 1500 Вт, максимальное давление на входе 8 бар, максимальный нагрев воды: до +75С, механический терморегулятор</t>
  </si>
  <si>
    <t>Водонагреватель 15 л.  Напряжение : 230 В, максимальная мощность: 1200 Вт, максимальное давление на входе 8 бар, максимальный нагрев воды: до +75С, механический терморегулятор</t>
  </si>
  <si>
    <t>Водонагреватель 10 л.  Напряжение : 230 В, максимальная мощность: 1200 Вт, максимальное давление на входе 8 бар, максимальный нагрев воды: до +75С, механический терморегулятор</t>
  </si>
  <si>
    <t>2166 Т</t>
  </si>
  <si>
    <t>2167 Т</t>
  </si>
  <si>
    <t>2168 Т</t>
  </si>
  <si>
    <t>16.10.10.720.007.00.0113.000000000002</t>
  </si>
  <si>
    <t>Дрова</t>
  </si>
  <si>
    <t>разделанные, береза, длина 1 м, ГОСТ 3243-88</t>
  </si>
  <si>
    <t>Дрова березовые колотые</t>
  </si>
  <si>
    <t>06.20.10.100.000.00.0112.000000000000</t>
  </si>
  <si>
    <t>2169 Т</t>
  </si>
  <si>
    <t>2170 Т</t>
  </si>
  <si>
    <t>19.20.29.560.000.00.0112.000000000022</t>
  </si>
  <si>
    <t>компрессорное, вязкость кинематическая при 40°C 65 мм2/с, при 100°C 9,5мм2/с, плотность при 15°C 0,860 кг/л</t>
  </si>
  <si>
    <t xml:space="preserve">Обивка Экопремиум
Подлокотники Деревянные
Механизм качания Асинхронный механизм качания с изменением угла наклона спинки и сидения независимо друг от друга
Рекомендованная максимальная нагрузка 120 кг.
</t>
  </si>
  <si>
    <t xml:space="preserve">Материал:экокожа
Крестовина: дерево в цвете: орех
Подлокотники: дерево в цвете: орех 
Газлифт: 3 класса (повышенной прочности)
Колесная опора: прорезиненные колеса
</t>
  </si>
  <si>
    <t>Пескоблок 390*190*190мм</t>
  </si>
  <si>
    <t>Металлический стеллаж 2000*1510*600 (3 полки). Комплект состоит из: стойка-4 шт., балка-12 шт., фанера-3 шт., стяжка. Нагрузка на одну полку до 300 кг</t>
  </si>
  <si>
    <t xml:space="preserve">Масло полу-синтетическое ISO 68-25, для смазывания компрессоров холодильных машин , для хладоагента  R-22, классификация TRANE OIL0025E,вязкость кинематическая при 40°C 65 мм2/с, при 100°C 9,5 мм2/с, плотность при 15°C 0,860 кг/л
</t>
  </si>
  <si>
    <t>Операционная система  Windows 7 Professinal, Russian, SP1, 64-bit, 1pk DSP, CIS and Georgia, DVD, OEI</t>
  </si>
  <si>
    <t>Сумка для ноутбука 13.3", 13M30</t>
  </si>
  <si>
    <t>27.51.13.300.000.00.0796.000000000006</t>
  </si>
  <si>
    <t>Машина стиральная</t>
  </si>
  <si>
    <t>автоматическая, класс стирки А, класс отжима А, загрузка белья не менее 8 кг</t>
  </si>
  <si>
    <t>Стиральная машина, фронтальный тип загрузки, 9 кг макс. Загрузка, сушка 6 кг, макс. Скорость отжима, об./мин: 1400, с регулировкой скорости отжима, с дисплеем, серебристый цвет, весс 70 кг, габариты: 85*60*65 см</t>
  </si>
  <si>
    <t>2171 Т</t>
  </si>
  <si>
    <t>27.20.21.100.000.00.0796.000000000013</t>
  </si>
  <si>
    <t>стартерный, марка 6СТ-120, напряжение 12 В, емкость 120 А/ч, кислотный, ГОСТ 959-2002</t>
  </si>
  <si>
    <t>Аккумулятор для дизель-генератора, 6 СТ-120, ток холодной прокрутки-950А, обратная полярность, длина 353 мм, ширина 180мм, высота 235 мм, емкость 120 Ah/</t>
  </si>
  <si>
    <t>2172 Т</t>
  </si>
  <si>
    <t>Извещатель дымовой, адресный в комплекте с кабелем 70 м</t>
  </si>
  <si>
    <t>7, 11,12</t>
  </si>
  <si>
    <t>166 У</t>
  </si>
  <si>
    <t>гидроопрессовка тепловых сетей до Ду 200 мм(D-159 мм, L-126,1 м.)</t>
  </si>
  <si>
    <t>167 У</t>
  </si>
  <si>
    <t>гидроопрессовка тепловых сетей до Ду 200 мм(D-259 мм, L-526 м.)</t>
  </si>
  <si>
    <t>168 У</t>
  </si>
  <si>
    <t>гидроопрессовка тепловых сетей до Ду 200 мм(D-219 мм, L-17 м.)</t>
  </si>
  <si>
    <t>г.Астана, пр.Кабанбай батыра, 19, Блок Б</t>
  </si>
  <si>
    <t>169 У</t>
  </si>
  <si>
    <t>170 У</t>
  </si>
  <si>
    <t>гидроопрессовка тепловых сетей до Ду 100 мм(D-108 мм, L-109 м.)</t>
  </si>
  <si>
    <t>гидроопрессовка тепловых сетей до Ду 200 мм(D-159мм, L-70 м.)</t>
  </si>
  <si>
    <t>171 У</t>
  </si>
  <si>
    <t>гидроопрессовка тепловых сетей до Ду 300 мм(D-273мм, L-406 м.)</t>
  </si>
  <si>
    <t>172 У</t>
  </si>
  <si>
    <t>гидроопрессовка тепловых сетей до Ду 100 мм(D-80мм, L-35 м.)</t>
  </si>
  <si>
    <t>гидроопрессовка тепловых сетей до Ду 100 мм(D-100мм, L-12 м.)</t>
  </si>
  <si>
    <t>33-1 Р</t>
  </si>
  <si>
    <t>2173 Т</t>
  </si>
  <si>
    <t>32.91.19.900.001.00.0839.000000000000</t>
  </si>
  <si>
    <t>Комплект щеток</t>
  </si>
  <si>
    <t>для пылесосов</t>
  </si>
  <si>
    <t>Щетка роликовая (6.907-414.0) в штуках для поломоечной машины Karcher B90R</t>
  </si>
  <si>
    <t>2174 Т</t>
  </si>
  <si>
    <t>28.25.14.190.004.01.0796.000000000000</t>
  </si>
  <si>
    <t>очистки, пылеулавливающий</t>
  </si>
  <si>
    <t>29.32.20.990.011.00.0796.000000000002</t>
  </si>
  <si>
    <t>Брызговик</t>
  </si>
  <si>
    <t>Брызговик (4.071-228.0) для поломоечной машины Karcher B90R</t>
  </si>
  <si>
    <t>22.19.30.500.000.01.0796.000000000000</t>
  </si>
  <si>
    <t>резиновый, с текстильным каркасом, всасывающий, тип В-1-125, неармированный, внутренний диаметр 125 мм, ГОСТ 5398-76</t>
  </si>
  <si>
    <t>резинка всасывающая для поломоечной машины Karcher B90R</t>
  </si>
  <si>
    <t>2175 Т</t>
  </si>
  <si>
    <t>2176 Т</t>
  </si>
  <si>
    <t>2177 Т</t>
  </si>
  <si>
    <t>22.19.40.300.000.00.0796.000000000060</t>
  </si>
  <si>
    <t>клиновый, приводный, с сечением А-3150, ГОСТ 1284.2-89</t>
  </si>
  <si>
    <t>Ремень ХРА-3150</t>
  </si>
  <si>
    <t>22.19.40.300.000.00.0796.000000000062</t>
  </si>
  <si>
    <t>клиновый, приводный, с сечением А-3550, ГОСТ 1284.2-89</t>
  </si>
  <si>
    <t>Ремень ХРА-3550</t>
  </si>
  <si>
    <t>2178 Т</t>
  </si>
  <si>
    <t>2179 Т</t>
  </si>
  <si>
    <t>Универсальный генератор горячего тумана, разработанный для различных сфер применения - как в помещениях, так и на открытом воздухе. Прекрасно подходит для распыления рабочих растворов на водной основе.</t>
  </si>
  <si>
    <t>2180 Т</t>
  </si>
  <si>
    <t>20.59.59.930.000.00.0796.000000000000</t>
  </si>
  <si>
    <t>для генератора дыма, на водной основе в канистрах, объем 5 л</t>
  </si>
  <si>
    <t>Концентрированный микроинкапсулированный концентрат эмульсии. Тетраметрин 2%, циперметрин 10%, синергист пиперонилбутоксид-10%, . Канистра 5 л.</t>
  </si>
  <si>
    <t>Акарин - авертин (инсектицид актара) ампула 4 ил.</t>
  </si>
  <si>
    <t>2181 Т</t>
  </si>
  <si>
    <t>2182 Т</t>
  </si>
  <si>
    <t>Силиплант с активным кремнием (био-регулятор роста HB 101) микроу., регулятор, антистрессор, объем 1,5 мл.</t>
  </si>
  <si>
    <t>2183 Т</t>
  </si>
  <si>
    <t xml:space="preserve">Торф </t>
  </si>
  <si>
    <t>20.15.79.900.000.00.0778.000000000000</t>
  </si>
  <si>
    <t>11, 22</t>
  </si>
  <si>
    <t>2184 Т</t>
  </si>
  <si>
    <t>2185 Т</t>
  </si>
  <si>
    <t>2186 Т</t>
  </si>
  <si>
    <t>Извещатель охранный объемный (в комплекте 80 м кабеля)</t>
  </si>
  <si>
    <t>16.24.11.300.000.00.0796.000000000000</t>
  </si>
  <si>
    <t>Поддон</t>
  </si>
  <si>
    <t>ящичный, деревянный, ГОСТ 9570-84</t>
  </si>
  <si>
    <t>паллета, поддон</t>
  </si>
  <si>
    <t>2187 Т</t>
  </si>
  <si>
    <t>22-1 Р</t>
  </si>
  <si>
    <t>11,22</t>
  </si>
  <si>
    <t>2-1 Р</t>
  </si>
  <si>
    <t>декабрь-январь, июнь-июль</t>
  </si>
  <si>
    <t>5-1 Р</t>
  </si>
  <si>
    <t>февраль-март, июнь-июль</t>
  </si>
  <si>
    <t>43 Р</t>
  </si>
  <si>
    <t>Работа по определению и устранению неисправности вышедшего из строя чиллера здания "Изумрудный квартал" блок Б с дальнейшим его вводом в эксплуатацию</t>
  </si>
  <si>
    <t>С изменениями и дополнениями от 21.06.2016 года №290</t>
  </si>
  <si>
    <t>Зеления игла, от побурения хвои (Здравия). Удобрение для хвойных растений, объем 1 кг.</t>
  </si>
  <si>
    <t>фильтр (6.414-976.0) для поломоечной машины Karcher B90R вместе с работой и выездом</t>
  </si>
  <si>
    <t>2188 Т</t>
  </si>
  <si>
    <t>26.51.64.300.007.00.0796.000000000000</t>
  </si>
  <si>
    <t>Энкодер</t>
  </si>
  <si>
    <t>для электродвигателя, инкрементный</t>
  </si>
  <si>
    <t>Датчик угла поворота вала электродвигателя лебедкилифта Di4</t>
  </si>
  <si>
    <t>2189 Т</t>
  </si>
  <si>
    <t>2190 Т</t>
  </si>
  <si>
    <t>27.12.40.900.075.00.0796.000000000000</t>
  </si>
  <si>
    <t>Плата управления</t>
  </si>
  <si>
    <t>для лифта</t>
  </si>
  <si>
    <t>Датчик угла поворота вала электродвигателя лебедкилифта Ds5</t>
  </si>
  <si>
    <t>2191 Т</t>
  </si>
  <si>
    <t>2192 Т</t>
  </si>
  <si>
    <t>Плата на лифт Di5, PCB DCL-244, грузоподъемностью 1350 кг, мощностью 43 кВт</t>
  </si>
  <si>
    <t>Плата на лифт Ds4, PCB DHL-270,грузоподъемностью 1600 кг, мощностью 30 кВт</t>
  </si>
  <si>
    <t>Плата на лифт Ds5, PCB DHL -270, грузоподъемностью 1350 кг, мощностью 43 кВт</t>
  </si>
  <si>
    <t>2193 Т</t>
  </si>
  <si>
    <t>Плата на лифт Ds5, PCB DPP -300, грузоподъемностью 1350 кг, мощностью 43 кВт</t>
  </si>
  <si>
    <t>Плата на лифт Ds5, PCB DPP -310, грузоподъемностью 1350 кг, мощностью 43 кВт</t>
  </si>
  <si>
    <t>2194 Т</t>
  </si>
  <si>
    <t>2195 Т</t>
  </si>
  <si>
    <t>2196 Т</t>
  </si>
  <si>
    <t>26.51.43.590.005.00.0796.000000000000</t>
  </si>
  <si>
    <t>Преобразователь</t>
  </si>
  <si>
    <t>измерительный, напряжение переменного тока, ГОСТ 28167-98</t>
  </si>
  <si>
    <t>Инвертор на лифт Ds4</t>
  </si>
  <si>
    <t>2197 Т</t>
  </si>
  <si>
    <t>Инвертор на лифт Ds5</t>
  </si>
  <si>
    <t>2198 Т</t>
  </si>
  <si>
    <t>26.20.40.000.112.00.0796.000000000005</t>
  </si>
  <si>
    <t>Блок питания</t>
  </si>
  <si>
    <t>для обеспечения напряжения постоянного тока</t>
  </si>
  <si>
    <t>Блок питания плат управления станцией лифта Di5</t>
  </si>
  <si>
    <t>27.12.23.700.000.00.0796.000000000001</t>
  </si>
  <si>
    <t>Контактор</t>
  </si>
  <si>
    <t>серия CT, электромагнитный</t>
  </si>
  <si>
    <t xml:space="preserve">Контактор на лифт Di4 </t>
  </si>
  <si>
    <t>2199 Т</t>
  </si>
  <si>
    <t>Покрытие</t>
  </si>
  <si>
    <t>2200 Т</t>
  </si>
  <si>
    <t>2201 Т</t>
  </si>
  <si>
    <t>2202 Т</t>
  </si>
  <si>
    <t>Аккумуляторная батарея 12 В 4,5 А</t>
  </si>
  <si>
    <t>Аккумуляторная батарея 12 В 7 А</t>
  </si>
  <si>
    <t>2203 Т</t>
  </si>
  <si>
    <t>Аккумуляторная батарея 12 В 17 А</t>
  </si>
  <si>
    <t>2204 Т</t>
  </si>
  <si>
    <t>2205 Т</t>
  </si>
  <si>
    <t>2206 Т</t>
  </si>
  <si>
    <t>13.99.13.900.008.00.0796.000000000000</t>
  </si>
  <si>
    <t>Пластина-прокладка</t>
  </si>
  <si>
    <t>ПрАП, ГОСТ 6308-71</t>
  </si>
  <si>
    <t>28.14.13.900.011.00.0796.000000000002</t>
  </si>
  <si>
    <t>ручной, запорно-измерительный, балансировочный, внутренняя резьба, встроеный шаровой кран, условный проход 25 мм</t>
  </si>
  <si>
    <t>ручной, запорно-измерительный, балансировочный, внутренняя резьба, встроеный шаровой кран, условный проход 40 мм</t>
  </si>
  <si>
    <t>28.14.20.000.019.00.0796.000000000000</t>
  </si>
  <si>
    <t>Привод</t>
  </si>
  <si>
    <t>электрический, многооборотный</t>
  </si>
  <si>
    <t>2087-1 Т</t>
  </si>
  <si>
    <t>13.93.12.000.000.01.0055.000000000007</t>
  </si>
  <si>
    <t>напольное, из синтетической резины</t>
  </si>
  <si>
    <t>Клапан ручной балансировки DN 40 мм для увеличения мощности системы отопления</t>
  </si>
  <si>
    <t>Клапан ручной балансировки DN 25 мм для увеличения мощности системы отопления</t>
  </si>
  <si>
    <t>Пластина теплообменника в комплекте с прокладкой Funke для увеличения мощности системы отопления</t>
  </si>
  <si>
    <t>2207 Т</t>
  </si>
  <si>
    <t>62.01.29.000.000.00.0839.000000000001</t>
  </si>
  <si>
    <t>сервисный пакет обновлений</t>
  </si>
  <si>
    <t>1575-1 Т</t>
  </si>
  <si>
    <t>1576-1 Т</t>
  </si>
  <si>
    <t>2208 Т</t>
  </si>
  <si>
    <t>Оградительный столб с вытяжной лентой. Диаметр столба 63 мм, высота столба 910 мм, диаметр основания 320мм, покрытие столба: серебро, длина ленты : 3 м, цвет ленты: красный</t>
  </si>
  <si>
    <t>2131-1 Т</t>
  </si>
  <si>
    <t>Принтер ленточный для маркировки. Термотрансферная технология печати, длина носителя 9 м, ширина носителя 6, 9, 12,18, 24 мм, разрешение 180 dpi. Максим. высота символа 18мм, максимальная скорость печати 13мм/с. Макс. кол-во строк автономный режим-8. режим подключения к компьютеру - опционально, макс. длина текста в авт. режиме 175 символов в строке, опциональный режим подключения к компьютеру, разрешение 130*64 точек, 16 знаков в строке с предварительным просмотром, батарейки 6АА (не включены в комплект), с индикатором низкой зарядки, габариты 180*235*80, вес 770, цвет белый.</t>
  </si>
  <si>
    <t>Расширение программного обеспечения  АРМ "Орион Про" с электронным ключом защиты "Guardant", вставляемый в USB порт компьютера на 512 приборов.</t>
  </si>
  <si>
    <t>Привод запорно-регулирующего клапана для увеличения мощности системы отопления</t>
  </si>
  <si>
    <t>1572-2 Т</t>
  </si>
  <si>
    <t>апрель-май, июль-август</t>
  </si>
  <si>
    <t>2127-1 Т</t>
  </si>
  <si>
    <t>май-июнь, июль-август</t>
  </si>
  <si>
    <t>2128-1 Т</t>
  </si>
  <si>
    <t>2130-1 Т</t>
  </si>
  <si>
    <t>2137-1 Т</t>
  </si>
  <si>
    <t>2138-1 Т</t>
  </si>
  <si>
    <t>2139-1 Т</t>
  </si>
  <si>
    <t>2140-1 Т</t>
  </si>
  <si>
    <t>2141-1 Т</t>
  </si>
  <si>
    <t>Алюминиевое грязезащитное покрытие (для удаления средней и крупной фракции грязи) со вставками "резина-щетка", с установкой. Высота 23мм, ширина 27мм, промежуток 4-5 мм, диаметр троса 3мм, максимальная длина 6 м.</t>
  </si>
  <si>
    <t>24-2 Р</t>
  </si>
  <si>
    <t>Установка системы газового пожаротушения в помещениях архива и серверной вместе с проектированием</t>
  </si>
  <si>
    <t>6, 11</t>
  </si>
  <si>
    <t>С изменениями и дополнениями от 07.07.2016 года №318</t>
  </si>
  <si>
    <t>Гладильный каток. Производительность 20кг/час; скорость глажения 2,5 м/мин; диаметр вала 180 мм.</t>
  </si>
  <si>
    <t xml:space="preserve">Влаговпитывающий ковролан серого цвета с установкой.Низкий ворс ("оверлок", 9 мм) из синтетического волокна. </t>
  </si>
  <si>
    <t>558-2 Т</t>
  </si>
  <si>
    <t>апрель-май,июль-август</t>
  </si>
  <si>
    <t>11,18,19,20</t>
  </si>
  <si>
    <t>561-2 Т</t>
  </si>
  <si>
    <t>562-2 Т</t>
  </si>
  <si>
    <t>563-2 Т</t>
  </si>
  <si>
    <t>564-2 Т</t>
  </si>
  <si>
    <t>566-2 Т</t>
  </si>
  <si>
    <t>567-2 Т</t>
  </si>
  <si>
    <t>569-2 Т</t>
  </si>
  <si>
    <t>570-2 Т</t>
  </si>
  <si>
    <t>571-2 Т</t>
  </si>
  <si>
    <t>572-2 Т</t>
  </si>
  <si>
    <t>574-2 Т</t>
  </si>
  <si>
    <t>575-2 Т</t>
  </si>
  <si>
    <t>576-2 Т</t>
  </si>
  <si>
    <t>Диспенсер автоматический, для сменных освежителей объемом 250мл. В комплектацию входит диспенсер, сменный аэрозольный баллон и две пальчиковые батарейки</t>
  </si>
  <si>
    <t>6,11,18,19,20,21</t>
  </si>
  <si>
    <t>577-2 Т</t>
  </si>
  <si>
    <t>578-2 Т</t>
  </si>
  <si>
    <t xml:space="preserve">Полиэтиленовые мешки для мусора обычной прочности. Объем: 35л. Размер: 55см х 60 см,  15 шт/рул. Толщина полиэтилена: 15 мкм. </t>
  </si>
  <si>
    <t>6,11,19,20,21</t>
  </si>
  <si>
    <t>579-2 Т</t>
  </si>
  <si>
    <t>Полиэтиленовый. Мешки  для мусора. Объем: 120л. Размер: 70см х 110 см, 10 шт/рул. Толщина полиэтилена: 40 мкм. грузоподьемность до 18 кг</t>
  </si>
  <si>
    <t>580-2 Т</t>
  </si>
  <si>
    <t>581-2 Т</t>
  </si>
  <si>
    <t>581-1 Т</t>
  </si>
  <si>
    <t>582-2 Т</t>
  </si>
  <si>
    <t>584-2 Т</t>
  </si>
  <si>
    <t>585-2 Т</t>
  </si>
  <si>
    <t>586-2 Т</t>
  </si>
  <si>
    <t>587-2 Т</t>
  </si>
  <si>
    <t>588-2 Т</t>
  </si>
  <si>
    <t>589-2 Т</t>
  </si>
  <si>
    <t>590-2 Т</t>
  </si>
  <si>
    <t>591-2 Т</t>
  </si>
  <si>
    <t>Диспенсер сенсорный для бумажных полотенец . Материал: Противоударный пластик ABS.
Экономия: Сокращает расход бумаги до 60 %.
Защита: Металлический замок.
Механизм: Сенсорное устройство для подачи бумаги.
Вместимость: 1 рулон.
В комплекте: Крепежные болты.
Размеры: (ВхШхГ) 36 х 33,5 х 25 см. Электрический диспенсер</t>
  </si>
  <si>
    <t>592-2 Т</t>
  </si>
  <si>
    <t>594-2 Т</t>
  </si>
  <si>
    <t>595-2 Т</t>
  </si>
  <si>
    <t>596-2 Т</t>
  </si>
  <si>
    <t>597-2 Т</t>
  </si>
  <si>
    <t>598-2 Т</t>
  </si>
  <si>
    <t>599-2 Т</t>
  </si>
  <si>
    <t>601-2 Т</t>
  </si>
  <si>
    <t>602-2 Т</t>
  </si>
  <si>
    <t>603-2 Т</t>
  </si>
  <si>
    <t>605-2 Т</t>
  </si>
  <si>
    <t>606-2 Т</t>
  </si>
  <si>
    <t>608-2 Т</t>
  </si>
  <si>
    <t>609-2 Т</t>
  </si>
  <si>
    <t>610-2 Т</t>
  </si>
  <si>
    <t>611-2 Т</t>
  </si>
  <si>
    <t>612-2 Т</t>
  </si>
  <si>
    <t>613-2 Т</t>
  </si>
  <si>
    <t>614-2 Т</t>
  </si>
  <si>
    <t>615-2 Т</t>
  </si>
  <si>
    <t>616-2 Т</t>
  </si>
  <si>
    <t>617-2 Т</t>
  </si>
  <si>
    <t>618-2 Т</t>
  </si>
  <si>
    <t>620-2 Т</t>
  </si>
  <si>
    <t>622-2 Т</t>
  </si>
  <si>
    <t>623-2 Т</t>
  </si>
  <si>
    <t>624-2 Т</t>
  </si>
  <si>
    <t>625-2 Т</t>
  </si>
  <si>
    <t>626-2 Т</t>
  </si>
  <si>
    <t>627-2 Т</t>
  </si>
  <si>
    <t>628-2 Т</t>
  </si>
  <si>
    <t>629-2 Т</t>
  </si>
  <si>
    <t>631-2 Т</t>
  </si>
  <si>
    <t>632-2 Т</t>
  </si>
  <si>
    <t>633-2 Т</t>
  </si>
  <si>
    <t>634-2 Т</t>
  </si>
  <si>
    <t>635-2 Т</t>
  </si>
  <si>
    <t>636-2 Т</t>
  </si>
  <si>
    <t>637-2 Т</t>
  </si>
  <si>
    <t>638-2 Т</t>
  </si>
  <si>
    <t>639-2 Т</t>
  </si>
  <si>
    <t>640-2 Т</t>
  </si>
  <si>
    <t>641-2 Т</t>
  </si>
  <si>
    <t>642-2 Т</t>
  </si>
  <si>
    <t>643-2 Т</t>
  </si>
  <si>
    <t>644-2 Т</t>
  </si>
  <si>
    <t>645-2 Т</t>
  </si>
  <si>
    <t>646-2 Т</t>
  </si>
  <si>
    <t>647-2 Т</t>
  </si>
  <si>
    <t>648-2 Т</t>
  </si>
  <si>
    <t>649-2 Т</t>
  </si>
  <si>
    <t>650-2 Т</t>
  </si>
  <si>
    <t>651-2 Т</t>
  </si>
  <si>
    <t>652-2 Т</t>
  </si>
  <si>
    <t>11, 19, 20, 21</t>
  </si>
  <si>
    <t>2132-1 Т</t>
  </si>
  <si>
    <t>май-июнь, июль</t>
  </si>
  <si>
    <t>2133-1 Т</t>
  </si>
  <si>
    <t>2134-1 Т</t>
  </si>
  <si>
    <t>2135-1 Т</t>
  </si>
  <si>
    <t>2136-1 Т</t>
  </si>
  <si>
    <t>19, 20, 21</t>
  </si>
  <si>
    <t>2137-2 Т</t>
  </si>
  <si>
    <t>2139-2 Т</t>
  </si>
  <si>
    <t>2140-2 Т</t>
  </si>
  <si>
    <t>2141-2 Т</t>
  </si>
  <si>
    <t>2142-1 Т</t>
  </si>
  <si>
    <t>1659-1 Т</t>
  </si>
  <si>
    <t>2209 Т</t>
  </si>
  <si>
    <t>Урна металлическая с крышкой и педалью – объём 5 литров.</t>
  </si>
  <si>
    <t>2151-1 Т</t>
  </si>
  <si>
    <t>1028-2 Т</t>
  </si>
  <si>
    <t>992-2 Т</t>
  </si>
  <si>
    <t>1027-2 Т</t>
  </si>
  <si>
    <t>1017-2 Т</t>
  </si>
  <si>
    <t>1029-2 Т</t>
  </si>
  <si>
    <t>1030-2 Т</t>
  </si>
  <si>
    <t>1031-2 Т</t>
  </si>
  <si>
    <t>1032-2 Т</t>
  </si>
  <si>
    <t>1324-1 Т</t>
  </si>
  <si>
    <t>1305-1 Т</t>
  </si>
  <si>
    <t>1304-1 Т</t>
  </si>
  <si>
    <t>1319-1 Т</t>
  </si>
  <si>
    <t>1322-1 Т</t>
  </si>
  <si>
    <t>1338-1 Т</t>
  </si>
  <si>
    <t>1339-1 Т</t>
  </si>
  <si>
    <t>1336-1 Т</t>
  </si>
  <si>
    <t>1348-1 Т</t>
  </si>
  <si>
    <t>1318-1 Т</t>
  </si>
  <si>
    <t>1345-1 Т</t>
  </si>
  <si>
    <t>1346-1 Т</t>
  </si>
  <si>
    <t>1344-1 Т</t>
  </si>
  <si>
    <t>1355-1 Т</t>
  </si>
  <si>
    <t>1356-1 Т</t>
  </si>
  <si>
    <t>1357-1 Т</t>
  </si>
  <si>
    <t>2166-1 Т</t>
  </si>
  <si>
    <t>2167-1 Т</t>
  </si>
  <si>
    <t>2168-1 Т</t>
  </si>
  <si>
    <t>2169-1 Т</t>
  </si>
  <si>
    <t>2210 Т</t>
  </si>
  <si>
    <t xml:space="preserve">Диспенсер для  Z- образных полотенец.Объем   не менее  двух- трех   пачек Z- образных  бумажных полотенец .С надписью  «Paper».Диспенсер выполнен из ударопрочного пластика серого цвета.
</t>
  </si>
  <si>
    <t>49-4 У</t>
  </si>
  <si>
    <t>50-3 У</t>
  </si>
  <si>
    <t>160-1 У</t>
  </si>
  <si>
    <t>1461-1 Т</t>
  </si>
  <si>
    <t>1462-1 Т</t>
  </si>
  <si>
    <t>150-2 Т</t>
  </si>
  <si>
    <t>февраль-март,июль</t>
  </si>
  <si>
    <t>149-1 Т</t>
  </si>
  <si>
    <t>28.29.12.900.007.00.0796.000000000003</t>
  </si>
  <si>
    <t>Оборудование для фильтрования</t>
  </si>
  <si>
    <t>жидкостное, емкостный</t>
  </si>
  <si>
    <t xml:space="preserve">Установка для умягчения воды. Qном=7800 л/ч, присоед=11/2, объем цикла 1200 m/f. </t>
  </si>
  <si>
    <t>2211 Т</t>
  </si>
  <si>
    <t>2212 Т</t>
  </si>
  <si>
    <t>32.99.16.100.001.00.0796.000000000003</t>
  </si>
  <si>
    <t>маркерно-магнитная</t>
  </si>
  <si>
    <t>Доска магнитно-маркерная, 90*120 см в комплекте с подставкой на колесиках.</t>
  </si>
  <si>
    <t>173 У</t>
  </si>
  <si>
    <t>Аттестация теплотехнического пресонала в количестве 4-х человек</t>
  </si>
  <si>
    <t>174 У</t>
  </si>
  <si>
    <t>Аттестация электротехнического пресонала в количестве 4-х человек</t>
  </si>
  <si>
    <t>175 У</t>
  </si>
  <si>
    <t>43.22.12.335.006.00.0777.000000000000</t>
  </si>
  <si>
    <t>Услуги по техническому обслуживанию магистральных теплопроводных сетей/отопительных сетей и оборудования</t>
  </si>
  <si>
    <t>Услуги по обследованию теплоустновок по подготовке к зиме</t>
  </si>
  <si>
    <t>44 Р</t>
  </si>
  <si>
    <t>Ремонт помещения насосной станции водоснабжения, расположенного по адресу ул.Букейхана, 2, 4</t>
  </si>
  <si>
    <t>г.Астана, ул.Букейхана, 2, 4</t>
  </si>
  <si>
    <t xml:space="preserve">Тип ершика  - напольный
Назначение -  уборка туалетных комнат
Наличие крышки - нет
Материал ручки - пластик
Материал подставки – пластик
Цвет - белый
</t>
  </si>
  <si>
    <t xml:space="preserve"> Капроновое ведро для мытья полов,10 л.  Ведро изготовлено из высококачественного материала. Высопрочная ручка. Долговечность в самых тяжелых эксплуатациях. Цвет красный, синий. Без посторонних запахов. </t>
  </si>
  <si>
    <t xml:space="preserve"> Капроновое ведро для мытья полов, 5 л.  Ведро изготовлено из высококачественного материала. Высопрочная ручка. Долговечность в самых тяжелых эксплуатациях. Цвет- синий. Без посторонних запахов. </t>
  </si>
  <si>
    <t>11,19,20,21,23</t>
  </si>
  <si>
    <t>26.20.30.100.011.00.0796.000000000000</t>
  </si>
  <si>
    <t>Интерактивный стол</t>
  </si>
  <si>
    <t>многопользовательский, сенсорный</t>
  </si>
  <si>
    <t>19-6 У</t>
  </si>
  <si>
    <t>декабрь-январь, февраль-март, апрель-май, июнь,август</t>
  </si>
  <si>
    <t>16-2 Р</t>
  </si>
  <si>
    <t>С изменениями и дополнениями от 28.07.2016 года №346</t>
  </si>
  <si>
    <t>2213 Т</t>
  </si>
  <si>
    <t>45 Р</t>
  </si>
  <si>
    <t>46 Р</t>
  </si>
  <si>
    <t>Работы по ремонту и реставрации полов кабинета №501 административного здания "Изумрудный квартал", блок Б, расположенного по адресу: г.Астана, ул. Кунаева,8.</t>
  </si>
  <si>
    <t>176 У</t>
  </si>
  <si>
    <t xml:space="preserve">Услуги по по оценке санаторно-курортного комплекса "Алтын Булак" </t>
  </si>
  <si>
    <t xml:space="preserve">по заявке Заказчика в течение 10 календарных дней </t>
  </si>
  <si>
    <t>41.00.40.000.000.00.0999.000000000000</t>
  </si>
  <si>
    <t>Комплексные работы по строительству «под ключ»</t>
  </si>
  <si>
    <t>Комплексные работы по строительству, включающие выполнение проектных и изыскательских работ, строительство «под ключ», управление проектными и изыскательскими работами, строительством «под ключ» (при необходимости), и сопутствующая(ие) указанным работам поставка товаров, оказание услуг</t>
  </si>
  <si>
    <t>18-2 У</t>
  </si>
  <si>
    <t>со дня заключения договора по 31 июля 2016 г.</t>
  </si>
  <si>
    <t>2202-1 Т</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</si>
  <si>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 Капитальный ремонт наружных сетей водопровода  к жилым домам № 2 и 4 по ул. Букейхана»</t>
  </si>
  <si>
    <t>14,20,21,22</t>
  </si>
  <si>
    <t>574-3 Т</t>
  </si>
  <si>
    <t>С изменениями и дополнениями от 17.08.2016 года №360</t>
  </si>
  <si>
    <t>2198-1 Т</t>
  </si>
  <si>
    <t>2206-1 Т</t>
  </si>
  <si>
    <t>27.51.26.900.001.00.0796.000000000001</t>
  </si>
  <si>
    <t>Обогреватель</t>
  </si>
  <si>
    <t>инфракрасный, мощность 6,0 кВт</t>
  </si>
  <si>
    <t>Инфракрасная отопительная панель, 800W, 180*60 см</t>
  </si>
  <si>
    <t>Нагреватель под ковровое покрытие, 200*140 см</t>
  </si>
  <si>
    <t>27.90.33.900.001.00.0796.000000000000</t>
  </si>
  <si>
    <t>Нагреватель</t>
  </si>
  <si>
    <t>для защиты от низких температур, защиты от конденсатообразования, взрывозащищенный</t>
  </si>
  <si>
    <t xml:space="preserve">Работы по замене силового кабеля 10кВ протяженностью 640 метров с вскрытием и восстановлением асфальтового покрытия от ТП№6 до ТП№881 </t>
  </si>
  <si>
    <t>177 У</t>
  </si>
  <si>
    <t>2214 Т</t>
  </si>
  <si>
    <t>2215 Т</t>
  </si>
  <si>
    <t>47 Р</t>
  </si>
  <si>
    <t>11,20</t>
  </si>
  <si>
    <t>128-2 У</t>
  </si>
  <si>
    <t>С изменениями и дополнениями от 01.09.2016 года №376</t>
  </si>
  <si>
    <t>178 У</t>
  </si>
  <si>
    <t>42.11.20.335.020.00.0777.000000000000</t>
  </si>
  <si>
    <t>Услуги жилищно-коммунального хозяйства</t>
  </si>
  <si>
    <t xml:space="preserve">жилищно-эксплуатационные услуги по обслуживанию жилых помещений  АО НК "КазМунайГаз" в жилом комплексе «Нурлы Дала»,  расположенном по адресу: г. Астана, пр.Кабанбай батыра, д.19 , квартиры №1, №2 </t>
  </si>
  <si>
    <t>2216 Т</t>
  </si>
  <si>
    <t>2217 Т</t>
  </si>
  <si>
    <t>27.11.22.300.000.00.0796.000000000470</t>
  </si>
  <si>
    <t>переменного тока, асинхронный, однофазный, с номинальной частотой сети на 50 Гц, с синхронной частотой вращения 1500 мин, номинальная мощность 0,18 кВт</t>
  </si>
  <si>
    <t>27.11.22.300.000.00.0796.000000000467</t>
  </si>
  <si>
    <t>переменного тока, асинхронный, однофазный, с номинальной частотой сети на 50 Гц, с синхронной частотой вращения 1500 мин, номинальная мощность 0,06 кВт</t>
  </si>
  <si>
    <t>электродвигатель фанкойла 220В, 180Вт, трехскоростной, максимальная скоростть 1500 об/мин, вал-ф12 мм, вал с двух сторон от электродвигателя, расстояние между крайними точками вала - 530 мм</t>
  </si>
  <si>
    <t>электродвигатель фанкойла 220В, 45Вт, трехскоростной, максимальная скоростть 1500 об/мин, вал-ф12 мм, вал с двух сторон от электродвигателя, расстояние между крайними точками вала - 440 мм</t>
  </si>
  <si>
    <t>33.12.12.310.000.00.0999.000000000000</t>
  </si>
  <si>
    <t>Работы по ремонту/модернизации насосного оборудования</t>
  </si>
  <si>
    <t>48 Р</t>
  </si>
  <si>
    <t>49 Р</t>
  </si>
  <si>
    <t>14.12.99.000.001.00.0999.000000000000</t>
  </si>
  <si>
    <t>Работы по пошиву изделий (кроме одежды)</t>
  </si>
  <si>
    <t>пр. Кабанбай батыра, 19, блок А</t>
  </si>
  <si>
    <t>114-1 Т</t>
  </si>
  <si>
    <t>114-2 Т</t>
  </si>
  <si>
    <t>9-2 Т</t>
  </si>
  <si>
    <t>50 Р</t>
  </si>
  <si>
    <t>82.99.19.000.000.00.0999.000000000000</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</si>
  <si>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</si>
  <si>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изготовление стендов, 120*240 см</t>
  </si>
  <si>
    <t>Пошив портьер с подкладом из ткани с классическим рисунком , тюли, аксельбаны с установкой. Портьерная ткань шириной 300 см, 100 % полиэстер, рисунок классический с винкелями. Тюлевая ткань цвет color v-3 (шампань), шириной 325 см, 70 % полиэстер и 30 % шелка, ткань антибактериальная, перламутровая с полосатой текстурой. Подкладочная ткань шириной 295 см, 100 % полиэстер, однотонная, с однородной текстурой, с эффектом скольжения. Аксельбанты кисти цвета крем. Крючки стеновые металлические, цвета серебро</t>
  </si>
  <si>
    <t>51 Р</t>
  </si>
  <si>
    <t>43.22.12.335.005.00.0999.000000000000</t>
  </si>
  <si>
    <t>Работы по установке (монтажу) климатического оборудования и систем/вентиляционных систем и оборудования</t>
  </si>
  <si>
    <t>изготовление и монтаж оцинкованных воздуховодов системы приточной машины П9 и вытяжной системы столовой В1</t>
  </si>
  <si>
    <t>ремонт насосной станции с заменой оборудования</t>
  </si>
  <si>
    <t>Кнопка для писсуара. Цвет клавиши: белый. Материал клавиши: пластик. Высота (см): 14.4. Ширина (см): 11.6. Глубина (см): 1.2</t>
  </si>
  <si>
    <t>Керамическая глянцевая настенная плитка облицовочная, цвет:  бежевый, размер 25*45 (цвет и рисунок по согласованию с Заказчиком)</t>
  </si>
  <si>
    <t>2218 Т</t>
  </si>
  <si>
    <t>2219 Т</t>
  </si>
  <si>
    <t>2220 Т</t>
  </si>
  <si>
    <t>2221 Т</t>
  </si>
  <si>
    <t>2222 Т</t>
  </si>
  <si>
    <t>2223 Т</t>
  </si>
  <si>
    <t>2224 Т</t>
  </si>
  <si>
    <t>2225 Т</t>
  </si>
  <si>
    <t>2226 Т</t>
  </si>
  <si>
    <t>2227 Т</t>
  </si>
  <si>
    <t>22.23.12.900.001.00.0796.000000000012</t>
  </si>
  <si>
    <t>для отведения сточных вод с писуаров, пластиковый, ГОСТ 23289-94</t>
  </si>
  <si>
    <t>сифон для писуара настенного, для слива, диаметр: 5 см, диаметр подключения 4см, область применения: бытовая, регулировка по высоте 3,5 см, материал: пластик, форма: круглая, цвет: белый</t>
  </si>
  <si>
    <t xml:space="preserve">мужской подвесной писуар пристенный,  материал корпуса: санфарфор, цвет: белый
</t>
  </si>
  <si>
    <t>23.42.10.300.000.00.0796.000000000000</t>
  </si>
  <si>
    <t>Писсуар</t>
  </si>
  <si>
    <t>фарфоровый, настенный, ГОСТ 30493-96</t>
  </si>
  <si>
    <t>769</t>
  </si>
  <si>
    <t>Керамическая глянцевая настенная плитка-бордюр, цвет бежевый, размер 25*3 (рисунок по согласованию с Заказчиком)</t>
  </si>
  <si>
    <t>23.31.10.790.002.00.0055.000000000088</t>
  </si>
  <si>
    <t>керамогранитная, напольная, размер 450*450 мм</t>
  </si>
  <si>
    <t>Плитка напольная бежевая , размер 45*45</t>
  </si>
  <si>
    <t>17.24.11.990.004.00.0055.000000000009</t>
  </si>
  <si>
    <t>марка М-2, рельефные, ГОСТ 6810-2002</t>
  </si>
  <si>
    <t>виниловые рельефные тисненные обои на флезилиновой основе,  размер рулона: длина 10,05 м, ширина 1 м (рисунок по согласованию с Заказчиком)</t>
  </si>
  <si>
    <t>Керамическая глянцевая настенная плитка-бордюр, цвет бежевый, размер 25*10 (рисунок по согласованию с Заказчиком)</t>
  </si>
  <si>
    <t>27.33.11.100.002.00.0796.000000000008</t>
  </si>
  <si>
    <t>одноклавишный, наружной установки</t>
  </si>
  <si>
    <t>февраль-март, июль</t>
  </si>
  <si>
    <t>32.99.59.900.035.00.0839.000000000001</t>
  </si>
  <si>
    <t>Система контроля и управления доступом</t>
  </si>
  <si>
    <t>2 класс, работающая в сетовом режиме</t>
  </si>
  <si>
    <t>2228 Т</t>
  </si>
  <si>
    <t>2229 Т</t>
  </si>
  <si>
    <t>Плитка напольная серо-бежевая, размер 30*30</t>
  </si>
  <si>
    <t>23.64.10.100.000.01.0166.000000000060</t>
  </si>
  <si>
    <t>строительная, сухая, полимерная, отделочная, легкая</t>
  </si>
  <si>
    <t>акриловая, декоративная, мраморная, камешковая, в ведрах по 20 кг (цвет по согласованию с Заказчиком)</t>
  </si>
  <si>
    <t>Количество турникетов – 2 (два). Декоративное ограждение с калиткой из нержавеющей трубы. Поручни d-50 мм, стойки d-32 мм, два горизонтальных ригеля d-16 мм. Калитка механическая с замковым устройством. Внести в базу оперативной задачи ПО бесконтактные идентификационные Proximity-карты в количестве – 100 штук. Проходные коридоры турникетов контролируются IP-видеокамерами высокого разрешения для осуществления функции распознавания лиц.</t>
  </si>
  <si>
    <t>23.31.10.790.002.00.0055.000000000010</t>
  </si>
  <si>
    <t>керамическая, основная, прямоугольная, размер 200*100 мм</t>
  </si>
  <si>
    <t>23.31.10.790.002.00.0055.000000000006</t>
  </si>
  <si>
    <t>керамическая, основная, прямоугольная, размер 400*300 мм</t>
  </si>
  <si>
    <t>149-2 Т</t>
  </si>
  <si>
    <t>С изменениями и дополнениями от 20.09.2016 года №402</t>
  </si>
  <si>
    <t>Комплексные работы по разработке проектно-сметной документации, с получением положительного заключения РГП «Госэкспертиза» и последующим проведением строительно-монтажных работ, а также ведением авторского надзора по объекту: "Перепланировка на 36, 37, 38, 39, 40, 42, 43 этажах в административном здании «Изумрудный квартал" блок Б", расположенном по адресу: Республика Казахстан, город Астана, ул. Д. Кунаева, 8»</t>
  </si>
  <si>
    <t>74.90.20.000.048.00.0777.000000000000</t>
  </si>
  <si>
    <t>Услуги по чистке промышленного оборудования/изделий</t>
  </si>
  <si>
    <t>Услуги по чистке промышленного оборудования</t>
  </si>
  <si>
    <t>2024-1 Т</t>
  </si>
  <si>
    <t>2025-1 Т</t>
  </si>
  <si>
    <t>2026-1 Т</t>
  </si>
  <si>
    <t>2028-1 Т</t>
  </si>
  <si>
    <t>2029-1 Т</t>
  </si>
  <si>
    <t>2030-1 Т</t>
  </si>
  <si>
    <t>19,20,21</t>
  </si>
  <si>
    <t>2230 Т</t>
  </si>
  <si>
    <t>52 Р</t>
  </si>
  <si>
    <t>179 У</t>
  </si>
  <si>
    <t>Рамка, размер 210*297мм, изготавливается из багета, материал багета пластик ПВХ, основание рамки картон толщиной 2 мм, покрытие оргстекло толщиной 0,25 мм.</t>
  </si>
  <si>
    <t>Услуги по механической очистке кожухотрубного конденсатора холодильной машины (чиллера) Carrier 19XR</t>
  </si>
  <si>
    <t>2093-1 Т</t>
  </si>
  <si>
    <t>2094-1 Т</t>
  </si>
  <si>
    <t>С изменениями и дополнениями от 28.09.2016 года №409</t>
  </si>
  <si>
    <t>2231 Т</t>
  </si>
  <si>
    <t>26.40.20.900.000.00.0796.000000000004</t>
  </si>
  <si>
    <t>Телевизор</t>
  </si>
  <si>
    <t>жидкокристаллический (LCD), цифровой</t>
  </si>
  <si>
    <t>Формат изображения 16:9 Размер диагонали (") 60 Разрешение экрана 3840x2160 Технология улучшения изображения (Гц) 1300 Тюнер DVB-T2  Поддержка HDTV  Мощность звука (Вт) 20 Разъемы (вход) компонентный, композитный, HDMIх3, USBх2, антенный, Ethernet (LAN), WiFi Разъемы (выход) оптический Smart TV  WI-FI  Управление голосом Потребляемая мощность (Вт) 255 Цвет черный Габариты (ВхШхГ) (см) 85,28х136,36х36,94 Вес (кг) 22,9 Гарантия 1 год</t>
  </si>
  <si>
    <t>2232 Т</t>
  </si>
  <si>
    <t>Тип TV ЖК-телевизор Диагональ, дюйм 49 HD-формат 1080p (Full HD) Smart TV Есть Формат экрана 16:9 Количество TV-тюнеров
1 Цифровой тюнер Есть TrueCinema 24Гц Есть Поддержка стереозвука NICAM Есть Мощность звука, Вт 10 Таймер вкл/выкл
Есть Телетекст Есть Экранное меню на русском Есть Установка аппарата крепление к стене, на горизонтальной подставке
Особенности модели webOS 3.0.</t>
  </si>
  <si>
    <t>2233 Т</t>
  </si>
  <si>
    <t>25.99.29.190.063.00.0796.000000000000</t>
  </si>
  <si>
    <t>Кронштейн</t>
  </si>
  <si>
    <t xml:space="preserve">настенный, металлический, для крепления жидкокристаллического телевизора </t>
  </si>
  <si>
    <t>Для моделей с диагональю экрана, дюйм: 26-55(66-139,7см) Допустимая нагрузка, кг: 25 Тип кронштейна: для плоскопанельных телевизоров Цвет, размеры и вес Цвет: черный</t>
  </si>
  <si>
    <t>1958-1 Т</t>
  </si>
  <si>
    <t>2213-1 Т</t>
  </si>
  <si>
    <t>21-1 Р</t>
  </si>
  <si>
    <t>2234 Т</t>
  </si>
  <si>
    <t xml:space="preserve">Масса устройства 27 кг. Габаритные размеры мм 463*33*172, тип тормозного механизма - механический, тип троса - стальной, толщина троса 4мм, нагрузка на трос на разрыв 1340 кг, температурный режим эксплуатации - 40С/+90С. Трос не подвержен воздействию открытого пламени и нагретого стержня. Общая длина 183м. Масса спасаемого человека в пределах от 20 до 150 кг. Скорость спуска от 0,5-2 м/сек (в зависимости от массы человека). В комплект поставки входит: Внешняя коробка, тормозной механизм, катушка с тросом, спасательный треугольник, паспорт, руководство по эксплуатации, оборудование для вскрытия оконных проемов </t>
  </si>
  <si>
    <t xml:space="preserve">Сложные полимеры. Круглое, 5 л ГОСТ Р50962-96. Цвет: красный, синий, зеленый. </t>
  </si>
  <si>
    <t>2235 Т</t>
  </si>
  <si>
    <t xml:space="preserve">Сложные полимеры. Круглое, 10 л, ГОСТ Р50962-97. ГОСТ Р50962-98.  . Цвет: красный, синий, зеленый. </t>
  </si>
  <si>
    <t>2236 Т</t>
  </si>
  <si>
    <t>Сложные полимеры, металл. Щётка и совок лень  на ножке. Удобный комплект. Размеры 990 х 340 х 310 мм.   Ножки металлические,   рукоятки, совок, щетка фиолетовые с зеленым цветом. Щетина жесткая зеленая высотой 120мм.</t>
  </si>
  <si>
    <t>2237 Т</t>
  </si>
  <si>
    <t>2238 Т</t>
  </si>
  <si>
    <t>2239 Т</t>
  </si>
  <si>
    <t>2240 Т</t>
  </si>
  <si>
    <t>2241 Т</t>
  </si>
  <si>
    <t>2242 Т</t>
  </si>
  <si>
    <t>2243 Т</t>
  </si>
  <si>
    <t>2244 Т</t>
  </si>
  <si>
    <t>2245 Т</t>
  </si>
  <si>
    <t>2246 Т</t>
  </si>
  <si>
    <t>2247 Т</t>
  </si>
  <si>
    <t>2248 Т</t>
  </si>
  <si>
    <t>2249 Т</t>
  </si>
  <si>
    <t>2250 Т</t>
  </si>
  <si>
    <t>2251 Т</t>
  </si>
  <si>
    <t>2252 Т</t>
  </si>
  <si>
    <t>2253 Т</t>
  </si>
  <si>
    <t>С жесткой щетиной, для подметания  больших поверхностей</t>
  </si>
  <si>
    <t>В пластмассовой бутылке с дозатором, объемом 240мл.</t>
  </si>
  <si>
    <t>Гель пятновыводитель для всех видов тканей, очень эффективен от всех видов пятен. 5 - 15% кислородосодержащих отбеливателей, 5% неионогенные ПАВ,
фосфонаты: оптический отбеливатель, ароматизатор. В пластиковой упаковке , объем 500 мл</t>
  </si>
  <si>
    <t>20.41.32.570.000.01.0868.000000000000</t>
  </si>
  <si>
    <t>20.41.32.790.000.00.0868.000000000000</t>
  </si>
  <si>
    <t>для мытья ковровых изделий</t>
  </si>
  <si>
    <t>В пластмассовой бутылке объемом 450 мл.Средство для мытья ковровых изделий</t>
  </si>
  <si>
    <t xml:space="preserve">Объем 300 мл. Алюминиевый баллон  с пластмасоввым колпачком – распылителем.  Аромат: свежесть утра, нежность кашемира, свежесть океана, после дождя. По согласованию с Заказчиком </t>
  </si>
  <si>
    <t xml:space="preserve">Полироль для мебели предназначена для обработки деревянных поверхностей. Для удаления пыль, следов от пальцев, загрязнения.           </t>
  </si>
  <si>
    <t>Номинальная потребляемая мощность 600 W, Частота вращения на холостом ходу 0 – 2.600 об/мин, Выходная мощность 360 W, Вес 1,7 кг, Номинальный крутящий момент 20,0 Нм, Диапазон сверления GBM 10 RE Professional  , Диам. скопирован отверстия Bosch алюминии 10 мм, Диам. отверстия в древесине 25 мм, Диам. отверстия в стали 10 мм</t>
  </si>
  <si>
    <t>25.73.30.930.037.00.0796.000000000004</t>
  </si>
  <si>
    <t>Макс. крутящий момент (жесткое/мягкое завор.) 34 / 18 Нм, Число оборотов холостого хода (1-я/2-я скорость) 0 – 400 / 1.300 об/мин, Диапазон хвостовиков сверлильного патрона, мин./макс. 0,8 / 10 мм, Напряжение аккумулятора 18 В. Ёмкость аккумулятора 1,5 А•ч, Вес  с аккумулятором 1,4 кг, Быстрозажимной сверлильный патрон 10 мм, Число ступеней крутящего момента 25+1, Длина 204,0 мм, Высота 229,0 мм, Тип  ячеек литий-ионный</t>
  </si>
  <si>
    <t>вид источника тока АЗ-с аккумуляторами с выносными зарядными устройствами</t>
  </si>
  <si>
    <t>28.30.86.900.000.00.0796.000000000001</t>
  </si>
  <si>
    <t>Газонокосилка</t>
  </si>
  <si>
    <t>электрическая, самоходная</t>
  </si>
  <si>
    <t>Мощность двигателя - 1300 Вт, Ширина стрижки - 34 см,Высота реза - 20 – 70 мм, Объем травосборника - 40 л, Вес - 11 кг</t>
  </si>
  <si>
    <t>30.99.10.000.002.00.0796.000000000013</t>
  </si>
  <si>
    <t>ручная, для помещения грузов, грузоподъемность 200-250 кг</t>
  </si>
  <si>
    <t>2254 Т</t>
  </si>
  <si>
    <t>2255 Т</t>
  </si>
  <si>
    <t>2256 Т</t>
  </si>
  <si>
    <t>2257 Т</t>
  </si>
  <si>
    <t>2258 Т</t>
  </si>
  <si>
    <t>2259 Т</t>
  </si>
  <si>
    <t>2260 Т</t>
  </si>
  <si>
    <t>2261 Т</t>
  </si>
  <si>
    <t>2262 Т</t>
  </si>
  <si>
    <t>2263 Т</t>
  </si>
  <si>
    <t>2264 Т</t>
  </si>
  <si>
    <t>2265 Т</t>
  </si>
  <si>
    <t>2266 Т</t>
  </si>
  <si>
    <t>2267 Т</t>
  </si>
  <si>
    <t>2268 Т</t>
  </si>
  <si>
    <t>2269 Т</t>
  </si>
  <si>
    <t>2270 Т</t>
  </si>
  <si>
    <t>2271 Т</t>
  </si>
  <si>
    <t>2272 Т</t>
  </si>
  <si>
    <t>27.40.15.990.001.00.0796.000000000178</t>
  </si>
  <si>
    <t>тип цоколя Е-27, мощность 11 Вт</t>
  </si>
  <si>
    <t>Дрюссель для люминенсцентных ламп L 18/20 G800</t>
  </si>
  <si>
    <t>Дрюссель для люминенсцентных ламп L 36/20 G800</t>
  </si>
  <si>
    <t>27.12.22.900.001.00.0796.000000000000</t>
  </si>
  <si>
    <t>автоматический, тип А, однополюсный, с тепловым размыкателем</t>
  </si>
  <si>
    <t>Выключатель автоматический однополосной 16А Р1</t>
  </si>
  <si>
    <t>Выключатель автоматический однополосной 25А Р1</t>
  </si>
  <si>
    <t>Выключатель автоматический однополосной 32А Р1</t>
  </si>
  <si>
    <t>Выключатель автоматический однополосной 25А Р3</t>
  </si>
  <si>
    <t>S2 (4-22)</t>
  </si>
  <si>
    <t>S10 (4-65)</t>
  </si>
  <si>
    <t xml:space="preserve">Щетка </t>
  </si>
  <si>
    <t>Предназначена для чистки  ковров средней жесткости на длинной ручке</t>
  </si>
  <si>
    <t>PL-C 18W 840 (2PIN)</t>
  </si>
  <si>
    <t>PL-C 26W 840 (2PIN)</t>
  </si>
  <si>
    <t>T8 F18WDL</t>
  </si>
  <si>
    <t>T8 F36WDL</t>
  </si>
  <si>
    <t>2273 Т</t>
  </si>
  <si>
    <t>Метла на длинном черенке из натурального материала, для дворников</t>
  </si>
  <si>
    <t>2274 Т</t>
  </si>
  <si>
    <t>2275 Т</t>
  </si>
  <si>
    <t>2276 Т</t>
  </si>
  <si>
    <t>2277 Т</t>
  </si>
  <si>
    <t>2278 Т</t>
  </si>
  <si>
    <t>2279 Т</t>
  </si>
  <si>
    <t>2280 Т</t>
  </si>
  <si>
    <t>2281 Т</t>
  </si>
  <si>
    <t>2282 Т</t>
  </si>
  <si>
    <t>2283 Т</t>
  </si>
  <si>
    <t>2284 Т</t>
  </si>
  <si>
    <t>2285 Т</t>
  </si>
  <si>
    <t>2286 Т</t>
  </si>
  <si>
    <t>2287 Т</t>
  </si>
  <si>
    <t>2288 Т</t>
  </si>
  <si>
    <t>ПХВ -   поливинилхлоридная пленка, изготовленная из ПВХ-композиции, вальцево-каландровым способом, с нанесенным на одну сторону клеевым слоем, и разрезанную на полосы определенной ширины.</t>
  </si>
  <si>
    <t xml:space="preserve">Лопата </t>
  </si>
  <si>
    <t>460х340 мм, из морозостойкого пластика,стальная окантовка металлический черенок</t>
  </si>
  <si>
    <t>30.99.10.000.002.00.0796.000000000016</t>
  </si>
  <si>
    <t>ручная, для помещения грузов, двухколесная, грузоподъемность 150-200 кг</t>
  </si>
  <si>
    <t>25.73.10.500.000.00.0796.000000000000</t>
  </si>
  <si>
    <t>Секатор</t>
  </si>
  <si>
    <t>садово-огородный, двухстороннего резания, пластиковая рукоятка</t>
  </si>
  <si>
    <t>2289 Т</t>
  </si>
  <si>
    <t>2290 Т</t>
  </si>
  <si>
    <t>2291 Т</t>
  </si>
  <si>
    <t>2292 Т</t>
  </si>
  <si>
    <t>2293 Т</t>
  </si>
  <si>
    <t>2294 Т</t>
  </si>
  <si>
    <t>2295 Т</t>
  </si>
  <si>
    <t>2296 Т</t>
  </si>
  <si>
    <t>2297 Т</t>
  </si>
  <si>
    <t>2298 Т</t>
  </si>
  <si>
    <t>2299 Т</t>
  </si>
  <si>
    <t>г.Павлодар, ул.Луговая 16</t>
  </si>
  <si>
    <t xml:space="preserve">
Швабра для мытья стекол  бытовая без насадок, 37х32х9 см.Насадка из микроволокна легко крепится на платформу с помощи особо прочной липучки.</t>
  </si>
  <si>
    <t>Щетка скрабер  для мытья пола</t>
  </si>
  <si>
    <t>Предназнчена для чистки  панелей</t>
  </si>
  <si>
    <t>2300 Т</t>
  </si>
  <si>
    <t>2301 Т</t>
  </si>
  <si>
    <t>2302 Т</t>
  </si>
  <si>
    <t>2303 Т</t>
  </si>
  <si>
    <t>2304 Т</t>
  </si>
  <si>
    <t>2305 Т</t>
  </si>
  <si>
    <t>2306 Т</t>
  </si>
  <si>
    <t>2307 Т</t>
  </si>
  <si>
    <t>2308 Т</t>
  </si>
  <si>
    <t>2309 Т</t>
  </si>
  <si>
    <t>1. Семинар тренинг "Подготовка персонала профессиональной уборки офисного здания и методика организации процесса", 2.Курсы  "Пожарно-технический минимум"</t>
  </si>
  <si>
    <t>180 У</t>
  </si>
  <si>
    <t>25.72.14.690.006.00.0796.000000000003</t>
  </si>
  <si>
    <t>до 160 кг</t>
  </si>
  <si>
    <t>Диапазон температур -40+60град. Для железных противопожарных дверей до 200 кг</t>
  </si>
  <si>
    <t>22.29.29.900.010.01.0796.000000000003</t>
  </si>
  <si>
    <t>Вкладыш</t>
  </si>
  <si>
    <t>для запорной арматуры, из фторпласта</t>
  </si>
  <si>
    <t>запор горизонтальный из стали для противопожарных дверей до 200 кг. (запор антипаники)</t>
  </si>
  <si>
    <t>Для противопожарных дверей до 200 кг (ручка антипаника горизонтальная)</t>
  </si>
  <si>
    <t>Для противопожарных дверей до 200 кг (ручка антипаника наружная)</t>
  </si>
  <si>
    <t>53 Р</t>
  </si>
  <si>
    <t>43.91.19.335.000.00.0999.000000000000</t>
  </si>
  <si>
    <t>Работы по ремонту/установке крыш, кровельных перекрытий и связанные с этим работы</t>
  </si>
  <si>
    <t>Замена кровельного покрытия - материал гидроизоляционный ПВХ Декапран 2мм (серый) - 1380кв.м, над 45 этажом административного здания "Изумрудный квартал", замена молниезащитной сетки</t>
  </si>
  <si>
    <t>71.20.19.000.014.00.0999.000000000000</t>
  </si>
  <si>
    <t>Работы по техническому обследованию объектов недвижимого имущества</t>
  </si>
  <si>
    <t xml:space="preserve"> г.Астана, пересечение проспекта Кабанбай-батыра и ул. Керей, Жанибек хандар</t>
  </si>
  <si>
    <t>с даты заключения договора в течении 30 календарных дней.</t>
  </si>
  <si>
    <t>54 Р</t>
  </si>
  <si>
    <t>801-2 Т</t>
  </si>
  <si>
    <t>2202-2 Т</t>
  </si>
  <si>
    <t>Пластина теплообменника Funke типа FP-31 (H)</t>
  </si>
  <si>
    <t>26.20.40.000.032.00.0796.000000000000</t>
  </si>
  <si>
    <t>Считыватель</t>
  </si>
  <si>
    <t>для системы радиочастотной идентификации RFID</t>
  </si>
  <si>
    <t>Рабочая частота: 125 кГц Чтение идентификаторов: EM-Marine Дальность чтения: 6-8 см Напряжение питания: 8 - 18В постоянного тока Потребление тока: 35мA Световая и звуковая индикация: есть Максимальная длина линии от считывателя до контроллера: 15м Материал корпуса: ABS пластик Цвет корпуса: светло-серый Выходной интерфейс: Dallas Touch Memory (эмуляция DS1990A) Рабочая температура: -30°С +40°С Габаритные размеры (мм): 85х44х18</t>
  </si>
  <si>
    <t xml:space="preserve">Количество внешних считывателей электронных идентификаторов (ЭИ) 2  Интерфейс подключаемых считывателей Touch Memory, Wiegand, ABA TRACK II Управление светодиодами считывателя двумя светодиодами (зеленым и красным).
сигнал управления "+5В КМОП" с ограничением тока при прямом подключении светодиодов на уровне 10 мА Управление звуковым сигнализатором считывателя есть. 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размеры 156х107х39 мм </t>
  </si>
  <si>
    <t>26.20.40.000.108.00.0796.000000000000</t>
  </si>
  <si>
    <t>Источник бесперебойного питания</t>
  </si>
  <si>
    <t>резервный</t>
  </si>
  <si>
    <t>27.20.11.900.000.01.0796.000000000001</t>
  </si>
  <si>
    <t>для ИПБ, свинцово-кислотный, напряжение 12 В, емкость 17 А/ч</t>
  </si>
  <si>
    <t>Стандарты и сертификаты Декларация о соответствии ГОСТ 12.2.007.12-88; ГОСТ Р МЭК 61056-1-2012; ГОСТ Р МЭК 60896-2-99 
Срок службы В буферном режиме: до 40Ач – 5 лет;  свыше 65Ач – 7-10 лет. В циклическом режиме: до 40Ач – 1000 циклов при 30% глубине разряда;  свыше 65Ач – 1100 циклов при 30% глубине разряда.
Температурные режимы Хранение от -35°С до +50°С Заряд от -10°С до +50°С Разряд от -20°С до +50°С
Метод заряда Метод заряда: Заряд постоянным напряжением (25°C) Циклический режим 2.4-2.5 В/эл Буферный режим 2.27 – 2.3 В/эл
Технические параметры
Заряд, А*ч 18 Напряжение,В 12 Размер 181x76x167</t>
  </si>
  <si>
    <t>55 Р</t>
  </si>
  <si>
    <t>Изготовление и установка ПВХ окна, 3-ое остекление: замена открывающей части с заменой стеклопакета, замена резин и сложного механизма; изготовление и установка ПВХ откосов и подоконников, стекло тонированное, ПВХ</t>
  </si>
  <si>
    <t>2310 Т</t>
  </si>
  <si>
    <t>2311 Т</t>
  </si>
  <si>
    <t>Электродвигатель фанкойла, 220В,400Вт, трехскоростной</t>
  </si>
  <si>
    <t>Электродвигатель фанкойла, 220В,80 Вт, трехскоростной</t>
  </si>
  <si>
    <t>2312 Т</t>
  </si>
  <si>
    <t xml:space="preserve">Макс. число оборотов холостого хода - 1050 об/мин;Макс. частота ударов - 5100 уд/мин
Макс. энергия удара - 3.3 Дж
Питание - от сети
</t>
  </si>
  <si>
    <t>2313 Т</t>
  </si>
  <si>
    <t>для различных электромонтажных работ, в наборе 13-25 предметов</t>
  </si>
  <si>
    <t>25.94.13.900.001.00.0704.000000000015</t>
  </si>
  <si>
    <t>2314 Т</t>
  </si>
  <si>
    <t>С изменениями и дополнениями от 19.10.2016 года №435</t>
  </si>
  <si>
    <t>26.70.13.000.001.00.0796.000000000022</t>
  </si>
  <si>
    <t>зеркальная, количество пикселей не менее 22 млн</t>
  </si>
  <si>
    <t>3,5,6,11,12, 19,20,21</t>
  </si>
  <si>
    <t>CMOS; 24.7 мпикс; APS-C; 18-135 мм</t>
  </si>
  <si>
    <t>154-1 Т</t>
  </si>
  <si>
    <t>56 Р</t>
  </si>
  <si>
    <t>2227-1 Т</t>
  </si>
  <si>
    <t xml:space="preserve">услуги по испытанию и наладке силовых трансформаторов, ячеек КСО-292, РУ10кв, устройств релейной защиты и автоматики  в ТП </t>
  </si>
  <si>
    <t>авансовый платеж - 30%, оставшаяся часть в течение 10 рабочих дней со дня подписания акта приемки выполненных работ</t>
  </si>
  <si>
    <t>181 У</t>
  </si>
  <si>
    <t>182 У</t>
  </si>
  <si>
    <t>Услуги по дезнфекции, дезинсекции и дератизации на объектах, обслуживаемых ТОО "КазМунайГаз-Сервис", расположенных в г.Атырау: 1) Адмздание по ул. З.Гумарова, д.94 (блок А); 2) Адмздание по ул. З.Гумарова, д.94 (блок Б); 3) Адмздание по ул.З.Гумарова, 96; 4) Адмздание по ул.Смагулова, 12</t>
  </si>
  <si>
    <t xml:space="preserve">Услуги по периодическому медицинскому осмотру водителей  и маляров с последующей выдачей заключительного акта </t>
  </si>
  <si>
    <t xml:space="preserve">Необходимо произвести проверку: - наличие нормативно-технической и исполнительной документации, поверенных средств измерений; - своевременности, полноты и правильности выполнений геодезических работ в процессе строительства (планово-высотных разбивок, исполнительных геодезических схем); - проведение лабораторных испытаний на соответствие качества строительно-монтажных работ, применяемых материалов, изделий, конструкций, соответствие их проектной документации; - предоставление протоколов испытаний; - материально-  техническое  обеспечение строительства; - соотвествия выполненных работ с техническиими условиями на присоединение к сетям инженерно-технического обеспечения;
- требований технических регламентов, результатов инженерных изысканий; - наличия и правильности  оформления документов, подтверждающих их качество (паспортов, сертификатов, результатов испытаний), а так же документированных результатов входного контроля; - проведение контрольного обмера выполненных работ, сравнительный анализ соответствия фактически выполненных работ подписанным актам выполненных работ. </t>
  </si>
  <si>
    <t>54-1 Р</t>
  </si>
  <si>
    <t>Замена входных дверей центрального и служебного входов в административном здании "Изумрудный квартал" Блок Б</t>
  </si>
  <si>
    <t>1.Пресс-клещи для снятия изоляции  Ø0,75-6 мм -1шт. 2. Нож прямой изолированый до 1000В -1шт. 3. Нож кабельный изолированный до 1000В -1шт. 4.Отвертка крестовая № 1х100 изолированная до 1000В -1шт. 5.Отвертка крестовая № 2х125 изолированная до 1000В -1шт. 6.Отвертка шлицевая 4,0х100 изолированная до 1000В -1шт. 7.Отвертка шлицевая 5,5х125 изолированная до 1000В -1шт. 8.Отвертка индикаторная 100-250V -1шт. 9.Длинногубцы L=160 мм изолированные до 1000В -1шт.
10.Плоскогубцы L=160 мм изолированные до 1000В - 1шт. 11.Кусачки L=160 мм изолированные до 1000В - 1шт. 12.Индикатор напряжения   до 1000В- 1шт. 13. Мультиметр цифровой -1шт. 14. Кабелерез L=250 мм Ø до 25 мм изолированный до 1000В-1шт.
15. Сумка-1шт.</t>
  </si>
  <si>
    <t>Напряжение в сети, В 150-250 Выходное напряжение, В при питании от сети13,6±0,6, при питании от АБ 10…13,6 Номинальный выходной ток, А 8, Максимальный выходной ток, А (2 мин) 10 Двойная амплитуда пульсаций выходного напряжения, мВ, не более 200, Емкость АБ, А•ч 17* Наличие звукового сигнализатора  Количество индикаторов 3,  Наличие выхода «Авария сети» (открытый коллектор «ОК») +, Контроль напряжения АБ, индикация заряда + Защита от превышения выходного напряжения 2 ступени, Подключение РИП (сечение провода мм2): К сети 0,75…2,5 К нагрузке 0,5…2,5, Диапазон рабочих температур от минус 10 до + 40 °C, Относительная влажность до 90% при +25 °C, Корпус Металл IP30 Габариты, мм 255х310х85 Масса без АБ, кг, не более 2,5 Тип монтажа Настенный, навесной</t>
  </si>
  <si>
    <t>2213-2 Т</t>
  </si>
  <si>
    <t>интерактивный стол с программным обеспечением и установкой</t>
  </si>
  <si>
    <t>11,14,15</t>
  </si>
  <si>
    <t>с даты заключения договора в течении 100 календарных дней</t>
  </si>
  <si>
    <t>43-1 Р</t>
  </si>
  <si>
    <t>май-июнь, октябрь-ноябрь</t>
  </si>
  <si>
    <t>работы по ремонту чиллера здания "Изумрудный квартал" блок Б</t>
  </si>
  <si>
    <t>2315 Т</t>
  </si>
  <si>
    <t>28.25.12.500.000.00.0796.000000000001</t>
  </si>
  <si>
    <t>для построения систем автоматического управления и регулирования</t>
  </si>
  <si>
    <t>погодный компенсатор ECL210 (в комплекте с ключом А 266)</t>
  </si>
  <si>
    <t>847-1 Т</t>
  </si>
  <si>
    <t>845-1 Т</t>
  </si>
  <si>
    <t>844-1 Т</t>
  </si>
  <si>
    <t>823 -1 Т</t>
  </si>
  <si>
    <t>803-1 Т</t>
  </si>
  <si>
    <r>
      <rPr>
        <sz val="10"/>
        <color theme="1"/>
        <rFont val="Times New Roman"/>
        <family val="1"/>
        <charset val="204"/>
      </rPr>
      <t>костюм для мясника, фартук прорезиненый</t>
    </r>
    <r>
      <rPr>
        <sz val="10"/>
        <rFont val="Times New Roman"/>
        <family val="1"/>
        <charset val="204"/>
      </rPr>
      <t xml:space="preserve"> КЩС, брюки из смесовой ткани, темного цвета с регулирующимся поясом</t>
    </r>
  </si>
  <si>
    <t xml:space="preserve">M.2 SSD 120 Gb, read 550 Mбайт/с, write 520 Mбайт/с, M.2 </t>
  </si>
  <si>
    <t>2316 Т</t>
  </si>
  <si>
    <t>28.13.32.000.145.06.0796.000000000000</t>
  </si>
  <si>
    <t>масляный, для поршневого компрессора</t>
  </si>
  <si>
    <t>2317 Т</t>
  </si>
  <si>
    <t>2318 Т</t>
  </si>
  <si>
    <t>2319 Т</t>
  </si>
  <si>
    <t>2320 Т</t>
  </si>
  <si>
    <t>фильтр масляный части оборудования холодильного небытового, включая испарители и конденсаторы, фильтр маслянного насоса чиллера, соответствует маркировке CARRIER 30 GX-417-132-EE</t>
  </si>
  <si>
    <t xml:space="preserve">интегральный на чиллер Carrier HXC 30  соответствует маркировке CARRIER 06NA 660 028  </t>
  </si>
  <si>
    <t xml:space="preserve"> на чиллер Carrier HXC 30  соответствует маркировке CARRIER 30HX 410 332 ЕЕ10</t>
  </si>
  <si>
    <t>20.59.41.990.005.00.0112.000000000002</t>
  </si>
  <si>
    <t>на основе синтетической жидкости</t>
  </si>
  <si>
    <t>28.13.32.000.126.01.0796.000000000000</t>
  </si>
  <si>
    <t>для компрессора, масляный</t>
  </si>
  <si>
    <t xml:space="preserve"> синтетическое, Вязкость CST: 40C - 220 100C - 19,3  Плотность г/см3 0,961 Температура: вспышка 288С, застывание -22С, соответствие  масло Carrier PP 47-32 или Castrol Icematic SW 220</t>
  </si>
  <si>
    <t>32.99.59.900.051.00.0055.000000000000</t>
  </si>
  <si>
    <t>Потолок подвесной</t>
  </si>
  <si>
    <t>из тонких сетчатых металлических плиток</t>
  </si>
  <si>
    <t>2321 Т</t>
  </si>
  <si>
    <t>2322 Т</t>
  </si>
  <si>
    <t>2323 Т</t>
  </si>
  <si>
    <t>виниловые рельефные тисненные обои на флизелиновой основе,  размер рулона: длина- 10,05 м, ширина - 1 м, рисунок по согласованию с Заказчиком</t>
  </si>
  <si>
    <t>подвесной потолок реечный,с профилями, материал - алюминий, длина - 4 м, ширина - 10 см, толщина 0,5-0,6 мм, цвет по согласованию с Заказчиком</t>
  </si>
  <si>
    <t>Плитка напольная, размер 30 см*30 см, цвет: серо-бежевый</t>
  </si>
  <si>
    <t>2312-1 Т</t>
  </si>
  <si>
    <t>С изменениями и дополнениями от 01.11.2016 года №453</t>
  </si>
  <si>
    <t>183 У</t>
  </si>
  <si>
    <t>2227-2 Т</t>
  </si>
  <si>
    <t>Услуги по страхованию помещения столовой, расположенной по адресу: г. Астана, пр. Кабанбай батыра, 19</t>
  </si>
  <si>
    <t>20-2 У</t>
  </si>
  <si>
    <t>64-1 У</t>
  </si>
  <si>
    <t>52-1 Р</t>
  </si>
  <si>
    <t xml:space="preserve">Застежка на петли и пуговицы, английский воротник, рукав 3/4 с манжетой, накладные карманы, пояс вокруг талии блузы, регулировка по талии брюк, на груди с левой стороны бейдж, с правой логотип с фирменным логотипом Заказчика, ткань смесовая: хлопок 55%, полиэфир 45%., пл.120 гр/м2. Удлиненный блузон и классические прямые брюки. Цвет: согласно заявки Заказчика.  </t>
  </si>
  <si>
    <t>1790-2 Т</t>
  </si>
  <si>
    <t xml:space="preserve">Информационная компьютерная розетка внутренняя, соответствует категории 5Е и способна обеспечить передачу данных со скоростью 100 Мбит/с, 2 разъема (по 8 контактов) типа RJ-45, 2 модуля, степень защиты IP20, корпус из поликарбоната,
цвета слоновой кости, 70x70x35 мм 
</t>
  </si>
  <si>
    <t>61-1 У</t>
  </si>
  <si>
    <t>2282-1 Т</t>
  </si>
  <si>
    <t>11,15,22</t>
  </si>
  <si>
    <t>2283-1 Т</t>
  </si>
  <si>
    <t>2284-1 Т</t>
  </si>
  <si>
    <t>2285-1 Т</t>
  </si>
  <si>
    <t>2286-1 Т</t>
  </si>
  <si>
    <t>2290-1 Т</t>
  </si>
  <si>
    <t>2291-1 Т</t>
  </si>
  <si>
    <t>2292-1 Т</t>
  </si>
  <si>
    <t>2324 Т</t>
  </si>
  <si>
    <t>154-2 Т</t>
  </si>
  <si>
    <t>Кроп-фактор: APS-C, максимальное разрешение снимка: 6000x4000, класс матрицы: кропнутая, светосила (F-число): 3,5-5,6, фокусное расстояние (эквивалент 35-мм пленке): 18-135 мм, оптика в комплекте: один объектив, видоискатель, тип видоискателя: оптический, светочувствительность ISO: 100-25600, Auto, тип и размер матрицы: CMOS 22.3х14.9 мм, разрешение, Мпикс: 24.7, диагональ экрана, дюйм: 3 (7,6 см), сенсорный дисплей, диагональ дисплея, дюйм: 3, разрешение ЖК дисплея, мпикс: 1040000, ЖК-дисплей как видоискател, автоматическая фокусировка, ручная фокусировка, автоматическая регулировка баланса белого, ручная регулировка баланса белого, диапазон выдержки, сек: 30 - 1/4000, автоматический выбор чувствительности, ручная установка чувствительности, режимы видеосъемки: 1920х1080, система стабилизации изображения, тип носителя данных: SD, SDHC, SDXC, носитель данных в комплекте: одна SD-карта 8 Гб, тип аккумулятора: Li-lon (литий-ионный), вес без упаковки (нетто), кг: 0.5, цвет: черный, гарантия: 1 год</t>
  </si>
  <si>
    <t>6,7,11,19,20,21</t>
  </si>
  <si>
    <t>12,18,20,21</t>
  </si>
  <si>
    <t>Белые/бежевые летние туфли, не скользящая, закрытые с переди и сзади. верх: натуральная кожа, подкладка: бесподкладочные, подошва: ПУ, – мелкая перфорация.</t>
  </si>
  <si>
    <t>14.12.11.290.001.05.0839.000000000000</t>
  </si>
  <si>
    <t>для защиты от производственных загрязнений, мужской, из хлопчатобумажной ткани с химическими волокнами, состоит из куртки и полукомбинезона, летний, ГОСТ 27575-87</t>
  </si>
  <si>
    <t>6,11,15,22</t>
  </si>
  <si>
    <t>3,5,6,11,15,22</t>
  </si>
  <si>
    <t>2214-2 Т</t>
  </si>
  <si>
    <t>август-сентябрь, ноябрь-декабрь</t>
  </si>
  <si>
    <t xml:space="preserve"> г.Астана, ул.Кунаева, д.8, "Изумрудный квартал", блок Б; г.Астана, пр.республики, 32</t>
  </si>
  <si>
    <t>11,12,18,20,21</t>
  </si>
  <si>
    <t>1005-2 Т</t>
  </si>
  <si>
    <t>г.Астана, ул.Ауэзова, д.18; г.Астана, пр.Республики, 32</t>
  </si>
  <si>
    <t>1007-2 Т</t>
  </si>
  <si>
    <t>1014-2 Т</t>
  </si>
  <si>
    <t>1019-2 Т</t>
  </si>
  <si>
    <t>1024-1 Т</t>
  </si>
  <si>
    <t>1024-2 Т</t>
  </si>
  <si>
    <t>1026-2 Т</t>
  </si>
  <si>
    <t>1033-2 Т</t>
  </si>
  <si>
    <t>1040-2 Т</t>
  </si>
  <si>
    <t>г.Астана, ул.Ауэзова, д.18; 
г.Астана, пр.Республики, 32</t>
  </si>
  <si>
    <t>1042-2 Т</t>
  </si>
  <si>
    <t>1043-2 Т</t>
  </si>
  <si>
    <t>1044-2 Т</t>
  </si>
  <si>
    <t>1045-2 Т</t>
  </si>
  <si>
    <t>1054-2 Т</t>
  </si>
  <si>
    <t>1059-2 Т</t>
  </si>
  <si>
    <t>1068-2 Т</t>
  </si>
  <si>
    <t>1069-2 Т</t>
  </si>
  <si>
    <t>1070-2 Т</t>
  </si>
  <si>
    <t>1072-2 Т</t>
  </si>
  <si>
    <t>1354-1 Т</t>
  </si>
  <si>
    <t>1357-2 Т</t>
  </si>
  <si>
    <t>1359-1 Т</t>
  </si>
  <si>
    <t>1415-1 Т</t>
  </si>
  <si>
    <t>1416-1 Т</t>
  </si>
  <si>
    <t>1421-1 Т</t>
  </si>
  <si>
    <t>апрель-май, ноябрь-декабрь</t>
  </si>
  <si>
    <t>апрель-май, июль-август, ноябрь-декабрь</t>
  </si>
  <si>
    <t>1549-2 Т</t>
  </si>
  <si>
    <t>1550-2 Т</t>
  </si>
  <si>
    <t>1551-2 Т</t>
  </si>
  <si>
    <t>1552-2 Т</t>
  </si>
  <si>
    <t>57 Р</t>
  </si>
  <si>
    <t>41.00.40.335.001.00.0999.000000000001</t>
  </si>
  <si>
    <t>Работы аварийно-восстановительные</t>
  </si>
  <si>
    <t>Комплекс мер по устранению последствий аварий в инженерных сетях (водопроводных/канализационных/тепловых и аналогичном оборудовании)</t>
  </si>
  <si>
    <t>Работы по устранению порыва на сетях водопровода d=100</t>
  </si>
  <si>
    <t>2325 Т</t>
  </si>
  <si>
    <t>32.99.59.900.010.00.0796.000000000000</t>
  </si>
  <si>
    <t>Флагшток</t>
  </si>
  <si>
    <t>покраска полимерная 100%, высота не менее 12 м, диаметр труб не менее 80-76-45 мм, толщина стенки не менее 3 мм</t>
  </si>
  <si>
    <t>58 Р</t>
  </si>
  <si>
    <t>33.13.19.900.003.00.0999.000000000000</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</si>
  <si>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</si>
  <si>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</si>
  <si>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пр. Кабанбай батыра, 19</t>
  </si>
  <si>
    <t>Замена подсветки здания и прожекторов</t>
  </si>
  <si>
    <t>2326 Т</t>
  </si>
  <si>
    <t>2327 Т</t>
  </si>
  <si>
    <t>2328 Т</t>
  </si>
  <si>
    <t>27.51.26.900.001.00.0796.000000000003</t>
  </si>
  <si>
    <t>электрический, мощность 9,0 кВт</t>
  </si>
  <si>
    <t>26.51.53.100.004.00.0796.000000000003</t>
  </si>
  <si>
    <t>Газоанализатор</t>
  </si>
  <si>
    <t>для определения содержания углекислого газа</t>
  </si>
  <si>
    <t>1013-2 Т</t>
  </si>
  <si>
    <t>1018-2 Т</t>
  </si>
  <si>
    <t>1021-2 Т</t>
  </si>
  <si>
    <t>1022-2 Т</t>
  </si>
  <si>
    <t>1056-2 Т</t>
  </si>
  <si>
    <t>1060-2 Т</t>
  </si>
  <si>
    <t>1307-1 Т</t>
  </si>
  <si>
    <t>1308-1 Т</t>
  </si>
  <si>
    <t>1317-1 Т</t>
  </si>
  <si>
    <t>1320-1 Т</t>
  </si>
  <si>
    <t>1324-2 Т</t>
  </si>
  <si>
    <t>1326-1 Т</t>
  </si>
  <si>
    <t>1328-1 Т</t>
  </si>
  <si>
    <t>1329-1 Т</t>
  </si>
  <si>
    <t>1330-1 Т</t>
  </si>
  <si>
    <t>1335-1 Т</t>
  </si>
  <si>
    <t>1344-2 Т</t>
  </si>
  <si>
    <t>1418-1 Т</t>
  </si>
  <si>
    <t>1422-1 Т</t>
  </si>
  <si>
    <t>7,11,12, 19,20,21</t>
  </si>
  <si>
    <t>28.13.14.900.002.02.0796.000000000025</t>
  </si>
  <si>
    <t>центробежный, тип СМС (сточно-массный), фекальный, горизонтальный, консольный, одноступенчатый с открытым колесом свободно-вихревого типа</t>
  </si>
  <si>
    <t>анализатор СО/СО2 в окружающей среде</t>
  </si>
  <si>
    <t>дренажный насос для откачки сточных вод</t>
  </si>
  <si>
    <t>7 кВт</t>
  </si>
  <si>
    <t>Костюм из удлиненного блузона и классических прямых брюк.  Ткань смесовая: хлопок 65%, полиэстер 35%., пл.130 гр/м2. Цвет: морской волны с жёлтым кантом .Перед пошивом произвести замеры персонала индивидуально.</t>
  </si>
  <si>
    <t>Костюм из куртки и полукомбинезона с накладными карманами. Ткань смесовая, полиэстер-35%, хлопок 65%, плотность 245 г/м2. Цвет темно-синий, отделка – серый. С фирменным логотипом Заказчика и на груди с левой стороны бейдж. Перед пошивом произвести замеры персонала индивидуально.</t>
  </si>
  <si>
    <t>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t>
  </si>
  <si>
    <t xml:space="preserve">Летние мужские полуботинки. Универсальная модель. Полностью выполненные из плотной натуральной кожи с защитными пропитками. Носочная часть полуботинок должна быть округленной. Цвет черный. </t>
  </si>
  <si>
    <t>Костюм летний: куртка и брюки. Ткань: смесовая (35% полиэстер, 65% хлопок), плотность 245г/м2. Перед пошивом произвести замеры персонала индивидуально.</t>
  </si>
  <si>
    <t>2329 Т</t>
  </si>
  <si>
    <t>2330 Т</t>
  </si>
  <si>
    <t>22.23.14.700.020.00.0796.000000000000</t>
  </si>
  <si>
    <t>для жалюзи</t>
  </si>
  <si>
    <t>стеновые кронштейны для крепления вертикальных жалюзи</t>
  </si>
  <si>
    <t>потолочныее кронштейны для крепления вертикальных жалюзи</t>
  </si>
  <si>
    <t>С изменениями и дополнениями от 22.11.2016 года №484</t>
  </si>
  <si>
    <t>С изменениями и дополнениями от 11.11.2016 года №465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</si>
</sst>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р_._-;\-* #,##0.00_р_._-;_-* &quot;-&quot;??_р_._-;_-@_-"/>
    <numFmt numFmtId="165" formatCode="_(* #,##0.00_);_(* \(#,##0.00\);_(* &quot;-&quot;??_);_(@_)"/>
  </numFmts>
  <fonts count="26" x14ac:knownFonts="1">
    <font>
      <sz val="11"/>
      <color indexed="8"/>
      <name val="Calibri"/>
      <family val="2"/>
      <scheme val="minor"/>
    </font>
    <font>
      <sz val="11"/>
      <color theme="1"/>
      <name val="Calibri"/>
      <family val="2"/>
      <charset val="204"/>
      <scheme val="minor"/>
    </font>
    <font>
      <sz val="10"/>
      <color indexed="8"/>
      <name val="Times New Roman"/>
      <family val="1"/>
      <charset val="204"/>
    </font>
    <font>
      <b/>
      <sz val="10"/>
      <color indexed="8"/>
      <name val="Times New Roman"/>
      <family val="1"/>
      <charset val="204"/>
    </font>
    <font>
      <sz val="12"/>
      <color indexed="8"/>
      <name val="Times New Roman"/>
      <family val="1"/>
      <charset val="204"/>
    </font>
    <font>
      <sz val="11"/>
      <color indexed="8"/>
      <name val="Times New Roman"/>
      <family val="1"/>
      <charset val="204"/>
    </font>
    <font>
      <b/>
      <i/>
      <sz val="10"/>
      <color indexed="8"/>
      <name val="Times New Roman"/>
      <family val="1"/>
      <charset val="204"/>
    </font>
    <font>
      <b/>
      <sz val="11"/>
      <color indexed="10"/>
      <name val="Times New Roman"/>
      <family val="1"/>
      <charset val="204"/>
    </font>
    <font>
      <b/>
      <sz val="12"/>
      <color indexed="8"/>
      <name val="Times New Roman"/>
      <family val="1"/>
      <charset val="204"/>
    </font>
    <font>
      <b/>
      <sz val="11"/>
      <color indexed="16"/>
      <name val="Times New Roman"/>
      <family val="1"/>
      <charset val="204"/>
    </font>
    <font>
      <b/>
      <sz val="11"/>
      <color indexed="8"/>
      <name val="Times New Roman"/>
      <family val="1"/>
      <charset val="204"/>
    </font>
    <font>
      <u/>
      <sz val="12"/>
      <color indexed="8"/>
      <name val="Times New Roman"/>
      <family val="1"/>
      <charset val="204"/>
    </font>
    <font>
      <b/>
      <u/>
      <sz val="12"/>
      <color indexed="8"/>
      <name val="Times New Roman"/>
      <family val="1"/>
      <charset val="204"/>
    </font>
    <font>
      <sz val="11"/>
      <color indexed="8"/>
      <name val="Calibri"/>
      <family val="2"/>
      <scheme val="minor"/>
    </font>
    <font>
      <sz val="10"/>
      <name val="Arial Cyr"/>
      <charset val="204"/>
    </font>
    <font>
      <sz val="10"/>
      <name val="Times New Roman"/>
      <family val="1"/>
      <charset val="204"/>
    </font>
    <font>
      <sz val="10"/>
      <name val="Arial"/>
      <family val="2"/>
      <charset val="204"/>
    </font>
    <font>
      <b/>
      <sz val="9"/>
      <color indexed="81"/>
      <name val="Tahoma"/>
      <family val="2"/>
      <charset val="204"/>
    </font>
    <font>
      <sz val="10"/>
      <color theme="1"/>
      <name val="Times New Roman"/>
      <family val="1"/>
      <charset val="204"/>
    </font>
    <font>
      <sz val="7.3"/>
      <name val="Times New Roman"/>
      <family val="1"/>
      <charset val="204"/>
    </font>
    <font>
      <sz val="10"/>
      <color rgb="FFFF0000"/>
      <name val="Times New Roman"/>
      <family val="1"/>
      <charset val="204"/>
    </font>
    <font>
      <b/>
      <sz val="10"/>
      <name val="Times New Roman"/>
      <family val="1"/>
      <charset val="204"/>
    </font>
    <font>
      <sz val="11"/>
      <color theme="1"/>
      <name val="Calibri"/>
      <family val="2"/>
      <scheme val="minor"/>
    </font>
    <font>
      <sz val="8"/>
      <name val="Arial"/>
      <family val="2"/>
    </font>
    <font>
      <i/>
      <sz val="10"/>
      <color indexed="8"/>
      <name val="Times New Roman"/>
      <family val="1"/>
      <charset val="204"/>
    </font>
    <font>
      <sz val="11"/>
      <color indexed="16"/>
      <name val="Times New Roman"/>
      <family val="1"/>
      <charset val="204"/>
    </font>
  </fonts>
  <fills count="3">
    <fill>
      <patternFill patternType="none"/>
    </fill>
    <fill>
      <patternFill patternType="gray125"/>
    </fill>
    <fill>
      <patternFill patternType="none">
        <bgColor indexed="64"/>
      </patternFill>
    </fill>
  </fills>
  <borders count="25">
    <border>
      <left/>
      <right/>
      <top/>
      <bottom/>
      <diagonal/>
    </border>
    <border>
      <left/>
      <right/>
      <top/>
      <bottom/>
      <diagonal/>
    </border>
    <border>
      <left/>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164" fontId="13" fillId="0" borderId="0" applyFont="0" applyFill="0" applyBorder="0" applyAlignment="0" applyProtection="0"/>
    <xf numFmtId="0" fontId="14" fillId="2" borderId="1"/>
    <xf numFmtId="0" fontId="16" fillId="2" borderId="1"/>
    <xf numFmtId="165" fontId="16" fillId="2" borderId="1" applyFont="0" applyFill="0" applyBorder="0" applyAlignment="0" applyProtection="0"/>
    <xf numFmtId="0" fontId="1" fillId="2" borderId="1"/>
    <xf numFmtId="0" fontId="22" fillId="2" borderId="1"/>
    <xf numFmtId="164" fontId="13" fillId="2" borderId="1" applyFont="0" applyFill="0" applyBorder="0" applyAlignment="0" applyProtection="0"/>
    <xf numFmtId="0" fontId="23" fillId="2" borderId="1"/>
    <xf numFmtId="0" fontId="13" fillId="2" borderId="1"/>
    <xf numFmtId="0" fontId="14" fillId="2" borderId="1"/>
  </cellStyleXfs>
  <cellXfs count="135">
    <xf numFmtId="0" fontId="0" fillId="0" borderId="0" xfId="0"/>
    <xf numFmtId="0" fontId="2" fillId="0" borderId="1" xfId="0" applyNumberFormat="1" applyFont="1" applyFill="1" applyBorder="1" applyAlignment="1">
      <alignment vertical="center"/>
    </xf>
    <xf numFmtId="0" fontId="15" fillId="0" borderId="5" xfId="2" applyFont="1" applyFill="1" applyBorder="1" applyAlignment="1">
      <alignment horizontal="center" vertical="center"/>
    </xf>
    <xf numFmtId="3" fontId="15" fillId="0" borderId="5" xfId="0" applyNumberFormat="1" applyFont="1" applyFill="1" applyBorder="1" applyAlignment="1">
      <alignment horizontal="center" vertical="center" wrapText="1"/>
    </xf>
    <xf numFmtId="9" fontId="15" fillId="0" borderId="5" xfId="2" applyNumberFormat="1" applyFont="1" applyFill="1" applyBorder="1" applyAlignment="1">
      <alignment horizontal="center" vertical="center"/>
    </xf>
    <xf numFmtId="0" fontId="15" fillId="0" borderId="5" xfId="2"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164" fontId="15" fillId="0" borderId="5" xfId="1" applyFont="1" applyFill="1" applyBorder="1" applyAlignment="1">
      <alignment horizontal="center" vertical="center" wrapText="1"/>
    </xf>
    <xf numFmtId="0" fontId="15" fillId="0" borderId="5" xfId="2" applyFont="1" applyFill="1" applyBorder="1" applyAlignment="1">
      <alignment vertical="center"/>
    </xf>
    <xf numFmtId="0" fontId="15" fillId="0" borderId="1" xfId="2" applyFont="1" applyFill="1" applyBorder="1" applyAlignment="1">
      <alignment vertical="center"/>
    </xf>
    <xf numFmtId="0" fontId="15" fillId="0" borderId="1" xfId="2" applyFont="1" applyFill="1" applyBorder="1" applyAlignment="1">
      <alignment horizontal="center" vertical="center"/>
    </xf>
    <xf numFmtId="0" fontId="15" fillId="0" borderId="5" xfId="0" applyNumberFormat="1" applyFont="1" applyFill="1" applyBorder="1" applyAlignment="1">
      <alignment horizontal="center" vertical="center" wrapText="1"/>
    </xf>
    <xf numFmtId="164" fontId="15" fillId="0" borderId="5" xfId="1" applyFont="1" applyFill="1" applyBorder="1" applyAlignment="1">
      <alignment horizontal="center" vertical="center"/>
    </xf>
    <xf numFmtId="49" fontId="15" fillId="0" borderId="5"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165" fontId="15" fillId="0" borderId="5" xfId="4" applyFont="1" applyFill="1" applyBorder="1" applyAlignment="1">
      <alignment horizontal="center" vertical="center" wrapText="1"/>
    </xf>
    <xf numFmtId="165" fontId="15" fillId="0" borderId="5" xfId="4" applyFont="1" applyFill="1" applyBorder="1" applyAlignment="1">
      <alignment horizontal="center" vertical="center"/>
    </xf>
    <xf numFmtId="1" fontId="15" fillId="0" borderId="5" xfId="0" applyNumberFormat="1"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9" fontId="15" fillId="0" borderId="5" xfId="0" applyNumberFormat="1" applyFont="1" applyFill="1" applyBorder="1" applyAlignment="1">
      <alignment horizontal="center" vertical="center" wrapText="1"/>
    </xf>
    <xf numFmtId="0" fontId="2" fillId="0" borderId="1" xfId="0" applyNumberFormat="1" applyFont="1" applyFill="1" applyBorder="1"/>
    <xf numFmtId="0" fontId="0" fillId="0" borderId="0" xfId="0" applyFill="1"/>
    <xf numFmtId="0" fontId="15" fillId="0" borderId="1" xfId="2" applyFont="1" applyFill="1" applyBorder="1" applyAlignment="1">
      <alignment horizontal="center"/>
    </xf>
    <xf numFmtId="0" fontId="2" fillId="0" borderId="1" xfId="0" applyNumberFormat="1" applyFont="1" applyFill="1" applyBorder="1" applyAlignment="1"/>
    <xf numFmtId="0" fontId="15" fillId="0" borderId="1" xfId="2" applyFont="1" applyFill="1" applyBorder="1" applyAlignment="1">
      <alignment horizontal="center" wrapText="1"/>
    </xf>
    <xf numFmtId="9" fontId="15" fillId="0" borderId="5" xfId="2" applyNumberFormat="1" applyFont="1" applyFill="1" applyBorder="1" applyAlignment="1">
      <alignment horizontal="center" vertical="center" wrapText="1"/>
    </xf>
    <xf numFmtId="0" fontId="15" fillId="0" borderId="1" xfId="2" applyFont="1" applyFill="1" applyBorder="1" applyAlignment="1">
      <alignment horizontal="center" vertical="center" wrapText="1"/>
    </xf>
    <xf numFmtId="3" fontId="15" fillId="0" borderId="1" xfId="0" applyNumberFormat="1" applyFont="1" applyFill="1" applyBorder="1" applyAlignment="1">
      <alignment horizontal="center" wrapText="1"/>
    </xf>
    <xf numFmtId="1" fontId="15" fillId="0" borderId="5" xfId="0" applyNumberFormat="1" applyFont="1" applyFill="1" applyBorder="1" applyAlignment="1">
      <alignment horizontal="center" vertical="center"/>
    </xf>
    <xf numFmtId="49" fontId="15" fillId="0" borderId="5" xfId="2" applyNumberFormat="1" applyFont="1" applyFill="1" applyBorder="1" applyAlignment="1">
      <alignment horizontal="center" vertical="center"/>
    </xf>
    <xf numFmtId="0" fontId="15" fillId="0" borderId="1" xfId="2" applyFont="1" applyFill="1" applyBorder="1" applyAlignment="1"/>
    <xf numFmtId="1" fontId="15" fillId="0" borderId="1" xfId="0" applyNumberFormat="1" applyFont="1" applyFill="1" applyBorder="1" applyAlignment="1">
      <alignment horizont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wrapText="1"/>
    </xf>
    <xf numFmtId="0" fontId="15" fillId="0" borderId="1" xfId="0" applyFont="1" applyFill="1" applyBorder="1" applyAlignment="1">
      <alignment horizontal="center" vertical="center" wrapText="1"/>
    </xf>
    <xf numFmtId="49" fontId="15" fillId="0" borderId="5" xfId="0" applyNumberFormat="1" applyFont="1" applyFill="1" applyBorder="1" applyAlignment="1">
      <alignment horizontal="center" vertical="center" wrapText="1"/>
    </xf>
    <xf numFmtId="0" fontId="21" fillId="0" borderId="1" xfId="2" applyFont="1" applyFill="1" applyBorder="1" applyAlignment="1"/>
    <xf numFmtId="3" fontId="15" fillId="0" borderId="5" xfId="3" applyNumberFormat="1" applyFont="1" applyFill="1" applyBorder="1" applyAlignment="1">
      <alignment horizontal="center" vertical="center" wrapText="1"/>
    </xf>
    <xf numFmtId="164" fontId="15" fillId="0" borderId="1" xfId="1" applyFont="1" applyFill="1" applyBorder="1" applyAlignment="1">
      <alignment horizontal="center" vertical="center" wrapText="1"/>
    </xf>
    <xf numFmtId="3" fontId="15" fillId="0" borderId="23" xfId="0" applyNumberFormat="1"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3" xfId="2" applyFont="1" applyFill="1" applyBorder="1" applyAlignment="1">
      <alignment horizontal="center" vertical="center" wrapText="1"/>
    </xf>
    <xf numFmtId="0" fontId="15" fillId="0" borderId="23" xfId="0" applyFont="1" applyFill="1" applyBorder="1" applyAlignment="1" applyProtection="1">
      <alignment horizontal="center" vertical="center" wrapText="1"/>
      <protection locked="0"/>
    </xf>
    <xf numFmtId="49" fontId="15" fillId="0" borderId="23" xfId="0" applyNumberFormat="1" applyFont="1" applyFill="1" applyBorder="1" applyAlignment="1" applyProtection="1">
      <alignment horizontal="center" vertical="center" wrapText="1"/>
      <protection locked="0"/>
    </xf>
    <xf numFmtId="164" fontId="15" fillId="0" borderId="23" xfId="1" applyFont="1" applyFill="1" applyBorder="1" applyAlignment="1">
      <alignment horizontal="center" vertical="center" wrapText="1"/>
    </xf>
    <xf numFmtId="0" fontId="15" fillId="0" borderId="23" xfId="2" applyFont="1" applyFill="1" applyBorder="1" applyAlignment="1">
      <alignment horizontal="center" vertical="center"/>
    </xf>
    <xf numFmtId="0" fontId="15" fillId="0" borderId="23"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2" applyFont="1" applyFill="1" applyBorder="1" applyAlignment="1">
      <alignment horizontal="center" vertical="center"/>
    </xf>
    <xf numFmtId="3" fontId="15" fillId="0" borderId="4" xfId="0" applyNumberFormat="1" applyFont="1" applyFill="1" applyBorder="1" applyAlignment="1">
      <alignment horizontal="center" vertical="center" wrapText="1"/>
    </xf>
    <xf numFmtId="164" fontId="15" fillId="0" borderId="4" xfId="1" applyFont="1" applyFill="1" applyBorder="1" applyAlignment="1">
      <alignment horizontal="center" vertical="center" wrapText="1"/>
    </xf>
    <xf numFmtId="0" fontId="15" fillId="0" borderId="4" xfId="0" applyFont="1" applyFill="1" applyBorder="1" applyAlignment="1" applyProtection="1">
      <alignment horizontal="center" vertical="center" wrapText="1"/>
      <protection locked="0"/>
    </xf>
    <xf numFmtId="0" fontId="15" fillId="0" borderId="4" xfId="2" applyFont="1" applyFill="1" applyBorder="1" applyAlignment="1">
      <alignment horizontal="center" vertical="center" wrapText="1"/>
    </xf>
    <xf numFmtId="1" fontId="15" fillId="0" borderId="4" xfId="0" applyNumberFormat="1" applyFont="1" applyFill="1" applyBorder="1" applyAlignment="1">
      <alignment horizontal="center" vertical="center" wrapText="1"/>
    </xf>
    <xf numFmtId="49" fontId="15" fillId="0" borderId="4"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lignment horizontal="center"/>
    </xf>
    <xf numFmtId="0" fontId="15" fillId="0" borderId="5" xfId="2" applyFont="1" applyFill="1" applyBorder="1" applyAlignment="1">
      <alignment horizontal="center"/>
    </xf>
    <xf numFmtId="0" fontId="15" fillId="0" borderId="1" xfId="0" applyNumberFormat="1" applyFont="1" applyFill="1" applyBorder="1" applyAlignment="1">
      <alignment horizontal="center" vertical="center"/>
    </xf>
    <xf numFmtId="1" fontId="20" fillId="0" borderId="5" xfId="0" applyNumberFormat="1" applyFont="1" applyFill="1" applyBorder="1" applyAlignment="1">
      <alignment horizontal="center" vertical="center" wrapText="1"/>
    </xf>
    <xf numFmtId="9" fontId="15" fillId="0" borderId="23" xfId="2" applyNumberFormat="1" applyFont="1" applyFill="1" applyBorder="1" applyAlignment="1">
      <alignment horizontal="center" vertical="center"/>
    </xf>
    <xf numFmtId="9" fontId="15" fillId="0" borderId="4" xfId="2" applyNumberFormat="1" applyFont="1" applyFill="1" applyBorder="1" applyAlignment="1">
      <alignment horizontal="center" vertical="center"/>
    </xf>
    <xf numFmtId="49" fontId="15" fillId="0" borderId="5" xfId="2" applyNumberFormat="1" applyFont="1" applyFill="1" applyBorder="1" applyAlignment="1">
      <alignment horizontal="center" wrapText="1"/>
    </xf>
    <xf numFmtId="164" fontId="18" fillId="0" borderId="5" xfId="1" applyFont="1" applyFill="1" applyBorder="1" applyAlignment="1">
      <alignment horizontal="center" vertical="center" wrapText="1"/>
    </xf>
    <xf numFmtId="0" fontId="15" fillId="0" borderId="5" xfId="0" applyFont="1" applyFill="1" applyBorder="1" applyAlignment="1">
      <alignment horizontal="left" vertical="center" wrapText="1"/>
    </xf>
    <xf numFmtId="2" fontId="15" fillId="0" borderId="5" xfId="4" applyNumberFormat="1" applyFont="1" applyFill="1" applyBorder="1" applyAlignment="1">
      <alignment horizontal="center" vertical="center"/>
    </xf>
    <xf numFmtId="1" fontId="15" fillId="0" borderId="5" xfId="2" applyNumberFormat="1" applyFont="1" applyFill="1" applyBorder="1" applyAlignment="1">
      <alignment horizontal="left" vertical="center"/>
    </xf>
    <xf numFmtId="165" fontId="18" fillId="0" borderId="5" xfId="4" applyFont="1" applyFill="1" applyBorder="1" applyAlignment="1">
      <alignment horizontal="center" vertical="center" wrapText="1"/>
    </xf>
    <xf numFmtId="0" fontId="2" fillId="0" borderId="12" xfId="0" applyNumberFormat="1" applyFont="1" applyFill="1" applyBorder="1"/>
    <xf numFmtId="1" fontId="15" fillId="0" borderId="23" xfId="0" applyNumberFormat="1" applyFont="1" applyFill="1" applyBorder="1" applyAlignment="1">
      <alignment horizontal="center" vertical="center" wrapText="1"/>
    </xf>
    <xf numFmtId="165" fontId="15" fillId="0" borderId="12" xfId="4" applyFont="1" applyFill="1" applyBorder="1" applyAlignment="1">
      <alignment horizontal="center" vertical="center"/>
    </xf>
    <xf numFmtId="0" fontId="15" fillId="0" borderId="12" xfId="2" applyFont="1" applyFill="1" applyBorder="1" applyAlignment="1">
      <alignment horizontal="center" vertical="center"/>
    </xf>
    <xf numFmtId="164" fontId="15" fillId="0" borderId="12" xfId="1" applyFont="1" applyFill="1" applyBorder="1" applyAlignment="1">
      <alignment horizontal="center" vertical="center"/>
    </xf>
    <xf numFmtId="3" fontId="15" fillId="0" borderId="12" xfId="0" applyNumberFormat="1" applyFont="1" applyFill="1" applyBorder="1" applyAlignment="1">
      <alignment horizontal="center" vertical="center" wrapText="1"/>
    </xf>
    <xf numFmtId="164" fontId="15" fillId="0" borderId="5" xfId="7"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vertical="center"/>
    </xf>
    <xf numFmtId="0" fontId="3" fillId="0" borderId="1" xfId="0" applyNumberFormat="1" applyFont="1" applyFill="1" applyBorder="1" applyAlignment="1">
      <alignment horizontal="left" vertical="center"/>
    </xf>
    <xf numFmtId="0" fontId="5"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5" fillId="0" borderId="0" xfId="0" applyFont="1" applyFill="1" applyAlignment="1">
      <alignment vertical="center"/>
    </xf>
    <xf numFmtId="0" fontId="4" fillId="0" borderId="6" xfId="0" applyNumberFormat="1" applyFont="1" applyFill="1" applyBorder="1" applyAlignment="1">
      <alignment horizontal="left" vertical="center"/>
    </xf>
    <xf numFmtId="0" fontId="5" fillId="0" borderId="7" xfId="0" applyNumberFormat="1" applyFont="1" applyFill="1" applyBorder="1" applyAlignment="1">
      <alignment horizontal="left" vertical="center"/>
    </xf>
    <xf numFmtId="0" fontId="5" fillId="0" borderId="8" xfId="0" applyNumberFormat="1" applyFont="1" applyFill="1" applyBorder="1" applyAlignment="1">
      <alignment horizontal="left" vertical="center"/>
    </xf>
    <xf numFmtId="0" fontId="3" fillId="0" borderId="16" xfId="0" applyNumberFormat="1" applyFont="1" applyFill="1" applyBorder="1" applyAlignment="1">
      <alignment horizontal="center" vertical="center" wrapText="1"/>
    </xf>
    <xf numFmtId="0" fontId="3" fillId="0" borderId="17"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24" fillId="0" borderId="10" xfId="0" applyNumberFormat="1" applyFont="1" applyFill="1" applyBorder="1" applyAlignment="1">
      <alignment horizontal="center" vertical="center" wrapText="1"/>
    </xf>
    <xf numFmtId="0" fontId="3" fillId="0" borderId="3" xfId="0" applyNumberFormat="1" applyFont="1" applyFill="1" applyBorder="1" applyAlignment="1">
      <alignment vertical="center"/>
    </xf>
    <xf numFmtId="0" fontId="3" fillId="0" borderId="2" xfId="0" applyNumberFormat="1" applyFont="1" applyFill="1" applyBorder="1" applyAlignment="1">
      <alignment vertical="center"/>
    </xf>
    <xf numFmtId="0" fontId="2" fillId="0" borderId="2" xfId="0" applyNumberFormat="1" applyFont="1" applyFill="1" applyBorder="1" applyAlignment="1">
      <alignment vertical="center"/>
    </xf>
    <xf numFmtId="0" fontId="3" fillId="0" borderId="11" xfId="0" applyNumberFormat="1" applyFont="1" applyFill="1" applyBorder="1" applyAlignment="1">
      <alignment vertical="center"/>
    </xf>
    <xf numFmtId="0" fontId="2" fillId="0" borderId="4" xfId="0" applyNumberFormat="1" applyFont="1" applyFill="1" applyBorder="1" applyAlignment="1">
      <alignment vertical="center"/>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vertical="center"/>
    </xf>
    <xf numFmtId="0" fontId="2" fillId="0" borderId="23" xfId="0" applyNumberFormat="1" applyFont="1" applyFill="1" applyBorder="1" applyAlignment="1">
      <alignment vertical="center"/>
    </xf>
    <xf numFmtId="0" fontId="5" fillId="0" borderId="1" xfId="0" applyFont="1" applyFill="1" applyBorder="1" applyAlignment="1">
      <alignment vertical="center"/>
    </xf>
    <xf numFmtId="0" fontId="2" fillId="0" borderId="3" xfId="0" applyNumberFormat="1" applyFont="1" applyFill="1" applyBorder="1" applyAlignment="1">
      <alignment vertical="center"/>
    </xf>
    <xf numFmtId="0" fontId="2" fillId="0" borderId="12" xfId="0" applyNumberFormat="1" applyFont="1" applyFill="1" applyBorder="1" applyAlignment="1">
      <alignment vertical="center"/>
    </xf>
    <xf numFmtId="0" fontId="3" fillId="0" borderId="12" xfId="0" applyNumberFormat="1" applyFont="1" applyFill="1" applyBorder="1" applyAlignment="1">
      <alignment vertical="center"/>
    </xf>
    <xf numFmtId="0" fontId="3" fillId="0" borderId="13" xfId="0" applyNumberFormat="1" applyFont="1" applyFill="1" applyBorder="1" applyAlignment="1">
      <alignment vertical="center"/>
    </xf>
    <xf numFmtId="0" fontId="3" fillId="0" borderId="14" xfId="0" applyNumberFormat="1" applyFont="1" applyFill="1" applyBorder="1" applyAlignment="1">
      <alignment vertical="center"/>
    </xf>
    <xf numFmtId="164" fontId="3" fillId="0" borderId="5" xfId="0" applyNumberFormat="1" applyFont="1" applyFill="1" applyBorder="1" applyAlignment="1">
      <alignment horizontal="left" vertical="center"/>
    </xf>
    <xf numFmtId="0" fontId="2" fillId="0" borderId="12" xfId="0" applyNumberFormat="1" applyFont="1" applyFill="1" applyBorder="1" applyAlignment="1">
      <alignment horizontal="center" vertical="center"/>
    </xf>
    <xf numFmtId="164" fontId="3" fillId="0" borderId="12" xfId="0" applyNumberFormat="1" applyFont="1" applyFill="1" applyBorder="1" applyAlignment="1">
      <alignment horizontal="left" vertical="center"/>
    </xf>
    <xf numFmtId="0" fontId="3" fillId="0" borderId="5"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2" fillId="0" borderId="15" xfId="0" applyNumberFormat="1" applyFont="1" applyFill="1" applyBorder="1" applyAlignment="1">
      <alignment vertical="center"/>
    </xf>
    <xf numFmtId="0" fontId="2" fillId="0" borderId="15" xfId="0" applyNumberFormat="1" applyFont="1" applyFill="1" applyBorder="1" applyAlignment="1">
      <alignment horizontal="center" vertical="center"/>
    </xf>
    <xf numFmtId="0" fontId="4" fillId="0" borderId="1" xfId="0" applyNumberFormat="1" applyFont="1" applyFill="1" applyBorder="1" applyAlignment="1">
      <alignment vertical="center"/>
    </xf>
    <xf numFmtId="0" fontId="7" fillId="0" borderId="1" xfId="0" applyNumberFormat="1" applyFont="1" applyFill="1" applyBorder="1" applyAlignment="1">
      <alignment vertical="center"/>
    </xf>
    <xf numFmtId="0" fontId="5" fillId="0" borderId="1" xfId="0" applyNumberFormat="1" applyFont="1" applyFill="1" applyBorder="1" applyAlignment="1">
      <alignment vertical="center"/>
    </xf>
    <xf numFmtId="0" fontId="8" fillId="0" borderId="1" xfId="0" applyNumberFormat="1" applyFont="1" applyFill="1" applyBorder="1" applyAlignment="1">
      <alignment vertical="center"/>
    </xf>
    <xf numFmtId="0" fontId="9" fillId="0" borderId="1" xfId="0" applyNumberFormat="1" applyFont="1" applyFill="1" applyBorder="1" applyAlignment="1">
      <alignment vertical="center"/>
    </xf>
    <xf numFmtId="0" fontId="25" fillId="0" borderId="1" xfId="0" applyNumberFormat="1" applyFont="1" applyFill="1" applyBorder="1" applyAlignment="1">
      <alignment vertical="center"/>
    </xf>
    <xf numFmtId="0" fontId="11" fillId="0" borderId="1" xfId="0" applyNumberFormat="1" applyFont="1" applyFill="1" applyBorder="1" applyAlignment="1">
      <alignment horizontal="left"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vertical="center" wrapText="1"/>
    </xf>
    <xf numFmtId="0" fontId="12" fillId="0" borderId="1" xfId="0" applyNumberFormat="1" applyFont="1" applyFill="1" applyBorder="1" applyAlignment="1">
      <alignment vertical="center"/>
    </xf>
    <xf numFmtId="0" fontId="11" fillId="0" borderId="1" xfId="0" applyNumberFormat="1" applyFont="1" applyFill="1" applyBorder="1" applyAlignment="1">
      <alignment vertical="center"/>
    </xf>
    <xf numFmtId="49" fontId="4" fillId="0" borderId="1" xfId="0" applyNumberFormat="1" applyFont="1" applyFill="1" applyBorder="1" applyAlignment="1">
      <alignment vertical="center"/>
    </xf>
    <xf numFmtId="0" fontId="4" fillId="0" borderId="1" xfId="0" applyNumberFormat="1" applyFont="1" applyFill="1" applyBorder="1" applyAlignment="1">
      <alignment horizontal="justify" vertical="center" wrapText="1"/>
    </xf>
    <xf numFmtId="0" fontId="3" fillId="0" borderId="1" xfId="0" applyNumberFormat="1" applyFont="1" applyFill="1" applyBorder="1" applyAlignment="1">
      <alignment horizontal="center" vertical="center"/>
    </xf>
    <xf numFmtId="0" fontId="3" fillId="0" borderId="21" xfId="0" applyNumberFormat="1" applyFont="1" applyFill="1" applyBorder="1" applyAlignment="1">
      <alignment horizontal="right" vertical="center"/>
    </xf>
    <xf numFmtId="0" fontId="3" fillId="0" borderId="13" xfId="0" applyNumberFormat="1" applyFont="1" applyFill="1" applyBorder="1" applyAlignment="1">
      <alignment horizontal="right" vertical="center"/>
    </xf>
    <xf numFmtId="0" fontId="3" fillId="0" borderId="22" xfId="0" applyNumberFormat="1" applyFont="1" applyFill="1" applyBorder="1" applyAlignment="1">
      <alignment horizontal="right" vertical="center"/>
    </xf>
    <xf numFmtId="0" fontId="3" fillId="0" borderId="1" xfId="0" applyNumberFormat="1" applyFont="1" applyFill="1" applyBorder="1" applyAlignment="1">
      <alignment horizontal="center" vertical="center"/>
    </xf>
    <xf numFmtId="0" fontId="2" fillId="0" borderId="1" xfId="0" applyNumberFormat="1" applyFont="1" applyFill="1" applyBorder="1" applyAlignment="1">
      <alignment horizontal="left" vertical="center"/>
    </xf>
    <xf numFmtId="0" fontId="2" fillId="0" borderId="1" xfId="0" applyNumberFormat="1" applyFont="1" applyFill="1" applyBorder="1" applyAlignment="1">
      <alignment horizontal="right" vertical="center"/>
    </xf>
    <xf numFmtId="0" fontId="3" fillId="0" borderId="18" xfId="0" applyNumberFormat="1" applyFont="1" applyFill="1" applyBorder="1" applyAlignment="1">
      <alignment horizontal="right" vertical="center"/>
    </xf>
    <xf numFmtId="0" fontId="3" fillId="0" borderId="19" xfId="0" applyNumberFormat="1" applyFont="1" applyFill="1" applyBorder="1" applyAlignment="1">
      <alignment horizontal="right" vertical="center"/>
    </xf>
    <xf numFmtId="0" fontId="3" fillId="0" borderId="20" xfId="0" applyNumberFormat="1" applyFont="1" applyFill="1" applyBorder="1" applyAlignment="1">
      <alignment horizontal="right" vertical="center"/>
    </xf>
    <xf numFmtId="0" fontId="3" fillId="0" borderId="24" xfId="0" applyNumberFormat="1" applyFont="1" applyFill="1" applyBorder="1" applyAlignment="1">
      <alignment horizontal="center" vertical="center" wrapText="1"/>
    </xf>
  </cellXfs>
  <cellStyles count="11">
    <cellStyle name="Обычный" xfId="0" builtinId="0"/>
    <cellStyle name="Обычный 10 2 2" xfId="3"/>
    <cellStyle name="Обычный 2" xfId="2"/>
    <cellStyle name="Обычный 2 2" xfId="5"/>
    <cellStyle name="Обычный 2 2 2" xfId="10"/>
    <cellStyle name="Обычный 2 4" xfId="6"/>
    <cellStyle name="Обычный 5" xfId="8"/>
    <cellStyle name="Обычный 7" xfId="9"/>
    <cellStyle name="Финансовый" xfId="1" builtinId="3"/>
    <cellStyle name="Финансовый 2" xfId="7"/>
    <cellStyle name="Финансовый 2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GH3956"/>
  <sheetViews>
    <sheetView tabSelected="1" zoomScale="70" zoomScaleNormal="70" zoomScaleSheetLayoutView="70" workbookViewId="0">
      <selection activeCell="I33" sqref="I33"/>
    </sheetView>
  </sheetViews>
  <sheetFormatPr defaultRowHeight="15" outlineLevelRow="1" x14ac:dyDescent="0.25"/>
  <cols>
    <col min="1" max="1" width="6.42578125" style="16" customWidth="1"/>
    <col min="2" max="2" width="8.7109375" style="1" customWidth="1"/>
    <col min="3" max="3" width="14" style="1" customWidth="1"/>
    <col min="4" max="4" width="11.42578125" style="1" customWidth="1"/>
    <col min="5" max="5" width="18" style="1" customWidth="1"/>
    <col min="6" max="6" width="28.140625" style="1" customWidth="1"/>
    <col min="7" max="7" width="34.42578125" style="1" customWidth="1"/>
    <col min="8" max="9" width="9" style="1" customWidth="1"/>
    <col min="10" max="10" width="11.85546875" style="1" customWidth="1"/>
    <col min="11" max="11" width="14.5703125" style="1" customWidth="1"/>
    <col min="12" max="12" width="14.140625" style="1" customWidth="1"/>
    <col min="13" max="13" width="18.7109375" style="1" customWidth="1"/>
    <col min="14" max="14" width="7.5703125" style="1" customWidth="1"/>
    <col min="15" max="15" width="17.7109375" style="1" customWidth="1"/>
    <col min="16" max="16" width="19.42578125" style="1" customWidth="1"/>
    <col min="17" max="17" width="7.7109375" style="1" customWidth="1"/>
    <col min="18" max="18" width="10.85546875" style="1" customWidth="1"/>
    <col min="19" max="19" width="15.5703125" style="1" customWidth="1"/>
    <col min="20" max="20" width="16.5703125" style="1" customWidth="1"/>
    <col min="21" max="21" width="20.140625" style="1" customWidth="1"/>
    <col min="22" max="22" width="20.7109375" style="1" customWidth="1"/>
    <col min="23" max="23" width="10.7109375" style="1" customWidth="1"/>
    <col min="24" max="24" width="9.5703125" style="1" customWidth="1"/>
    <col min="25" max="25" width="13.85546875" style="1" customWidth="1"/>
    <col min="26" max="31" width="9.140625" style="1" customWidth="1"/>
    <col min="32" max="16384" width="9.140625" style="81"/>
  </cols>
  <sheetData>
    <row r="1" spans="2:25" ht="15.75" thickBot="1" x14ac:dyDescent="0.3">
      <c r="V1" s="124"/>
      <c r="W1" s="124"/>
      <c r="X1" s="16"/>
    </row>
    <row r="2" spans="2:25" ht="16.5" thickBot="1" x14ac:dyDescent="0.3">
      <c r="C2" s="82" t="s">
        <v>0</v>
      </c>
      <c r="D2" s="83"/>
      <c r="E2" s="83"/>
      <c r="F2" s="83"/>
      <c r="G2" s="83"/>
      <c r="H2" s="83"/>
      <c r="I2" s="83"/>
      <c r="J2" s="83"/>
      <c r="K2" s="83"/>
      <c r="L2" s="83"/>
      <c r="M2" s="83"/>
      <c r="N2" s="83"/>
      <c r="O2" s="83"/>
      <c r="P2" s="84"/>
      <c r="V2" s="77"/>
      <c r="W2" s="77"/>
    </row>
    <row r="3" spans="2:25" x14ac:dyDescent="0.25">
      <c r="O3" s="77"/>
      <c r="V3" s="77"/>
      <c r="W3" s="77"/>
    </row>
    <row r="4" spans="2:25" x14ac:dyDescent="0.25">
      <c r="B4" s="128" t="s">
        <v>7464</v>
      </c>
      <c r="C4" s="128"/>
      <c r="D4" s="128"/>
      <c r="E4" s="128"/>
      <c r="F4" s="128"/>
      <c r="G4" s="128"/>
      <c r="H4" s="128"/>
      <c r="I4" s="128"/>
      <c r="J4" s="128"/>
      <c r="K4" s="128"/>
      <c r="L4" s="128"/>
      <c r="M4" s="128"/>
      <c r="N4" s="128"/>
      <c r="O4" s="128"/>
      <c r="P4" s="128"/>
      <c r="Q4" s="128"/>
      <c r="R4" s="128"/>
      <c r="S4" s="128"/>
      <c r="T4" s="128"/>
      <c r="U4" s="128"/>
      <c r="V4" s="128"/>
      <c r="W4" s="128"/>
      <c r="X4" s="128"/>
      <c r="Y4" s="128"/>
    </row>
    <row r="5" spans="2:25" ht="15.75" thickBot="1" x14ac:dyDescent="0.3">
      <c r="B5" s="129"/>
      <c r="C5" s="129"/>
      <c r="D5" s="130" t="s">
        <v>1</v>
      </c>
      <c r="E5" s="130"/>
      <c r="F5" s="130"/>
      <c r="G5" s="130"/>
      <c r="H5" s="130"/>
      <c r="I5" s="130"/>
      <c r="J5" s="130"/>
      <c r="K5" s="130"/>
      <c r="L5" s="130"/>
      <c r="M5" s="130"/>
      <c r="N5" s="130"/>
      <c r="O5" s="130"/>
      <c r="P5" s="130"/>
      <c r="Q5" s="130"/>
      <c r="R5" s="130"/>
      <c r="S5" s="130"/>
      <c r="T5" s="130"/>
      <c r="U5" s="130"/>
      <c r="V5" s="130"/>
      <c r="W5" s="130"/>
      <c r="X5" s="130"/>
    </row>
    <row r="6" spans="2:25" x14ac:dyDescent="0.25">
      <c r="L6" s="77"/>
      <c r="M6" s="77"/>
      <c r="N6" s="77"/>
      <c r="O6" s="77"/>
      <c r="R6" s="77"/>
      <c r="S6" s="77"/>
      <c r="T6" s="131" t="s">
        <v>2013</v>
      </c>
      <c r="U6" s="132"/>
      <c r="V6" s="132"/>
      <c r="W6" s="132"/>
      <c r="X6" s="132"/>
      <c r="Y6" s="133"/>
    </row>
    <row r="7" spans="2:25" x14ac:dyDescent="0.25">
      <c r="L7" s="77"/>
      <c r="M7" s="77"/>
      <c r="N7" s="77"/>
      <c r="O7" s="77"/>
      <c r="R7" s="78"/>
      <c r="S7" s="78"/>
      <c r="T7" s="125" t="s">
        <v>2014</v>
      </c>
      <c r="U7" s="126"/>
      <c r="V7" s="126"/>
      <c r="W7" s="126"/>
      <c r="X7" s="126"/>
      <c r="Y7" s="127"/>
    </row>
    <row r="8" spans="2:25" x14ac:dyDescent="0.25">
      <c r="L8" s="77"/>
      <c r="M8" s="77"/>
      <c r="N8" s="77"/>
      <c r="O8" s="77"/>
      <c r="R8" s="78"/>
      <c r="S8" s="78"/>
      <c r="T8" s="125" t="s">
        <v>2028</v>
      </c>
      <c r="U8" s="126"/>
      <c r="V8" s="126"/>
      <c r="W8" s="126"/>
      <c r="X8" s="126"/>
      <c r="Y8" s="127"/>
    </row>
    <row r="9" spans="2:25" x14ac:dyDescent="0.25">
      <c r="L9" s="77"/>
      <c r="M9" s="77"/>
      <c r="N9" s="77"/>
      <c r="O9" s="77"/>
      <c r="R9" s="78"/>
      <c r="S9" s="78"/>
      <c r="T9" s="125" t="s">
        <v>2323</v>
      </c>
      <c r="U9" s="126"/>
      <c r="V9" s="126"/>
      <c r="W9" s="126"/>
      <c r="X9" s="126"/>
      <c r="Y9" s="127"/>
    </row>
    <row r="10" spans="2:25" x14ac:dyDescent="0.25">
      <c r="L10" s="77"/>
      <c r="M10" s="77"/>
      <c r="N10" s="77"/>
      <c r="O10" s="77"/>
      <c r="R10" s="78"/>
      <c r="S10" s="78"/>
      <c r="T10" s="125" t="s">
        <v>2335</v>
      </c>
      <c r="U10" s="126"/>
      <c r="V10" s="126"/>
      <c r="W10" s="126"/>
      <c r="X10" s="126"/>
      <c r="Y10" s="127"/>
    </row>
    <row r="11" spans="2:25" x14ac:dyDescent="0.25">
      <c r="L11" s="77"/>
      <c r="M11" s="77"/>
      <c r="N11" s="77"/>
      <c r="O11" s="77"/>
      <c r="R11" s="78"/>
      <c r="S11" s="78"/>
      <c r="T11" s="125" t="s">
        <v>2335</v>
      </c>
      <c r="U11" s="126"/>
      <c r="V11" s="126"/>
      <c r="W11" s="126"/>
      <c r="X11" s="126"/>
      <c r="Y11" s="127"/>
    </row>
    <row r="12" spans="2:25" x14ac:dyDescent="0.25">
      <c r="L12" s="77"/>
      <c r="M12" s="77"/>
      <c r="N12" s="77"/>
      <c r="O12" s="77"/>
      <c r="R12" s="78"/>
      <c r="S12" s="78"/>
      <c r="T12" s="125" t="s">
        <v>7690</v>
      </c>
      <c r="U12" s="126"/>
      <c r="V12" s="126"/>
      <c r="W12" s="126"/>
      <c r="X12" s="126"/>
      <c r="Y12" s="127"/>
    </row>
    <row r="13" spans="2:25" x14ac:dyDescent="0.25">
      <c r="L13" s="77"/>
      <c r="M13" s="77"/>
      <c r="N13" s="77"/>
      <c r="O13" s="77"/>
      <c r="R13" s="78"/>
      <c r="S13" s="78"/>
      <c r="T13" s="125" t="s">
        <v>7752</v>
      </c>
      <c r="U13" s="126"/>
      <c r="V13" s="126"/>
      <c r="W13" s="126"/>
      <c r="X13" s="126"/>
      <c r="Y13" s="127"/>
    </row>
    <row r="14" spans="2:25" x14ac:dyDescent="0.25">
      <c r="L14" s="77"/>
      <c r="M14" s="77"/>
      <c r="N14" s="77"/>
      <c r="O14" s="77"/>
      <c r="R14" s="78"/>
      <c r="S14" s="78"/>
      <c r="T14" s="125" t="s">
        <v>8367</v>
      </c>
      <c r="U14" s="126"/>
      <c r="V14" s="126"/>
      <c r="W14" s="126"/>
      <c r="X14" s="126"/>
      <c r="Y14" s="127"/>
    </row>
    <row r="15" spans="2:25" x14ac:dyDescent="0.25">
      <c r="L15" s="77"/>
      <c r="M15" s="77"/>
      <c r="N15" s="77"/>
      <c r="O15" s="77"/>
      <c r="R15" s="78"/>
      <c r="S15" s="78"/>
      <c r="T15" s="125" t="s">
        <v>8439</v>
      </c>
      <c r="U15" s="126"/>
      <c r="V15" s="126"/>
      <c r="W15" s="126"/>
      <c r="X15" s="126"/>
      <c r="Y15" s="127"/>
    </row>
    <row r="16" spans="2:25" x14ac:dyDescent="0.25">
      <c r="L16" s="77"/>
      <c r="M16" s="77"/>
      <c r="N16" s="77"/>
      <c r="O16" s="77"/>
      <c r="R16" s="78"/>
      <c r="S16" s="78"/>
      <c r="T16" s="125" t="s">
        <v>8697</v>
      </c>
      <c r="U16" s="126"/>
      <c r="V16" s="126"/>
      <c r="W16" s="126"/>
      <c r="X16" s="126"/>
      <c r="Y16" s="127"/>
    </row>
    <row r="17" spans="1:25" x14ac:dyDescent="0.25">
      <c r="L17" s="77"/>
      <c r="M17" s="77"/>
      <c r="N17" s="77"/>
      <c r="O17" s="77"/>
      <c r="R17" s="78"/>
      <c r="S17" s="78"/>
      <c r="T17" s="125" t="s">
        <v>8852</v>
      </c>
      <c r="U17" s="126"/>
      <c r="V17" s="126"/>
      <c r="W17" s="126"/>
      <c r="X17" s="126"/>
      <c r="Y17" s="127"/>
    </row>
    <row r="18" spans="1:25" x14ac:dyDescent="0.25">
      <c r="L18" s="77"/>
      <c r="M18" s="77"/>
      <c r="N18" s="77"/>
      <c r="O18" s="77"/>
      <c r="R18" s="78"/>
      <c r="S18" s="78"/>
      <c r="T18" s="125" t="s">
        <v>9017</v>
      </c>
      <c r="U18" s="126"/>
      <c r="V18" s="126"/>
      <c r="W18" s="126"/>
      <c r="X18" s="126"/>
      <c r="Y18" s="127"/>
    </row>
    <row r="19" spans="1:25" x14ac:dyDescent="0.25">
      <c r="L19" s="77"/>
      <c r="M19" s="77"/>
      <c r="N19" s="77"/>
      <c r="O19" s="77"/>
      <c r="R19" s="78"/>
      <c r="S19" s="78"/>
      <c r="T19" s="125" t="s">
        <v>9110</v>
      </c>
      <c r="U19" s="126"/>
      <c r="V19" s="126"/>
      <c r="W19" s="126"/>
      <c r="X19" s="126"/>
      <c r="Y19" s="127"/>
    </row>
    <row r="20" spans="1:25" x14ac:dyDescent="0.25">
      <c r="L20" s="77"/>
      <c r="M20" s="77"/>
      <c r="N20" s="77"/>
      <c r="O20" s="77"/>
      <c r="R20" s="78"/>
      <c r="S20" s="78"/>
      <c r="T20" s="125" t="s">
        <v>9289</v>
      </c>
      <c r="U20" s="126"/>
      <c r="V20" s="126"/>
      <c r="W20" s="126"/>
      <c r="X20" s="126"/>
      <c r="Y20" s="127"/>
    </row>
    <row r="21" spans="1:25" x14ac:dyDescent="0.25">
      <c r="L21" s="77"/>
      <c r="M21" s="77"/>
      <c r="N21" s="77"/>
      <c r="O21" s="77"/>
      <c r="R21" s="78"/>
      <c r="S21" s="78"/>
      <c r="T21" s="125" t="s">
        <v>9306</v>
      </c>
      <c r="U21" s="126"/>
      <c r="V21" s="126"/>
      <c r="W21" s="126"/>
      <c r="X21" s="126"/>
      <c r="Y21" s="127"/>
    </row>
    <row r="22" spans="1:25" x14ac:dyDescent="0.25">
      <c r="L22" s="77"/>
      <c r="M22" s="77"/>
      <c r="N22" s="77"/>
      <c r="O22" s="77"/>
      <c r="R22" s="78"/>
      <c r="S22" s="78"/>
      <c r="T22" s="125" t="s">
        <v>9324</v>
      </c>
      <c r="U22" s="126"/>
      <c r="V22" s="126"/>
      <c r="W22" s="126"/>
      <c r="X22" s="126"/>
      <c r="Y22" s="127"/>
    </row>
    <row r="23" spans="1:25" x14ac:dyDescent="0.25">
      <c r="L23" s="77"/>
      <c r="M23" s="77"/>
      <c r="N23" s="77"/>
      <c r="O23" s="77"/>
      <c r="R23" s="78"/>
      <c r="S23" s="78"/>
      <c r="T23" s="125" t="s">
        <v>9403</v>
      </c>
      <c r="U23" s="126"/>
      <c r="V23" s="126"/>
      <c r="W23" s="126"/>
      <c r="X23" s="126"/>
      <c r="Y23" s="127"/>
    </row>
    <row r="24" spans="1:25" x14ac:dyDescent="0.25">
      <c r="L24" s="77"/>
      <c r="M24" s="77"/>
      <c r="N24" s="77"/>
      <c r="O24" s="77"/>
      <c r="R24" s="78"/>
      <c r="S24" s="78"/>
      <c r="T24" s="125" t="s">
        <v>9422</v>
      </c>
      <c r="U24" s="126"/>
      <c r="V24" s="126"/>
      <c r="W24" s="126"/>
      <c r="X24" s="126"/>
      <c r="Y24" s="127"/>
    </row>
    <row r="25" spans="1:25" x14ac:dyDescent="0.25">
      <c r="T25" s="125" t="s">
        <v>9614</v>
      </c>
      <c r="U25" s="126"/>
      <c r="V25" s="126"/>
      <c r="W25" s="126"/>
      <c r="X25" s="126"/>
      <c r="Y25" s="127"/>
    </row>
    <row r="26" spans="1:25" x14ac:dyDescent="0.25">
      <c r="T26" s="125" t="s">
        <v>9676</v>
      </c>
      <c r="U26" s="126"/>
      <c r="V26" s="126"/>
      <c r="W26" s="126"/>
      <c r="X26" s="126"/>
      <c r="Y26" s="127"/>
    </row>
    <row r="27" spans="1:25" x14ac:dyDescent="0.25">
      <c r="T27" s="125" t="s">
        <v>9803</v>
      </c>
      <c r="U27" s="126"/>
      <c r="V27" s="126"/>
      <c r="W27" s="126"/>
      <c r="X27" s="126"/>
      <c r="Y27" s="127"/>
    </row>
    <row r="28" spans="1:25" x14ac:dyDescent="0.25">
      <c r="T28" s="125" t="s">
        <v>9802</v>
      </c>
      <c r="U28" s="126"/>
      <c r="V28" s="126"/>
      <c r="W28" s="126"/>
      <c r="X28" s="126"/>
      <c r="Y28" s="127"/>
    </row>
    <row r="29" spans="1:25" ht="15.75" thickBot="1" x14ac:dyDescent="0.3"/>
    <row r="30" spans="1:25" ht="90" thickBot="1" x14ac:dyDescent="0.3">
      <c r="B30" s="85" t="s">
        <v>2</v>
      </c>
      <c r="C30" s="85" t="s">
        <v>3</v>
      </c>
      <c r="D30" s="85" t="s">
        <v>4</v>
      </c>
      <c r="E30" s="85" t="s">
        <v>5</v>
      </c>
      <c r="F30" s="85" t="s">
        <v>6</v>
      </c>
      <c r="G30" s="85" t="s">
        <v>7</v>
      </c>
      <c r="H30" s="85" t="s">
        <v>8</v>
      </c>
      <c r="I30" s="85" t="s">
        <v>9</v>
      </c>
      <c r="J30" s="85" t="s">
        <v>10</v>
      </c>
      <c r="K30" s="85" t="s">
        <v>11</v>
      </c>
      <c r="L30" s="85" t="s">
        <v>12</v>
      </c>
      <c r="M30" s="85" t="s">
        <v>13</v>
      </c>
      <c r="N30" s="85" t="s">
        <v>14</v>
      </c>
      <c r="O30" s="85" t="s">
        <v>15</v>
      </c>
      <c r="P30" s="85" t="s">
        <v>16</v>
      </c>
      <c r="Q30" s="85" t="s">
        <v>17</v>
      </c>
      <c r="R30" s="85" t="s">
        <v>18</v>
      </c>
      <c r="S30" s="85" t="s">
        <v>19</v>
      </c>
      <c r="T30" s="85" t="s">
        <v>20</v>
      </c>
      <c r="U30" s="85" t="s">
        <v>21</v>
      </c>
      <c r="V30" s="85" t="s">
        <v>22</v>
      </c>
      <c r="W30" s="85" t="s">
        <v>23</v>
      </c>
      <c r="X30" s="86" t="s">
        <v>24</v>
      </c>
      <c r="Y30" s="134" t="s">
        <v>25</v>
      </c>
    </row>
    <row r="31" spans="1:25" ht="15.75" thickBot="1" x14ac:dyDescent="0.3">
      <c r="B31" s="87">
        <v>1</v>
      </c>
      <c r="C31" s="88">
        <v>2</v>
      </c>
      <c r="D31" s="88">
        <v>3</v>
      </c>
      <c r="E31" s="88">
        <v>4</v>
      </c>
      <c r="F31" s="88">
        <v>5</v>
      </c>
      <c r="G31" s="89">
        <v>6</v>
      </c>
      <c r="H31" s="88">
        <v>7</v>
      </c>
      <c r="I31" s="88">
        <v>8</v>
      </c>
      <c r="J31" s="88">
        <v>9</v>
      </c>
      <c r="K31" s="88">
        <v>10</v>
      </c>
      <c r="L31" s="88">
        <v>11</v>
      </c>
      <c r="M31" s="88">
        <v>12</v>
      </c>
      <c r="N31" s="88">
        <v>13</v>
      </c>
      <c r="O31" s="88">
        <v>14</v>
      </c>
      <c r="P31" s="88">
        <v>15</v>
      </c>
      <c r="Q31" s="88">
        <v>16</v>
      </c>
      <c r="R31" s="88">
        <v>17</v>
      </c>
      <c r="S31" s="88">
        <v>18</v>
      </c>
      <c r="T31" s="88">
        <v>19</v>
      </c>
      <c r="U31" s="88">
        <v>20</v>
      </c>
      <c r="V31" s="88">
        <v>21</v>
      </c>
      <c r="W31" s="88">
        <v>22</v>
      </c>
      <c r="X31" s="88">
        <v>23</v>
      </c>
      <c r="Y31" s="88">
        <v>24</v>
      </c>
    </row>
    <row r="32" spans="1:25" ht="15" customHeight="1" x14ac:dyDescent="0.25">
      <c r="A32" s="1"/>
      <c r="B32" s="90" t="s">
        <v>26</v>
      </c>
      <c r="C32" s="91"/>
      <c r="D32" s="91"/>
      <c r="E32" s="91"/>
      <c r="F32" s="91"/>
      <c r="G32" s="92"/>
      <c r="H32" s="91"/>
      <c r="I32" s="91"/>
      <c r="J32" s="91"/>
      <c r="K32" s="91"/>
      <c r="L32" s="91"/>
      <c r="M32" s="91"/>
      <c r="N32" s="91"/>
      <c r="O32" s="91"/>
      <c r="P32" s="91"/>
      <c r="Q32" s="91"/>
      <c r="R32" s="91"/>
      <c r="S32" s="91"/>
      <c r="T32" s="91"/>
      <c r="U32" s="91"/>
      <c r="V32" s="93"/>
      <c r="W32" s="93"/>
      <c r="X32" s="94"/>
      <c r="Y32" s="94"/>
    </row>
    <row r="33" spans="1:25" s="28" customFormat="1" ht="114.75" customHeight="1" outlineLevel="1" x14ac:dyDescent="0.2">
      <c r="A33" s="26"/>
      <c r="B33" s="2" t="s">
        <v>27</v>
      </c>
      <c r="C33" s="5" t="s">
        <v>83</v>
      </c>
      <c r="D33" s="5" t="s">
        <v>84</v>
      </c>
      <c r="E33" s="5" t="s">
        <v>85</v>
      </c>
      <c r="F33" s="5" t="s">
        <v>86</v>
      </c>
      <c r="G33" s="5" t="s">
        <v>87</v>
      </c>
      <c r="H33" s="5" t="s">
        <v>88</v>
      </c>
      <c r="I33" s="27">
        <v>0.5</v>
      </c>
      <c r="J33" s="5">
        <v>710000000</v>
      </c>
      <c r="K33" s="5" t="s">
        <v>89</v>
      </c>
      <c r="L33" s="5" t="s">
        <v>90</v>
      </c>
      <c r="M33" s="5" t="s">
        <v>91</v>
      </c>
      <c r="N33" s="7" t="s">
        <v>92</v>
      </c>
      <c r="O33" s="7" t="s">
        <v>93</v>
      </c>
      <c r="P33" s="7" t="s">
        <v>94</v>
      </c>
      <c r="Q33" s="15" t="s">
        <v>95</v>
      </c>
      <c r="R33" s="5" t="s">
        <v>96</v>
      </c>
      <c r="S33" s="9">
        <v>13693</v>
      </c>
      <c r="T33" s="9">
        <v>187.25</v>
      </c>
      <c r="U33" s="9">
        <v>0</v>
      </c>
      <c r="V33" s="9">
        <f t="shared" ref="V33:V160" si="0">U33*1.12</f>
        <v>0</v>
      </c>
      <c r="W33" s="2" t="s">
        <v>97</v>
      </c>
      <c r="X33" s="2">
        <v>2016</v>
      </c>
      <c r="Y33" s="5">
        <v>11</v>
      </c>
    </row>
    <row r="34" spans="1:25" s="28" customFormat="1" ht="114.75" customHeight="1" outlineLevel="1" x14ac:dyDescent="0.25">
      <c r="B34" s="2" t="s">
        <v>7526</v>
      </c>
      <c r="C34" s="5" t="s">
        <v>83</v>
      </c>
      <c r="D34" s="5" t="s">
        <v>84</v>
      </c>
      <c r="E34" s="5" t="s">
        <v>85</v>
      </c>
      <c r="F34" s="5" t="s">
        <v>86</v>
      </c>
      <c r="G34" s="5" t="s">
        <v>87</v>
      </c>
      <c r="H34" s="5" t="s">
        <v>88</v>
      </c>
      <c r="I34" s="27">
        <v>0.5</v>
      </c>
      <c r="J34" s="5">
        <v>710000000</v>
      </c>
      <c r="K34" s="5" t="s">
        <v>89</v>
      </c>
      <c r="L34" s="5" t="s">
        <v>7470</v>
      </c>
      <c r="M34" s="5" t="s">
        <v>91</v>
      </c>
      <c r="N34" s="7" t="s">
        <v>92</v>
      </c>
      <c r="O34" s="7" t="s">
        <v>93</v>
      </c>
      <c r="P34" s="7" t="s">
        <v>94</v>
      </c>
      <c r="Q34" s="15" t="s">
        <v>95</v>
      </c>
      <c r="R34" s="5" t="s">
        <v>96</v>
      </c>
      <c r="S34" s="9">
        <v>13693</v>
      </c>
      <c r="T34" s="9">
        <v>187.25</v>
      </c>
      <c r="U34" s="9">
        <f t="shared" ref="U34" si="1">T34*S34</f>
        <v>2564014.25</v>
      </c>
      <c r="V34" s="9">
        <f t="shared" ref="V34" si="2">U34*1.12</f>
        <v>2871695.9600000004</v>
      </c>
      <c r="W34" s="2" t="s">
        <v>97</v>
      </c>
      <c r="X34" s="2">
        <v>2016</v>
      </c>
      <c r="Y34" s="5"/>
    </row>
    <row r="35" spans="1:25" s="28" customFormat="1" ht="89.25" customHeight="1" outlineLevel="1" x14ac:dyDescent="0.2">
      <c r="A35" s="26"/>
      <c r="B35" s="2" t="s">
        <v>28</v>
      </c>
      <c r="C35" s="5" t="s">
        <v>83</v>
      </c>
      <c r="D35" s="5" t="s">
        <v>98</v>
      </c>
      <c r="E35" s="5" t="s">
        <v>99</v>
      </c>
      <c r="F35" s="5" t="s">
        <v>100</v>
      </c>
      <c r="G35" s="5" t="s">
        <v>101</v>
      </c>
      <c r="H35" s="5" t="s">
        <v>88</v>
      </c>
      <c r="I35" s="27">
        <v>0.5</v>
      </c>
      <c r="J35" s="5">
        <v>710000000</v>
      </c>
      <c r="K35" s="5" t="s">
        <v>89</v>
      </c>
      <c r="L35" s="5" t="s">
        <v>90</v>
      </c>
      <c r="M35" s="5" t="s">
        <v>91</v>
      </c>
      <c r="N35" s="7" t="s">
        <v>92</v>
      </c>
      <c r="O35" s="7" t="s">
        <v>93</v>
      </c>
      <c r="P35" s="7" t="s">
        <v>94</v>
      </c>
      <c r="Q35" s="15" t="s">
        <v>95</v>
      </c>
      <c r="R35" s="5" t="s">
        <v>96</v>
      </c>
      <c r="S35" s="9">
        <v>60</v>
      </c>
      <c r="T35" s="9">
        <v>203.3</v>
      </c>
      <c r="U35" s="9">
        <v>0</v>
      </c>
      <c r="V35" s="9">
        <f t="shared" si="0"/>
        <v>0</v>
      </c>
      <c r="W35" s="2" t="s">
        <v>97</v>
      </c>
      <c r="X35" s="2">
        <v>2016</v>
      </c>
      <c r="Y35" s="5">
        <v>11</v>
      </c>
    </row>
    <row r="36" spans="1:25" s="28" customFormat="1" ht="89.25" customHeight="1" outlineLevel="1" x14ac:dyDescent="0.25">
      <c r="B36" s="2" t="s">
        <v>7527</v>
      </c>
      <c r="C36" s="5" t="s">
        <v>83</v>
      </c>
      <c r="D36" s="5" t="s">
        <v>98</v>
      </c>
      <c r="E36" s="5" t="s">
        <v>99</v>
      </c>
      <c r="F36" s="5" t="s">
        <v>100</v>
      </c>
      <c r="G36" s="5" t="s">
        <v>101</v>
      </c>
      <c r="H36" s="5" t="s">
        <v>88</v>
      </c>
      <c r="I36" s="27">
        <v>0.5</v>
      </c>
      <c r="J36" s="5">
        <v>710000000</v>
      </c>
      <c r="K36" s="5" t="s">
        <v>89</v>
      </c>
      <c r="L36" s="5" t="s">
        <v>7470</v>
      </c>
      <c r="M36" s="5" t="s">
        <v>91</v>
      </c>
      <c r="N36" s="7" t="s">
        <v>92</v>
      </c>
      <c r="O36" s="7" t="s">
        <v>93</v>
      </c>
      <c r="P36" s="7" t="s">
        <v>94</v>
      </c>
      <c r="Q36" s="15" t="s">
        <v>95</v>
      </c>
      <c r="R36" s="5" t="s">
        <v>96</v>
      </c>
      <c r="S36" s="9">
        <v>60</v>
      </c>
      <c r="T36" s="9">
        <v>203.3</v>
      </c>
      <c r="U36" s="9">
        <f t="shared" ref="U36" si="3">T36*S36</f>
        <v>12198</v>
      </c>
      <c r="V36" s="9">
        <f t="shared" ref="V36" si="4">U36*1.12</f>
        <v>13661.760000000002</v>
      </c>
      <c r="W36" s="2" t="s">
        <v>97</v>
      </c>
      <c r="X36" s="2">
        <v>2016</v>
      </c>
      <c r="Y36" s="5"/>
    </row>
    <row r="37" spans="1:25" s="28" customFormat="1" ht="89.25" customHeight="1" outlineLevel="1" x14ac:dyDescent="0.2">
      <c r="A37" s="26"/>
      <c r="B37" s="2" t="s">
        <v>29</v>
      </c>
      <c r="C37" s="5" t="s">
        <v>83</v>
      </c>
      <c r="D37" s="5" t="s">
        <v>102</v>
      </c>
      <c r="E37" s="5" t="s">
        <v>103</v>
      </c>
      <c r="F37" s="5" t="s">
        <v>104</v>
      </c>
      <c r="G37" s="5" t="s">
        <v>105</v>
      </c>
      <c r="H37" s="5" t="s">
        <v>88</v>
      </c>
      <c r="I37" s="27">
        <v>0.5</v>
      </c>
      <c r="J37" s="5">
        <v>710000000</v>
      </c>
      <c r="K37" s="5" t="s">
        <v>89</v>
      </c>
      <c r="L37" s="5" t="s">
        <v>90</v>
      </c>
      <c r="M37" s="5" t="s">
        <v>91</v>
      </c>
      <c r="N37" s="7" t="s">
        <v>92</v>
      </c>
      <c r="O37" s="7" t="s">
        <v>93</v>
      </c>
      <c r="P37" s="7" t="s">
        <v>94</v>
      </c>
      <c r="Q37" s="15" t="s">
        <v>95</v>
      </c>
      <c r="R37" s="5" t="s">
        <v>96</v>
      </c>
      <c r="S37" s="9">
        <v>6000</v>
      </c>
      <c r="T37" s="9">
        <v>531.5</v>
      </c>
      <c r="U37" s="9">
        <v>0</v>
      </c>
      <c r="V37" s="9">
        <f t="shared" si="0"/>
        <v>0</v>
      </c>
      <c r="W37" s="2" t="s">
        <v>97</v>
      </c>
      <c r="X37" s="2">
        <v>2016</v>
      </c>
      <c r="Y37" s="5">
        <v>11</v>
      </c>
    </row>
    <row r="38" spans="1:25" s="28" customFormat="1" ht="89.25" customHeight="1" outlineLevel="1" x14ac:dyDescent="0.25">
      <c r="B38" s="2" t="s">
        <v>7528</v>
      </c>
      <c r="C38" s="5" t="s">
        <v>83</v>
      </c>
      <c r="D38" s="5" t="s">
        <v>102</v>
      </c>
      <c r="E38" s="5" t="s">
        <v>103</v>
      </c>
      <c r="F38" s="5" t="s">
        <v>104</v>
      </c>
      <c r="G38" s="5" t="s">
        <v>105</v>
      </c>
      <c r="H38" s="5" t="s">
        <v>88</v>
      </c>
      <c r="I38" s="27">
        <v>0.5</v>
      </c>
      <c r="J38" s="5">
        <v>710000000</v>
      </c>
      <c r="K38" s="5" t="s">
        <v>89</v>
      </c>
      <c r="L38" s="5" t="s">
        <v>7470</v>
      </c>
      <c r="M38" s="5" t="s">
        <v>91</v>
      </c>
      <c r="N38" s="7" t="s">
        <v>92</v>
      </c>
      <c r="O38" s="7" t="s">
        <v>93</v>
      </c>
      <c r="P38" s="7" t="s">
        <v>94</v>
      </c>
      <c r="Q38" s="15" t="s">
        <v>95</v>
      </c>
      <c r="R38" s="5" t="s">
        <v>96</v>
      </c>
      <c r="S38" s="9">
        <v>6000</v>
      </c>
      <c r="T38" s="9">
        <v>531.5</v>
      </c>
      <c r="U38" s="9">
        <f t="shared" ref="U38" si="5">T38*S38</f>
        <v>3189000</v>
      </c>
      <c r="V38" s="9">
        <f t="shared" ref="V38" si="6">U38*1.12</f>
        <v>3571680.0000000005</v>
      </c>
      <c r="W38" s="2" t="s">
        <v>97</v>
      </c>
      <c r="X38" s="2">
        <v>2016</v>
      </c>
      <c r="Y38" s="5"/>
    </row>
    <row r="39" spans="1:25" s="28" customFormat="1" ht="89.25" customHeight="1" outlineLevel="1" x14ac:dyDescent="0.2">
      <c r="A39" s="26"/>
      <c r="B39" s="2" t="s">
        <v>106</v>
      </c>
      <c r="C39" s="5" t="s">
        <v>83</v>
      </c>
      <c r="D39" s="5" t="s">
        <v>107</v>
      </c>
      <c r="E39" s="5" t="s">
        <v>108</v>
      </c>
      <c r="F39" s="5" t="s">
        <v>109</v>
      </c>
      <c r="G39" s="5" t="s">
        <v>110</v>
      </c>
      <c r="H39" s="5" t="s">
        <v>88</v>
      </c>
      <c r="I39" s="27">
        <v>0.5</v>
      </c>
      <c r="J39" s="5">
        <v>710000000</v>
      </c>
      <c r="K39" s="5" t="s">
        <v>89</v>
      </c>
      <c r="L39" s="5" t="s">
        <v>90</v>
      </c>
      <c r="M39" s="5" t="s">
        <v>91</v>
      </c>
      <c r="N39" s="7" t="s">
        <v>92</v>
      </c>
      <c r="O39" s="7" t="s">
        <v>93</v>
      </c>
      <c r="P39" s="7" t="s">
        <v>94</v>
      </c>
      <c r="Q39" s="15">
        <v>166</v>
      </c>
      <c r="R39" s="5" t="s">
        <v>111</v>
      </c>
      <c r="S39" s="9">
        <v>608</v>
      </c>
      <c r="T39" s="9">
        <v>642</v>
      </c>
      <c r="U39" s="9">
        <v>0</v>
      </c>
      <c r="V39" s="9">
        <f t="shared" si="0"/>
        <v>0</v>
      </c>
      <c r="W39" s="2" t="s">
        <v>97</v>
      </c>
      <c r="X39" s="2">
        <v>2016</v>
      </c>
      <c r="Y39" s="5">
        <v>11</v>
      </c>
    </row>
    <row r="40" spans="1:25" s="28" customFormat="1" ht="89.25" customHeight="1" outlineLevel="1" x14ac:dyDescent="0.25">
      <c r="B40" s="2" t="s">
        <v>7530</v>
      </c>
      <c r="C40" s="5" t="s">
        <v>83</v>
      </c>
      <c r="D40" s="5" t="s">
        <v>107</v>
      </c>
      <c r="E40" s="5" t="s">
        <v>108</v>
      </c>
      <c r="F40" s="5" t="s">
        <v>109</v>
      </c>
      <c r="G40" s="5" t="s">
        <v>110</v>
      </c>
      <c r="H40" s="5" t="s">
        <v>88</v>
      </c>
      <c r="I40" s="27">
        <v>0.5</v>
      </c>
      <c r="J40" s="5">
        <v>710000000</v>
      </c>
      <c r="K40" s="5" t="s">
        <v>89</v>
      </c>
      <c r="L40" s="5" t="s">
        <v>7470</v>
      </c>
      <c r="M40" s="5" t="s">
        <v>91</v>
      </c>
      <c r="N40" s="7" t="s">
        <v>92</v>
      </c>
      <c r="O40" s="7" t="s">
        <v>93</v>
      </c>
      <c r="P40" s="7" t="s">
        <v>94</v>
      </c>
      <c r="Q40" s="15">
        <v>166</v>
      </c>
      <c r="R40" s="5" t="s">
        <v>111</v>
      </c>
      <c r="S40" s="9">
        <v>608</v>
      </c>
      <c r="T40" s="9">
        <v>642</v>
      </c>
      <c r="U40" s="9">
        <f t="shared" ref="U40" si="7">T40*S40</f>
        <v>390336</v>
      </c>
      <c r="V40" s="9">
        <f t="shared" ref="V40" si="8">U40*1.12</f>
        <v>437176.32000000007</v>
      </c>
      <c r="W40" s="2" t="s">
        <v>97</v>
      </c>
      <c r="X40" s="2">
        <v>2016</v>
      </c>
      <c r="Y40" s="5"/>
    </row>
    <row r="41" spans="1:25" s="28" customFormat="1" ht="89.25" customHeight="1" outlineLevel="1" x14ac:dyDescent="0.2">
      <c r="A41" s="26"/>
      <c r="B41" s="2" t="s">
        <v>112</v>
      </c>
      <c r="C41" s="5" t="s">
        <v>83</v>
      </c>
      <c r="D41" s="5" t="s">
        <v>113</v>
      </c>
      <c r="E41" s="5" t="s">
        <v>114</v>
      </c>
      <c r="F41" s="5" t="s">
        <v>115</v>
      </c>
      <c r="G41" s="5" t="s">
        <v>116</v>
      </c>
      <c r="H41" s="5" t="s">
        <v>88</v>
      </c>
      <c r="I41" s="27">
        <v>0.5</v>
      </c>
      <c r="J41" s="5">
        <v>710000000</v>
      </c>
      <c r="K41" s="5" t="s">
        <v>89</v>
      </c>
      <c r="L41" s="5" t="s">
        <v>90</v>
      </c>
      <c r="M41" s="5" t="s">
        <v>91</v>
      </c>
      <c r="N41" s="7" t="s">
        <v>92</v>
      </c>
      <c r="O41" s="7" t="s">
        <v>93</v>
      </c>
      <c r="P41" s="7" t="s">
        <v>94</v>
      </c>
      <c r="Q41" s="15" t="s">
        <v>117</v>
      </c>
      <c r="R41" s="5" t="s">
        <v>118</v>
      </c>
      <c r="S41" s="9">
        <v>9000</v>
      </c>
      <c r="T41" s="9">
        <v>160.5</v>
      </c>
      <c r="U41" s="9">
        <v>0</v>
      </c>
      <c r="V41" s="9">
        <f t="shared" si="0"/>
        <v>0</v>
      </c>
      <c r="W41" s="2" t="s">
        <v>97</v>
      </c>
      <c r="X41" s="2">
        <v>2016</v>
      </c>
      <c r="Y41" s="5" t="s">
        <v>7683</v>
      </c>
    </row>
    <row r="42" spans="1:25" s="28" customFormat="1" ht="89.25" customHeight="1" outlineLevel="1" x14ac:dyDescent="0.25">
      <c r="B42" s="2" t="s">
        <v>7529</v>
      </c>
      <c r="C42" s="5" t="s">
        <v>83</v>
      </c>
      <c r="D42" s="5" t="s">
        <v>7677</v>
      </c>
      <c r="E42" s="5" t="s">
        <v>114</v>
      </c>
      <c r="F42" s="5" t="s">
        <v>7678</v>
      </c>
      <c r="G42" s="5" t="s">
        <v>7682</v>
      </c>
      <c r="H42" s="5" t="s">
        <v>88</v>
      </c>
      <c r="I42" s="27">
        <v>0</v>
      </c>
      <c r="J42" s="5">
        <v>710000000</v>
      </c>
      <c r="K42" s="5" t="s">
        <v>89</v>
      </c>
      <c r="L42" s="5" t="s">
        <v>7470</v>
      </c>
      <c r="M42" s="5" t="s">
        <v>91</v>
      </c>
      <c r="N42" s="7" t="s">
        <v>92</v>
      </c>
      <c r="O42" s="7" t="s">
        <v>93</v>
      </c>
      <c r="P42" s="7" t="s">
        <v>673</v>
      </c>
      <c r="Q42" s="15" t="s">
        <v>117</v>
      </c>
      <c r="R42" s="5" t="s">
        <v>118</v>
      </c>
      <c r="S42" s="9">
        <v>2300</v>
      </c>
      <c r="T42" s="9">
        <v>160.5</v>
      </c>
      <c r="U42" s="9">
        <f t="shared" ref="U42" si="9">T42*S42</f>
        <v>369150</v>
      </c>
      <c r="V42" s="9">
        <f t="shared" ref="V42" si="10">U42*1.12</f>
        <v>413448.00000000006</v>
      </c>
      <c r="W42" s="2"/>
      <c r="X42" s="2">
        <v>2016</v>
      </c>
      <c r="Y42" s="5"/>
    </row>
    <row r="43" spans="1:25" s="28" customFormat="1" ht="89.25" customHeight="1" outlineLevel="1" x14ac:dyDescent="0.2">
      <c r="A43" s="26"/>
      <c r="B43" s="2" t="s">
        <v>119</v>
      </c>
      <c r="C43" s="5" t="s">
        <v>83</v>
      </c>
      <c r="D43" s="5" t="s">
        <v>120</v>
      </c>
      <c r="E43" s="5" t="s">
        <v>121</v>
      </c>
      <c r="F43" s="5" t="s">
        <v>122</v>
      </c>
      <c r="G43" s="5" t="s">
        <v>123</v>
      </c>
      <c r="H43" s="5" t="s">
        <v>88</v>
      </c>
      <c r="I43" s="27">
        <v>0.5</v>
      </c>
      <c r="J43" s="5">
        <v>710000000</v>
      </c>
      <c r="K43" s="5" t="s">
        <v>89</v>
      </c>
      <c r="L43" s="5" t="s">
        <v>90</v>
      </c>
      <c r="M43" s="5" t="s">
        <v>91</v>
      </c>
      <c r="N43" s="7" t="s">
        <v>92</v>
      </c>
      <c r="O43" s="7" t="s">
        <v>93</v>
      </c>
      <c r="P43" s="7" t="s">
        <v>94</v>
      </c>
      <c r="Q43" s="15">
        <v>166</v>
      </c>
      <c r="R43" s="5" t="s">
        <v>111</v>
      </c>
      <c r="S43" s="9">
        <v>1395</v>
      </c>
      <c r="T43" s="9">
        <v>963.27</v>
      </c>
      <c r="U43" s="9">
        <v>0</v>
      </c>
      <c r="V43" s="9">
        <f t="shared" si="0"/>
        <v>0</v>
      </c>
      <c r="W43" s="2" t="s">
        <v>97</v>
      </c>
      <c r="X43" s="2">
        <v>2016</v>
      </c>
      <c r="Y43" s="5" t="s">
        <v>7670</v>
      </c>
    </row>
    <row r="44" spans="1:25" s="28" customFormat="1" ht="89.25" customHeight="1" outlineLevel="1" x14ac:dyDescent="0.25">
      <c r="B44" s="2" t="s">
        <v>7531</v>
      </c>
      <c r="C44" s="5" t="s">
        <v>83</v>
      </c>
      <c r="D44" s="5" t="s">
        <v>120</v>
      </c>
      <c r="E44" s="5" t="s">
        <v>121</v>
      </c>
      <c r="F44" s="5" t="s">
        <v>122</v>
      </c>
      <c r="G44" s="5" t="s">
        <v>123</v>
      </c>
      <c r="H44" s="5" t="s">
        <v>88</v>
      </c>
      <c r="I44" s="27">
        <v>0</v>
      </c>
      <c r="J44" s="5">
        <v>710000000</v>
      </c>
      <c r="K44" s="5" t="s">
        <v>89</v>
      </c>
      <c r="L44" s="5" t="s">
        <v>7470</v>
      </c>
      <c r="M44" s="5" t="s">
        <v>91</v>
      </c>
      <c r="N44" s="7" t="s">
        <v>92</v>
      </c>
      <c r="O44" s="7" t="s">
        <v>93</v>
      </c>
      <c r="P44" s="7" t="s">
        <v>673</v>
      </c>
      <c r="Q44" s="15">
        <v>166</v>
      </c>
      <c r="R44" s="5" t="s">
        <v>111</v>
      </c>
      <c r="S44" s="9">
        <v>1395</v>
      </c>
      <c r="T44" s="9">
        <v>963.27</v>
      </c>
      <c r="U44" s="9">
        <f t="shared" ref="U44" si="11">T44*S44</f>
        <v>1343761.65</v>
      </c>
      <c r="V44" s="9">
        <f t="shared" ref="V44" si="12">U44*1.12</f>
        <v>1505013.048</v>
      </c>
      <c r="W44" s="2"/>
      <c r="X44" s="2">
        <v>2016</v>
      </c>
      <c r="Y44" s="5"/>
    </row>
    <row r="45" spans="1:25" s="28" customFormat="1" ht="89.25" customHeight="1" outlineLevel="1" x14ac:dyDescent="0.2">
      <c r="A45" s="26"/>
      <c r="B45" s="2" t="s">
        <v>124</v>
      </c>
      <c r="C45" s="5" t="s">
        <v>83</v>
      </c>
      <c r="D45" s="5" t="s">
        <v>125</v>
      </c>
      <c r="E45" s="5" t="s">
        <v>126</v>
      </c>
      <c r="F45" s="5" t="s">
        <v>127</v>
      </c>
      <c r="G45" s="5" t="s">
        <v>128</v>
      </c>
      <c r="H45" s="5" t="s">
        <v>88</v>
      </c>
      <c r="I45" s="27">
        <v>0.5</v>
      </c>
      <c r="J45" s="5">
        <v>710000000</v>
      </c>
      <c r="K45" s="5" t="s">
        <v>89</v>
      </c>
      <c r="L45" s="5" t="s">
        <v>90</v>
      </c>
      <c r="M45" s="5" t="s">
        <v>91</v>
      </c>
      <c r="N45" s="7" t="s">
        <v>92</v>
      </c>
      <c r="O45" s="7" t="s">
        <v>93</v>
      </c>
      <c r="P45" s="7" t="s">
        <v>94</v>
      </c>
      <c r="Q45" s="15">
        <v>166</v>
      </c>
      <c r="R45" s="5" t="s">
        <v>111</v>
      </c>
      <c r="S45" s="9">
        <v>916</v>
      </c>
      <c r="T45" s="9">
        <v>1123</v>
      </c>
      <c r="U45" s="9">
        <v>0</v>
      </c>
      <c r="V45" s="9">
        <f t="shared" si="0"/>
        <v>0</v>
      </c>
      <c r="W45" s="2" t="s">
        <v>97</v>
      </c>
      <c r="X45" s="2">
        <v>2016</v>
      </c>
      <c r="Y45" s="5" t="s">
        <v>7670</v>
      </c>
    </row>
    <row r="46" spans="1:25" s="28" customFormat="1" ht="89.25" customHeight="1" outlineLevel="1" x14ac:dyDescent="0.25">
      <c r="B46" s="2" t="s">
        <v>7532</v>
      </c>
      <c r="C46" s="5" t="s">
        <v>83</v>
      </c>
      <c r="D46" s="5" t="s">
        <v>125</v>
      </c>
      <c r="E46" s="5" t="s">
        <v>126</v>
      </c>
      <c r="F46" s="5" t="s">
        <v>127</v>
      </c>
      <c r="G46" s="5" t="s">
        <v>128</v>
      </c>
      <c r="H46" s="5" t="s">
        <v>88</v>
      </c>
      <c r="I46" s="27">
        <v>0</v>
      </c>
      <c r="J46" s="5">
        <v>710000000</v>
      </c>
      <c r="K46" s="5" t="s">
        <v>89</v>
      </c>
      <c r="L46" s="5" t="s">
        <v>7470</v>
      </c>
      <c r="M46" s="5" t="s">
        <v>91</v>
      </c>
      <c r="N46" s="7" t="s">
        <v>92</v>
      </c>
      <c r="O46" s="7" t="s">
        <v>93</v>
      </c>
      <c r="P46" s="7" t="s">
        <v>673</v>
      </c>
      <c r="Q46" s="15">
        <v>166</v>
      </c>
      <c r="R46" s="5" t="s">
        <v>111</v>
      </c>
      <c r="S46" s="9">
        <v>916</v>
      </c>
      <c r="T46" s="9">
        <v>1123</v>
      </c>
      <c r="U46" s="9">
        <f t="shared" ref="U46" si="13">T46*S46</f>
        <v>1028668</v>
      </c>
      <c r="V46" s="9">
        <f t="shared" ref="V46" si="14">U46*1.12</f>
        <v>1152108.1600000001</v>
      </c>
      <c r="W46" s="2"/>
      <c r="X46" s="2">
        <v>2016</v>
      </c>
      <c r="Y46" s="5"/>
    </row>
    <row r="47" spans="1:25" s="28" customFormat="1" ht="102" customHeight="1" outlineLevel="1" x14ac:dyDescent="0.2">
      <c r="A47" s="26"/>
      <c r="B47" s="2" t="s">
        <v>129</v>
      </c>
      <c r="C47" s="5" t="s">
        <v>83</v>
      </c>
      <c r="D47" s="5" t="s">
        <v>130</v>
      </c>
      <c r="E47" s="5" t="s">
        <v>131</v>
      </c>
      <c r="F47" s="5" t="s">
        <v>132</v>
      </c>
      <c r="G47" s="5" t="s">
        <v>133</v>
      </c>
      <c r="H47" s="5" t="s">
        <v>88</v>
      </c>
      <c r="I47" s="27">
        <v>0.5</v>
      </c>
      <c r="J47" s="5">
        <v>710000000</v>
      </c>
      <c r="K47" s="5" t="s">
        <v>89</v>
      </c>
      <c r="L47" s="5" t="s">
        <v>90</v>
      </c>
      <c r="M47" s="5" t="s">
        <v>91</v>
      </c>
      <c r="N47" s="7" t="s">
        <v>92</v>
      </c>
      <c r="O47" s="7" t="s">
        <v>93</v>
      </c>
      <c r="P47" s="7" t="s">
        <v>94</v>
      </c>
      <c r="Q47" s="15">
        <v>166</v>
      </c>
      <c r="R47" s="5" t="s">
        <v>111</v>
      </c>
      <c r="S47" s="9">
        <v>762</v>
      </c>
      <c r="T47" s="9">
        <v>588.5</v>
      </c>
      <c r="U47" s="9">
        <v>0</v>
      </c>
      <c r="V47" s="9">
        <f t="shared" si="0"/>
        <v>0</v>
      </c>
      <c r="W47" s="2" t="s">
        <v>97</v>
      </c>
      <c r="X47" s="2">
        <v>2016</v>
      </c>
      <c r="Y47" s="5" t="s">
        <v>7679</v>
      </c>
    </row>
    <row r="48" spans="1:25" s="28" customFormat="1" ht="102" customHeight="1" outlineLevel="1" x14ac:dyDescent="0.25">
      <c r="B48" s="2" t="s">
        <v>7533</v>
      </c>
      <c r="C48" s="5" t="s">
        <v>83</v>
      </c>
      <c r="D48" s="5" t="s">
        <v>7680</v>
      </c>
      <c r="E48" s="5" t="s">
        <v>131</v>
      </c>
      <c r="F48" s="5" t="s">
        <v>7681</v>
      </c>
      <c r="G48" s="5" t="s">
        <v>133</v>
      </c>
      <c r="H48" s="5" t="s">
        <v>88</v>
      </c>
      <c r="I48" s="27">
        <v>0</v>
      </c>
      <c r="J48" s="5">
        <v>710000000</v>
      </c>
      <c r="K48" s="5" t="s">
        <v>89</v>
      </c>
      <c r="L48" s="5" t="s">
        <v>7470</v>
      </c>
      <c r="M48" s="5" t="s">
        <v>91</v>
      </c>
      <c r="N48" s="7" t="s">
        <v>92</v>
      </c>
      <c r="O48" s="7" t="s">
        <v>93</v>
      </c>
      <c r="P48" s="7" t="s">
        <v>673</v>
      </c>
      <c r="Q48" s="15">
        <v>166</v>
      </c>
      <c r="R48" s="5" t="s">
        <v>111</v>
      </c>
      <c r="S48" s="9">
        <v>762</v>
      </c>
      <c r="T48" s="9">
        <v>588.5</v>
      </c>
      <c r="U48" s="9">
        <f t="shared" ref="U48" si="15">T48*S48</f>
        <v>448437</v>
      </c>
      <c r="V48" s="9">
        <f t="shared" ref="V48" si="16">U48*1.12</f>
        <v>502249.44000000006</v>
      </c>
      <c r="W48" s="2"/>
      <c r="X48" s="2">
        <v>2016</v>
      </c>
      <c r="Y48" s="5"/>
    </row>
    <row r="49" spans="1:25" s="28" customFormat="1" ht="89.25" customHeight="1" outlineLevel="1" x14ac:dyDescent="0.2">
      <c r="A49" s="26"/>
      <c r="B49" s="2" t="s">
        <v>134</v>
      </c>
      <c r="C49" s="5" t="s">
        <v>83</v>
      </c>
      <c r="D49" s="5" t="s">
        <v>135</v>
      </c>
      <c r="E49" s="5" t="s">
        <v>136</v>
      </c>
      <c r="F49" s="5" t="s">
        <v>7692</v>
      </c>
      <c r="G49" s="5" t="s">
        <v>137</v>
      </c>
      <c r="H49" s="5" t="s">
        <v>88</v>
      </c>
      <c r="I49" s="27">
        <v>0.5</v>
      </c>
      <c r="J49" s="5">
        <v>710000000</v>
      </c>
      <c r="K49" s="5" t="s">
        <v>89</v>
      </c>
      <c r="L49" s="5" t="s">
        <v>90</v>
      </c>
      <c r="M49" s="5" t="s">
        <v>91</v>
      </c>
      <c r="N49" s="7" t="s">
        <v>92</v>
      </c>
      <c r="O49" s="7" t="s">
        <v>93</v>
      </c>
      <c r="P49" s="7" t="s">
        <v>94</v>
      </c>
      <c r="Q49" s="15">
        <v>166</v>
      </c>
      <c r="R49" s="5" t="s">
        <v>111</v>
      </c>
      <c r="S49" s="9">
        <v>1807</v>
      </c>
      <c r="T49" s="9">
        <v>1605</v>
      </c>
      <c r="U49" s="9">
        <v>0</v>
      </c>
      <c r="V49" s="9">
        <f t="shared" si="0"/>
        <v>0</v>
      </c>
      <c r="W49" s="2" t="s">
        <v>97</v>
      </c>
      <c r="X49" s="2">
        <v>2016</v>
      </c>
      <c r="Y49" s="5">
        <v>11</v>
      </c>
    </row>
    <row r="50" spans="1:25" s="28" customFormat="1" ht="89.25" customHeight="1" outlineLevel="1" x14ac:dyDescent="0.2">
      <c r="A50" s="26"/>
      <c r="B50" s="2" t="s">
        <v>7534</v>
      </c>
      <c r="C50" s="5" t="s">
        <v>83</v>
      </c>
      <c r="D50" s="5" t="s">
        <v>135</v>
      </c>
      <c r="E50" s="5" t="s">
        <v>136</v>
      </c>
      <c r="F50" s="5" t="s">
        <v>7692</v>
      </c>
      <c r="G50" s="5" t="s">
        <v>137</v>
      </c>
      <c r="H50" s="5" t="s">
        <v>88</v>
      </c>
      <c r="I50" s="27">
        <v>0.5</v>
      </c>
      <c r="J50" s="5">
        <v>710000000</v>
      </c>
      <c r="K50" s="5" t="s">
        <v>89</v>
      </c>
      <c r="L50" s="5" t="s">
        <v>7470</v>
      </c>
      <c r="M50" s="5" t="s">
        <v>91</v>
      </c>
      <c r="N50" s="7" t="s">
        <v>92</v>
      </c>
      <c r="O50" s="7" t="s">
        <v>93</v>
      </c>
      <c r="P50" s="7" t="s">
        <v>94</v>
      </c>
      <c r="Q50" s="15">
        <v>166</v>
      </c>
      <c r="R50" s="5" t="s">
        <v>111</v>
      </c>
      <c r="S50" s="9">
        <v>1807</v>
      </c>
      <c r="T50" s="9">
        <v>1605</v>
      </c>
      <c r="U50" s="9">
        <v>0</v>
      </c>
      <c r="V50" s="9">
        <f t="shared" ref="V50" si="17">U50*1.12</f>
        <v>0</v>
      </c>
      <c r="W50" s="2" t="s">
        <v>97</v>
      </c>
      <c r="X50" s="2">
        <v>2016</v>
      </c>
      <c r="Y50" s="5" t="s">
        <v>2338</v>
      </c>
    </row>
    <row r="51" spans="1:25" s="28" customFormat="1" ht="89.25" customHeight="1" outlineLevel="1" x14ac:dyDescent="0.25">
      <c r="B51" s="2" t="s">
        <v>9346</v>
      </c>
      <c r="C51" s="5" t="s">
        <v>83</v>
      </c>
      <c r="D51" s="5" t="s">
        <v>135</v>
      </c>
      <c r="E51" s="5" t="s">
        <v>136</v>
      </c>
      <c r="F51" s="5" t="s">
        <v>7692</v>
      </c>
      <c r="G51" s="5" t="s">
        <v>137</v>
      </c>
      <c r="H51" s="5" t="s">
        <v>88</v>
      </c>
      <c r="I51" s="27">
        <v>0.5</v>
      </c>
      <c r="J51" s="5">
        <v>710000000</v>
      </c>
      <c r="K51" s="5" t="s">
        <v>89</v>
      </c>
      <c r="L51" s="5" t="s">
        <v>7470</v>
      </c>
      <c r="M51" s="5" t="s">
        <v>91</v>
      </c>
      <c r="N51" s="7" t="s">
        <v>92</v>
      </c>
      <c r="O51" s="7" t="s">
        <v>93</v>
      </c>
      <c r="P51" s="7" t="s">
        <v>94</v>
      </c>
      <c r="Q51" s="15">
        <v>166</v>
      </c>
      <c r="R51" s="5" t="s">
        <v>111</v>
      </c>
      <c r="S51" s="9">
        <f>1807-620</f>
        <v>1187</v>
      </c>
      <c r="T51" s="9">
        <v>1605</v>
      </c>
      <c r="U51" s="9">
        <f t="shared" ref="U51" si="18">T51*S51</f>
        <v>1905135</v>
      </c>
      <c r="V51" s="9">
        <f t="shared" ref="V51" si="19">U51*1.12</f>
        <v>2133751.2000000002</v>
      </c>
      <c r="W51" s="2" t="s">
        <v>97</v>
      </c>
      <c r="X51" s="2">
        <v>2016</v>
      </c>
      <c r="Y51" s="5"/>
    </row>
    <row r="52" spans="1:25" s="28" customFormat="1" ht="102" customHeight="1" outlineLevel="1" x14ac:dyDescent="0.2">
      <c r="A52" s="26"/>
      <c r="B52" s="2" t="s">
        <v>138</v>
      </c>
      <c r="C52" s="5" t="s">
        <v>83</v>
      </c>
      <c r="D52" s="5" t="s">
        <v>139</v>
      </c>
      <c r="E52" s="5" t="s">
        <v>140</v>
      </c>
      <c r="F52" s="5" t="s">
        <v>141</v>
      </c>
      <c r="G52" s="5" t="s">
        <v>142</v>
      </c>
      <c r="H52" s="5" t="s">
        <v>88</v>
      </c>
      <c r="I52" s="27">
        <v>0.5</v>
      </c>
      <c r="J52" s="5">
        <v>710000000</v>
      </c>
      <c r="K52" s="5" t="s">
        <v>89</v>
      </c>
      <c r="L52" s="5" t="s">
        <v>90</v>
      </c>
      <c r="M52" s="5" t="s">
        <v>91</v>
      </c>
      <c r="N52" s="7" t="s">
        <v>92</v>
      </c>
      <c r="O52" s="7" t="s">
        <v>93</v>
      </c>
      <c r="P52" s="7" t="s">
        <v>94</v>
      </c>
      <c r="Q52" s="15">
        <v>166</v>
      </c>
      <c r="R52" s="5" t="s">
        <v>111</v>
      </c>
      <c r="S52" s="9">
        <v>380</v>
      </c>
      <c r="T52" s="9">
        <v>1391</v>
      </c>
      <c r="U52" s="9">
        <v>0</v>
      </c>
      <c r="V52" s="9">
        <f t="shared" si="0"/>
        <v>0</v>
      </c>
      <c r="W52" s="2" t="s">
        <v>97</v>
      </c>
      <c r="X52" s="2">
        <v>2016</v>
      </c>
      <c r="Y52" s="5">
        <v>11</v>
      </c>
    </row>
    <row r="53" spans="1:25" s="28" customFormat="1" ht="102" customHeight="1" outlineLevel="1" x14ac:dyDescent="0.25">
      <c r="B53" s="2" t="s">
        <v>7535</v>
      </c>
      <c r="C53" s="5" t="s">
        <v>83</v>
      </c>
      <c r="D53" s="5" t="s">
        <v>139</v>
      </c>
      <c r="E53" s="5" t="s">
        <v>140</v>
      </c>
      <c r="F53" s="5" t="s">
        <v>141</v>
      </c>
      <c r="G53" s="5" t="s">
        <v>142</v>
      </c>
      <c r="H53" s="5" t="s">
        <v>88</v>
      </c>
      <c r="I53" s="27">
        <v>0.5</v>
      </c>
      <c r="J53" s="5">
        <v>710000000</v>
      </c>
      <c r="K53" s="5" t="s">
        <v>89</v>
      </c>
      <c r="L53" s="5" t="s">
        <v>7466</v>
      </c>
      <c r="M53" s="5" t="s">
        <v>91</v>
      </c>
      <c r="N53" s="7" t="s">
        <v>92</v>
      </c>
      <c r="O53" s="7" t="s">
        <v>93</v>
      </c>
      <c r="P53" s="7" t="s">
        <v>94</v>
      </c>
      <c r="Q53" s="15">
        <v>166</v>
      </c>
      <c r="R53" s="5" t="s">
        <v>111</v>
      </c>
      <c r="S53" s="9">
        <v>380</v>
      </c>
      <c r="T53" s="9">
        <v>1391</v>
      </c>
      <c r="U53" s="9">
        <f t="shared" ref="U53" si="20">T53*S53</f>
        <v>528580</v>
      </c>
      <c r="V53" s="9">
        <f t="shared" ref="V53" si="21">U53*1.12</f>
        <v>592009.60000000009</v>
      </c>
      <c r="W53" s="2" t="s">
        <v>97</v>
      </c>
      <c r="X53" s="2">
        <v>2016</v>
      </c>
      <c r="Y53" s="5"/>
    </row>
    <row r="54" spans="1:25" s="28" customFormat="1" ht="89.25" customHeight="1" outlineLevel="1" x14ac:dyDescent="0.2">
      <c r="A54" s="26"/>
      <c r="B54" s="2" t="s">
        <v>143</v>
      </c>
      <c r="C54" s="5" t="s">
        <v>83</v>
      </c>
      <c r="D54" s="5" t="s">
        <v>144</v>
      </c>
      <c r="E54" s="5" t="s">
        <v>145</v>
      </c>
      <c r="F54" s="5" t="s">
        <v>146</v>
      </c>
      <c r="G54" s="5" t="s">
        <v>147</v>
      </c>
      <c r="H54" s="5" t="s">
        <v>88</v>
      </c>
      <c r="I54" s="27">
        <v>0.5</v>
      </c>
      <c r="J54" s="5">
        <v>710000000</v>
      </c>
      <c r="K54" s="5" t="s">
        <v>89</v>
      </c>
      <c r="L54" s="5" t="s">
        <v>90</v>
      </c>
      <c r="M54" s="5" t="s">
        <v>91</v>
      </c>
      <c r="N54" s="7" t="s">
        <v>92</v>
      </c>
      <c r="O54" s="7" t="s">
        <v>93</v>
      </c>
      <c r="P54" s="7" t="s">
        <v>94</v>
      </c>
      <c r="Q54" s="15">
        <v>166</v>
      </c>
      <c r="R54" s="5" t="s">
        <v>111</v>
      </c>
      <c r="S54" s="9">
        <v>17410</v>
      </c>
      <c r="T54" s="9">
        <v>1230.51</v>
      </c>
      <c r="U54" s="9">
        <v>0</v>
      </c>
      <c r="V54" s="9">
        <f t="shared" si="0"/>
        <v>0</v>
      </c>
      <c r="W54" s="2" t="s">
        <v>97</v>
      </c>
      <c r="X54" s="2">
        <v>2016</v>
      </c>
      <c r="Y54" s="5">
        <v>11</v>
      </c>
    </row>
    <row r="55" spans="1:25" s="28" customFormat="1" ht="89.25" customHeight="1" outlineLevel="1" x14ac:dyDescent="0.25">
      <c r="B55" s="2" t="s">
        <v>7536</v>
      </c>
      <c r="C55" s="5" t="s">
        <v>83</v>
      </c>
      <c r="D55" s="5" t="s">
        <v>144</v>
      </c>
      <c r="E55" s="5" t="s">
        <v>145</v>
      </c>
      <c r="F55" s="5" t="s">
        <v>146</v>
      </c>
      <c r="G55" s="5" t="s">
        <v>147</v>
      </c>
      <c r="H55" s="5" t="s">
        <v>88</v>
      </c>
      <c r="I55" s="27">
        <v>0.5</v>
      </c>
      <c r="J55" s="5">
        <v>710000000</v>
      </c>
      <c r="K55" s="5" t="s">
        <v>89</v>
      </c>
      <c r="L55" s="5" t="s">
        <v>7470</v>
      </c>
      <c r="M55" s="5" t="s">
        <v>91</v>
      </c>
      <c r="N55" s="7" t="s">
        <v>92</v>
      </c>
      <c r="O55" s="7" t="s">
        <v>93</v>
      </c>
      <c r="P55" s="7" t="s">
        <v>94</v>
      </c>
      <c r="Q55" s="15">
        <v>166</v>
      </c>
      <c r="R55" s="5" t="s">
        <v>111</v>
      </c>
      <c r="S55" s="9">
        <v>17410</v>
      </c>
      <c r="T55" s="9">
        <v>1230.51</v>
      </c>
      <c r="U55" s="9">
        <f t="shared" ref="U55" si="22">T55*S55</f>
        <v>21423179.100000001</v>
      </c>
      <c r="V55" s="9">
        <f t="shared" ref="V55" si="23">U55*1.12</f>
        <v>23993960.592000004</v>
      </c>
      <c r="W55" s="2" t="s">
        <v>97</v>
      </c>
      <c r="X55" s="2">
        <v>2016</v>
      </c>
      <c r="Y55" s="5"/>
    </row>
    <row r="56" spans="1:25" s="28" customFormat="1" ht="89.25" customHeight="1" outlineLevel="1" x14ac:dyDescent="0.2">
      <c r="A56" s="26"/>
      <c r="B56" s="2" t="s">
        <v>148</v>
      </c>
      <c r="C56" s="5" t="s">
        <v>83</v>
      </c>
      <c r="D56" s="5" t="s">
        <v>149</v>
      </c>
      <c r="E56" s="5" t="s">
        <v>150</v>
      </c>
      <c r="F56" s="5" t="s">
        <v>151</v>
      </c>
      <c r="G56" s="5" t="s">
        <v>152</v>
      </c>
      <c r="H56" s="5" t="s">
        <v>88</v>
      </c>
      <c r="I56" s="27">
        <v>0.5</v>
      </c>
      <c r="J56" s="5">
        <v>710000000</v>
      </c>
      <c r="K56" s="5" t="s">
        <v>89</v>
      </c>
      <c r="L56" s="5" t="s">
        <v>90</v>
      </c>
      <c r="M56" s="5" t="s">
        <v>91</v>
      </c>
      <c r="N56" s="7" t="s">
        <v>92</v>
      </c>
      <c r="O56" s="7" t="s">
        <v>93</v>
      </c>
      <c r="P56" s="7" t="s">
        <v>94</v>
      </c>
      <c r="Q56" s="15">
        <v>166</v>
      </c>
      <c r="R56" s="5" t="s">
        <v>111</v>
      </c>
      <c r="S56" s="9">
        <v>180</v>
      </c>
      <c r="T56" s="9">
        <v>149.36000000000001</v>
      </c>
      <c r="U56" s="9">
        <v>0</v>
      </c>
      <c r="V56" s="9">
        <f t="shared" si="0"/>
        <v>0</v>
      </c>
      <c r="W56" s="2" t="s">
        <v>97</v>
      </c>
      <c r="X56" s="2">
        <v>2016</v>
      </c>
      <c r="Y56" s="5" t="s">
        <v>7670</v>
      </c>
    </row>
    <row r="57" spans="1:25" s="28" customFormat="1" ht="89.25" customHeight="1" outlineLevel="1" x14ac:dyDescent="0.25">
      <c r="B57" s="2" t="s">
        <v>7537</v>
      </c>
      <c r="C57" s="5" t="s">
        <v>83</v>
      </c>
      <c r="D57" s="5" t="s">
        <v>149</v>
      </c>
      <c r="E57" s="5" t="s">
        <v>150</v>
      </c>
      <c r="F57" s="5" t="s">
        <v>151</v>
      </c>
      <c r="G57" s="5" t="s">
        <v>152</v>
      </c>
      <c r="H57" s="5" t="s">
        <v>88</v>
      </c>
      <c r="I57" s="27">
        <v>0</v>
      </c>
      <c r="J57" s="5">
        <v>710000000</v>
      </c>
      <c r="K57" s="5" t="s">
        <v>89</v>
      </c>
      <c r="L57" s="5" t="s">
        <v>7470</v>
      </c>
      <c r="M57" s="5" t="s">
        <v>91</v>
      </c>
      <c r="N57" s="7" t="s">
        <v>92</v>
      </c>
      <c r="O57" s="7" t="s">
        <v>93</v>
      </c>
      <c r="P57" s="7" t="s">
        <v>673</v>
      </c>
      <c r="Q57" s="15">
        <v>166</v>
      </c>
      <c r="R57" s="5" t="s">
        <v>111</v>
      </c>
      <c r="S57" s="9">
        <v>180</v>
      </c>
      <c r="T57" s="9">
        <v>149.36000000000001</v>
      </c>
      <c r="U57" s="9">
        <f t="shared" ref="U57" si="24">T57*S57</f>
        <v>26884.800000000003</v>
      </c>
      <c r="V57" s="9">
        <f t="shared" ref="V57" si="25">U57*1.12</f>
        <v>30110.976000000006</v>
      </c>
      <c r="W57" s="2"/>
      <c r="X57" s="2">
        <v>2016</v>
      </c>
      <c r="Y57" s="5"/>
    </row>
    <row r="58" spans="1:25" s="28" customFormat="1" ht="89.25" customHeight="1" outlineLevel="1" x14ac:dyDescent="0.2">
      <c r="A58" s="26"/>
      <c r="B58" s="2" t="s">
        <v>153</v>
      </c>
      <c r="C58" s="5" t="s">
        <v>83</v>
      </c>
      <c r="D58" s="5" t="s">
        <v>154</v>
      </c>
      <c r="E58" s="5" t="s">
        <v>155</v>
      </c>
      <c r="F58" s="5" t="s">
        <v>156</v>
      </c>
      <c r="G58" s="5" t="s">
        <v>157</v>
      </c>
      <c r="H58" s="5" t="s">
        <v>88</v>
      </c>
      <c r="I58" s="27">
        <v>0.5</v>
      </c>
      <c r="J58" s="5">
        <v>710000000</v>
      </c>
      <c r="K58" s="5" t="s">
        <v>89</v>
      </c>
      <c r="L58" s="5" t="s">
        <v>90</v>
      </c>
      <c r="M58" s="5" t="s">
        <v>91</v>
      </c>
      <c r="N58" s="7" t="s">
        <v>92</v>
      </c>
      <c r="O58" s="7" t="s">
        <v>93</v>
      </c>
      <c r="P58" s="7" t="s">
        <v>94</v>
      </c>
      <c r="Q58" s="15">
        <v>166</v>
      </c>
      <c r="R58" s="5" t="s">
        <v>111</v>
      </c>
      <c r="S58" s="9">
        <v>592</v>
      </c>
      <c r="T58" s="9">
        <v>1224.04</v>
      </c>
      <c r="U58" s="9">
        <v>0</v>
      </c>
      <c r="V58" s="9">
        <f t="shared" si="0"/>
        <v>0</v>
      </c>
      <c r="W58" s="2" t="s">
        <v>97</v>
      </c>
      <c r="X58" s="2">
        <v>2016</v>
      </c>
      <c r="Y58" s="5" t="s">
        <v>7670</v>
      </c>
    </row>
    <row r="59" spans="1:25" s="28" customFormat="1" ht="89.25" customHeight="1" outlineLevel="1" x14ac:dyDescent="0.25">
      <c r="B59" s="2" t="s">
        <v>7538</v>
      </c>
      <c r="C59" s="5" t="s">
        <v>83</v>
      </c>
      <c r="D59" s="5" t="s">
        <v>154</v>
      </c>
      <c r="E59" s="5" t="s">
        <v>155</v>
      </c>
      <c r="F59" s="5" t="s">
        <v>156</v>
      </c>
      <c r="G59" s="5" t="s">
        <v>157</v>
      </c>
      <c r="H59" s="5" t="s">
        <v>88</v>
      </c>
      <c r="I59" s="27">
        <v>0</v>
      </c>
      <c r="J59" s="5">
        <v>710000000</v>
      </c>
      <c r="K59" s="5" t="s">
        <v>89</v>
      </c>
      <c r="L59" s="5" t="s">
        <v>7470</v>
      </c>
      <c r="M59" s="5" t="s">
        <v>91</v>
      </c>
      <c r="N59" s="7" t="s">
        <v>92</v>
      </c>
      <c r="O59" s="7" t="s">
        <v>93</v>
      </c>
      <c r="P59" s="7" t="s">
        <v>673</v>
      </c>
      <c r="Q59" s="15">
        <v>166</v>
      </c>
      <c r="R59" s="5" t="s">
        <v>111</v>
      </c>
      <c r="S59" s="9">
        <v>592</v>
      </c>
      <c r="T59" s="9">
        <v>1224.04</v>
      </c>
      <c r="U59" s="9">
        <f t="shared" ref="U59" si="26">T59*S59</f>
        <v>724631.67999999993</v>
      </c>
      <c r="V59" s="9">
        <f t="shared" ref="V59" si="27">U59*1.12</f>
        <v>811587.48160000006</v>
      </c>
      <c r="W59" s="2"/>
      <c r="X59" s="2">
        <v>2016</v>
      </c>
      <c r="Y59" s="5"/>
    </row>
    <row r="60" spans="1:25" s="28" customFormat="1" ht="89.25" customHeight="1" outlineLevel="1" x14ac:dyDescent="0.2">
      <c r="A60" s="26"/>
      <c r="B60" s="2" t="s">
        <v>158</v>
      </c>
      <c r="C60" s="5" t="s">
        <v>83</v>
      </c>
      <c r="D60" s="5" t="s">
        <v>159</v>
      </c>
      <c r="E60" s="5" t="s">
        <v>160</v>
      </c>
      <c r="F60" s="5" t="s">
        <v>161</v>
      </c>
      <c r="G60" s="5" t="s">
        <v>162</v>
      </c>
      <c r="H60" s="5" t="s">
        <v>88</v>
      </c>
      <c r="I60" s="27">
        <v>0.5</v>
      </c>
      <c r="J60" s="5">
        <v>710000000</v>
      </c>
      <c r="K60" s="5" t="s">
        <v>89</v>
      </c>
      <c r="L60" s="5" t="s">
        <v>90</v>
      </c>
      <c r="M60" s="5" t="s">
        <v>91</v>
      </c>
      <c r="N60" s="7" t="s">
        <v>92</v>
      </c>
      <c r="O60" s="7" t="s">
        <v>93</v>
      </c>
      <c r="P60" s="7" t="s">
        <v>94</v>
      </c>
      <c r="Q60" s="15">
        <v>166</v>
      </c>
      <c r="R60" s="5" t="s">
        <v>111</v>
      </c>
      <c r="S60" s="9">
        <v>1041</v>
      </c>
      <c r="T60" s="9">
        <v>695.43</v>
      </c>
      <c r="U60" s="9">
        <v>0</v>
      </c>
      <c r="V60" s="9">
        <f t="shared" si="0"/>
        <v>0</v>
      </c>
      <c r="W60" s="2" t="s">
        <v>97</v>
      </c>
      <c r="X60" s="2">
        <v>2016</v>
      </c>
      <c r="Y60" s="5" t="s">
        <v>7670</v>
      </c>
    </row>
    <row r="61" spans="1:25" s="28" customFormat="1" ht="89.25" customHeight="1" outlineLevel="1" x14ac:dyDescent="0.25">
      <c r="B61" s="2" t="s">
        <v>7539</v>
      </c>
      <c r="C61" s="5" t="s">
        <v>83</v>
      </c>
      <c r="D61" s="5" t="s">
        <v>159</v>
      </c>
      <c r="E61" s="5" t="s">
        <v>160</v>
      </c>
      <c r="F61" s="5" t="s">
        <v>161</v>
      </c>
      <c r="G61" s="5" t="s">
        <v>162</v>
      </c>
      <c r="H61" s="5" t="s">
        <v>88</v>
      </c>
      <c r="I61" s="27">
        <v>0</v>
      </c>
      <c r="J61" s="5">
        <v>710000000</v>
      </c>
      <c r="K61" s="5" t="s">
        <v>89</v>
      </c>
      <c r="L61" s="5" t="s">
        <v>7470</v>
      </c>
      <c r="M61" s="5" t="s">
        <v>91</v>
      </c>
      <c r="N61" s="7" t="s">
        <v>92</v>
      </c>
      <c r="O61" s="7" t="s">
        <v>93</v>
      </c>
      <c r="P61" s="7" t="s">
        <v>673</v>
      </c>
      <c r="Q61" s="15">
        <v>166</v>
      </c>
      <c r="R61" s="5" t="s">
        <v>111</v>
      </c>
      <c r="S61" s="9">
        <v>1041</v>
      </c>
      <c r="T61" s="9">
        <v>695.43</v>
      </c>
      <c r="U61" s="9">
        <f t="shared" ref="U61" si="28">T61*S61</f>
        <v>723942.63</v>
      </c>
      <c r="V61" s="9">
        <f t="shared" ref="V61" si="29">U61*1.12</f>
        <v>810815.74560000014</v>
      </c>
      <c r="W61" s="2"/>
      <c r="X61" s="2">
        <v>2016</v>
      </c>
      <c r="Y61" s="5"/>
    </row>
    <row r="62" spans="1:25" s="28" customFormat="1" ht="89.25" customHeight="1" outlineLevel="1" x14ac:dyDescent="0.2">
      <c r="A62" s="26"/>
      <c r="B62" s="2" t="s">
        <v>163</v>
      </c>
      <c r="C62" s="5" t="s">
        <v>83</v>
      </c>
      <c r="D62" s="5" t="s">
        <v>164</v>
      </c>
      <c r="E62" s="5" t="s">
        <v>165</v>
      </c>
      <c r="F62" s="5" t="s">
        <v>166</v>
      </c>
      <c r="G62" s="5" t="s">
        <v>167</v>
      </c>
      <c r="H62" s="5" t="s">
        <v>88</v>
      </c>
      <c r="I62" s="27">
        <v>0.5</v>
      </c>
      <c r="J62" s="5">
        <v>710000000</v>
      </c>
      <c r="K62" s="5" t="s">
        <v>89</v>
      </c>
      <c r="L62" s="5" t="s">
        <v>90</v>
      </c>
      <c r="M62" s="5" t="s">
        <v>91</v>
      </c>
      <c r="N62" s="7" t="s">
        <v>92</v>
      </c>
      <c r="O62" s="7" t="s">
        <v>93</v>
      </c>
      <c r="P62" s="7" t="s">
        <v>94</v>
      </c>
      <c r="Q62" s="15">
        <v>166</v>
      </c>
      <c r="R62" s="5" t="s">
        <v>111</v>
      </c>
      <c r="S62" s="9">
        <v>41</v>
      </c>
      <c r="T62" s="9">
        <v>535</v>
      </c>
      <c r="U62" s="9">
        <v>0</v>
      </c>
      <c r="V62" s="9">
        <f t="shared" si="0"/>
        <v>0</v>
      </c>
      <c r="W62" s="2" t="s">
        <v>97</v>
      </c>
      <c r="X62" s="2">
        <v>2016</v>
      </c>
      <c r="Y62" s="5" t="s">
        <v>7670</v>
      </c>
    </row>
    <row r="63" spans="1:25" s="28" customFormat="1" ht="89.25" customHeight="1" outlineLevel="1" x14ac:dyDescent="0.25">
      <c r="B63" s="2" t="s">
        <v>7540</v>
      </c>
      <c r="C63" s="5" t="s">
        <v>83</v>
      </c>
      <c r="D63" s="5" t="s">
        <v>164</v>
      </c>
      <c r="E63" s="5" t="s">
        <v>165</v>
      </c>
      <c r="F63" s="5" t="s">
        <v>166</v>
      </c>
      <c r="G63" s="5" t="s">
        <v>167</v>
      </c>
      <c r="H63" s="5" t="s">
        <v>88</v>
      </c>
      <c r="I63" s="27">
        <v>0</v>
      </c>
      <c r="J63" s="5">
        <v>710000000</v>
      </c>
      <c r="K63" s="5" t="s">
        <v>89</v>
      </c>
      <c r="L63" s="5" t="s">
        <v>7470</v>
      </c>
      <c r="M63" s="5" t="s">
        <v>91</v>
      </c>
      <c r="N63" s="7" t="s">
        <v>92</v>
      </c>
      <c r="O63" s="7" t="s">
        <v>93</v>
      </c>
      <c r="P63" s="7" t="s">
        <v>673</v>
      </c>
      <c r="Q63" s="15">
        <v>166</v>
      </c>
      <c r="R63" s="5" t="s">
        <v>111</v>
      </c>
      <c r="S63" s="9">
        <v>41</v>
      </c>
      <c r="T63" s="9">
        <v>535</v>
      </c>
      <c r="U63" s="9">
        <f t="shared" ref="U63" si="30">T63*S63</f>
        <v>21935</v>
      </c>
      <c r="V63" s="9">
        <f t="shared" ref="V63" si="31">U63*1.12</f>
        <v>24567.200000000001</v>
      </c>
      <c r="W63" s="2"/>
      <c r="X63" s="2">
        <v>2016</v>
      </c>
      <c r="Y63" s="5"/>
    </row>
    <row r="64" spans="1:25" s="28" customFormat="1" ht="89.25" customHeight="1" outlineLevel="1" x14ac:dyDescent="0.2">
      <c r="A64" s="26"/>
      <c r="B64" s="2" t="s">
        <v>168</v>
      </c>
      <c r="C64" s="5" t="s">
        <v>83</v>
      </c>
      <c r="D64" s="5" t="s">
        <v>169</v>
      </c>
      <c r="E64" s="5" t="s">
        <v>170</v>
      </c>
      <c r="F64" s="5" t="s">
        <v>171</v>
      </c>
      <c r="G64" s="5" t="s">
        <v>172</v>
      </c>
      <c r="H64" s="5" t="s">
        <v>88</v>
      </c>
      <c r="I64" s="27">
        <v>0.5</v>
      </c>
      <c r="J64" s="5">
        <v>710000000</v>
      </c>
      <c r="K64" s="5" t="s">
        <v>89</v>
      </c>
      <c r="L64" s="5" t="s">
        <v>90</v>
      </c>
      <c r="M64" s="5" t="s">
        <v>91</v>
      </c>
      <c r="N64" s="7" t="s">
        <v>92</v>
      </c>
      <c r="O64" s="7" t="s">
        <v>93</v>
      </c>
      <c r="P64" s="7" t="s">
        <v>94</v>
      </c>
      <c r="Q64" s="15">
        <v>166</v>
      </c>
      <c r="R64" s="5" t="s">
        <v>111</v>
      </c>
      <c r="S64" s="9">
        <v>2681</v>
      </c>
      <c r="T64" s="9">
        <v>535.08000000000004</v>
      </c>
      <c r="U64" s="9">
        <v>0</v>
      </c>
      <c r="V64" s="9">
        <f t="shared" si="0"/>
        <v>0</v>
      </c>
      <c r="W64" s="2" t="s">
        <v>97</v>
      </c>
      <c r="X64" s="2">
        <v>2016</v>
      </c>
      <c r="Y64" s="5" t="s">
        <v>7670</v>
      </c>
    </row>
    <row r="65" spans="1:25" s="28" customFormat="1" ht="89.25" customHeight="1" outlineLevel="1" x14ac:dyDescent="0.25">
      <c r="B65" s="2" t="s">
        <v>7541</v>
      </c>
      <c r="C65" s="5" t="s">
        <v>83</v>
      </c>
      <c r="D65" s="5" t="s">
        <v>169</v>
      </c>
      <c r="E65" s="5" t="s">
        <v>170</v>
      </c>
      <c r="F65" s="5" t="s">
        <v>171</v>
      </c>
      <c r="G65" s="5" t="s">
        <v>172</v>
      </c>
      <c r="H65" s="5" t="s">
        <v>88</v>
      </c>
      <c r="I65" s="27">
        <v>0</v>
      </c>
      <c r="J65" s="5">
        <v>710000000</v>
      </c>
      <c r="K65" s="5" t="s">
        <v>89</v>
      </c>
      <c r="L65" s="5" t="s">
        <v>7470</v>
      </c>
      <c r="M65" s="5" t="s">
        <v>91</v>
      </c>
      <c r="N65" s="7" t="s">
        <v>92</v>
      </c>
      <c r="O65" s="7" t="s">
        <v>93</v>
      </c>
      <c r="P65" s="7" t="s">
        <v>673</v>
      </c>
      <c r="Q65" s="15">
        <v>166</v>
      </c>
      <c r="R65" s="5" t="s">
        <v>111</v>
      </c>
      <c r="S65" s="9">
        <v>2681</v>
      </c>
      <c r="T65" s="9">
        <v>535.08000000000004</v>
      </c>
      <c r="U65" s="9">
        <f t="shared" ref="U65" si="32">T65*S65</f>
        <v>1434549.4800000002</v>
      </c>
      <c r="V65" s="9">
        <f t="shared" ref="V65" si="33">U65*1.12</f>
        <v>1606695.4176000003</v>
      </c>
      <c r="W65" s="2"/>
      <c r="X65" s="2">
        <v>2016</v>
      </c>
      <c r="Y65" s="5"/>
    </row>
    <row r="66" spans="1:25" s="28" customFormat="1" ht="89.25" customHeight="1" outlineLevel="1" x14ac:dyDescent="0.2">
      <c r="A66" s="26"/>
      <c r="B66" s="2" t="s">
        <v>173</v>
      </c>
      <c r="C66" s="5" t="s">
        <v>83</v>
      </c>
      <c r="D66" s="5" t="s">
        <v>174</v>
      </c>
      <c r="E66" s="5" t="s">
        <v>175</v>
      </c>
      <c r="F66" s="5" t="s">
        <v>176</v>
      </c>
      <c r="G66" s="5" t="s">
        <v>177</v>
      </c>
      <c r="H66" s="5" t="s">
        <v>88</v>
      </c>
      <c r="I66" s="27">
        <v>0.5</v>
      </c>
      <c r="J66" s="5">
        <v>710000000</v>
      </c>
      <c r="K66" s="5" t="s">
        <v>89</v>
      </c>
      <c r="L66" s="5" t="s">
        <v>90</v>
      </c>
      <c r="M66" s="5" t="s">
        <v>91</v>
      </c>
      <c r="N66" s="7" t="s">
        <v>92</v>
      </c>
      <c r="O66" s="7" t="s">
        <v>93</v>
      </c>
      <c r="P66" s="7" t="s">
        <v>94</v>
      </c>
      <c r="Q66" s="15">
        <v>166</v>
      </c>
      <c r="R66" s="5" t="s">
        <v>111</v>
      </c>
      <c r="S66" s="9">
        <v>922</v>
      </c>
      <c r="T66" s="9">
        <v>1123.5</v>
      </c>
      <c r="U66" s="9">
        <v>0</v>
      </c>
      <c r="V66" s="9">
        <f t="shared" si="0"/>
        <v>0</v>
      </c>
      <c r="W66" s="2" t="s">
        <v>97</v>
      </c>
      <c r="X66" s="2">
        <v>2016</v>
      </c>
      <c r="Y66" s="5" t="s">
        <v>7670</v>
      </c>
    </row>
    <row r="67" spans="1:25" s="28" customFormat="1" ht="89.25" customHeight="1" outlineLevel="1" x14ac:dyDescent="0.25">
      <c r="B67" s="2" t="s">
        <v>7542</v>
      </c>
      <c r="C67" s="5" t="s">
        <v>83</v>
      </c>
      <c r="D67" s="5" t="s">
        <v>174</v>
      </c>
      <c r="E67" s="5" t="s">
        <v>175</v>
      </c>
      <c r="F67" s="5" t="s">
        <v>176</v>
      </c>
      <c r="G67" s="5" t="s">
        <v>177</v>
      </c>
      <c r="H67" s="5" t="s">
        <v>88</v>
      </c>
      <c r="I67" s="27">
        <v>0</v>
      </c>
      <c r="J67" s="5">
        <v>710000000</v>
      </c>
      <c r="K67" s="5" t="s">
        <v>89</v>
      </c>
      <c r="L67" s="5" t="s">
        <v>7470</v>
      </c>
      <c r="M67" s="5" t="s">
        <v>91</v>
      </c>
      <c r="N67" s="7" t="s">
        <v>92</v>
      </c>
      <c r="O67" s="7" t="s">
        <v>93</v>
      </c>
      <c r="P67" s="7" t="s">
        <v>673</v>
      </c>
      <c r="Q67" s="15">
        <v>166</v>
      </c>
      <c r="R67" s="5" t="s">
        <v>111</v>
      </c>
      <c r="S67" s="9">
        <v>922</v>
      </c>
      <c r="T67" s="9">
        <v>1123.5</v>
      </c>
      <c r="U67" s="9">
        <f t="shared" ref="U67" si="34">T67*S67</f>
        <v>1035867</v>
      </c>
      <c r="V67" s="9">
        <f t="shared" ref="V67" si="35">U67*1.12</f>
        <v>1160171.04</v>
      </c>
      <c r="W67" s="2"/>
      <c r="X67" s="2">
        <v>2016</v>
      </c>
      <c r="Y67" s="5"/>
    </row>
    <row r="68" spans="1:25" s="28" customFormat="1" ht="89.25" customHeight="1" outlineLevel="1" x14ac:dyDescent="0.2">
      <c r="A68" s="26"/>
      <c r="B68" s="2" t="s">
        <v>178</v>
      </c>
      <c r="C68" s="5" t="s">
        <v>83</v>
      </c>
      <c r="D68" s="5" t="s">
        <v>179</v>
      </c>
      <c r="E68" s="5" t="s">
        <v>175</v>
      </c>
      <c r="F68" s="5" t="s">
        <v>180</v>
      </c>
      <c r="G68" s="5" t="s">
        <v>181</v>
      </c>
      <c r="H68" s="5" t="s">
        <v>88</v>
      </c>
      <c r="I68" s="27">
        <v>0.5</v>
      </c>
      <c r="J68" s="5">
        <v>710000000</v>
      </c>
      <c r="K68" s="5" t="s">
        <v>89</v>
      </c>
      <c r="L68" s="5" t="s">
        <v>90</v>
      </c>
      <c r="M68" s="5" t="s">
        <v>91</v>
      </c>
      <c r="N68" s="7" t="s">
        <v>92</v>
      </c>
      <c r="O68" s="7" t="s">
        <v>93</v>
      </c>
      <c r="P68" s="7" t="s">
        <v>94</v>
      </c>
      <c r="Q68" s="15">
        <v>166</v>
      </c>
      <c r="R68" s="5" t="s">
        <v>111</v>
      </c>
      <c r="S68" s="9">
        <v>212</v>
      </c>
      <c r="T68" s="9">
        <v>1016.51</v>
      </c>
      <c r="U68" s="9">
        <v>0</v>
      </c>
      <c r="V68" s="9">
        <f t="shared" si="0"/>
        <v>0</v>
      </c>
      <c r="W68" s="2" t="s">
        <v>97</v>
      </c>
      <c r="X68" s="2">
        <v>2016</v>
      </c>
      <c r="Y68" s="5" t="s">
        <v>7670</v>
      </c>
    </row>
    <row r="69" spans="1:25" s="28" customFormat="1" ht="89.25" customHeight="1" outlineLevel="1" x14ac:dyDescent="0.25">
      <c r="B69" s="2" t="s">
        <v>7543</v>
      </c>
      <c r="C69" s="5" t="s">
        <v>83</v>
      </c>
      <c r="D69" s="5" t="s">
        <v>179</v>
      </c>
      <c r="E69" s="5" t="s">
        <v>175</v>
      </c>
      <c r="F69" s="5" t="s">
        <v>180</v>
      </c>
      <c r="G69" s="5" t="s">
        <v>181</v>
      </c>
      <c r="H69" s="5" t="s">
        <v>88</v>
      </c>
      <c r="I69" s="27">
        <v>0</v>
      </c>
      <c r="J69" s="5">
        <v>710000000</v>
      </c>
      <c r="K69" s="5" t="s">
        <v>89</v>
      </c>
      <c r="L69" s="5" t="s">
        <v>7470</v>
      </c>
      <c r="M69" s="5" t="s">
        <v>91</v>
      </c>
      <c r="N69" s="7" t="s">
        <v>92</v>
      </c>
      <c r="O69" s="7" t="s">
        <v>93</v>
      </c>
      <c r="P69" s="7" t="s">
        <v>673</v>
      </c>
      <c r="Q69" s="15">
        <v>166</v>
      </c>
      <c r="R69" s="5" t="s">
        <v>111</v>
      </c>
      <c r="S69" s="9">
        <v>212</v>
      </c>
      <c r="T69" s="9">
        <v>1016.51</v>
      </c>
      <c r="U69" s="9">
        <f t="shared" ref="U69" si="36">T69*S69</f>
        <v>215500.12</v>
      </c>
      <c r="V69" s="9">
        <f t="shared" ref="V69" si="37">U69*1.12</f>
        <v>241360.13440000001</v>
      </c>
      <c r="W69" s="2"/>
      <c r="X69" s="2">
        <v>2016</v>
      </c>
      <c r="Y69" s="5"/>
    </row>
    <row r="70" spans="1:25" s="28" customFormat="1" ht="127.5" customHeight="1" outlineLevel="1" x14ac:dyDescent="0.2">
      <c r="A70" s="26"/>
      <c r="B70" s="2" t="s">
        <v>182</v>
      </c>
      <c r="C70" s="5" t="s">
        <v>83</v>
      </c>
      <c r="D70" s="5" t="s">
        <v>183</v>
      </c>
      <c r="E70" s="5" t="s">
        <v>184</v>
      </c>
      <c r="F70" s="5" t="s">
        <v>185</v>
      </c>
      <c r="G70" s="5" t="s">
        <v>186</v>
      </c>
      <c r="H70" s="5" t="s">
        <v>88</v>
      </c>
      <c r="I70" s="27">
        <v>0.5</v>
      </c>
      <c r="J70" s="5">
        <v>710000000</v>
      </c>
      <c r="K70" s="5" t="s">
        <v>89</v>
      </c>
      <c r="L70" s="5" t="s">
        <v>90</v>
      </c>
      <c r="M70" s="5" t="s">
        <v>91</v>
      </c>
      <c r="N70" s="7" t="s">
        <v>92</v>
      </c>
      <c r="O70" s="7" t="s">
        <v>93</v>
      </c>
      <c r="P70" s="7" t="s">
        <v>94</v>
      </c>
      <c r="Q70" s="15">
        <v>166</v>
      </c>
      <c r="R70" s="5" t="s">
        <v>111</v>
      </c>
      <c r="S70" s="9">
        <v>12</v>
      </c>
      <c r="T70" s="9">
        <v>963</v>
      </c>
      <c r="U70" s="9">
        <v>0</v>
      </c>
      <c r="V70" s="9">
        <f t="shared" si="0"/>
        <v>0</v>
      </c>
      <c r="W70" s="2" t="s">
        <v>97</v>
      </c>
      <c r="X70" s="2">
        <v>2016</v>
      </c>
      <c r="Y70" s="5" t="s">
        <v>7670</v>
      </c>
    </row>
    <row r="71" spans="1:25" s="28" customFormat="1" ht="127.5" customHeight="1" outlineLevel="1" x14ac:dyDescent="0.25">
      <c r="B71" s="2" t="s">
        <v>7544</v>
      </c>
      <c r="C71" s="5" t="s">
        <v>83</v>
      </c>
      <c r="D71" s="5" t="s">
        <v>183</v>
      </c>
      <c r="E71" s="5" t="s">
        <v>184</v>
      </c>
      <c r="F71" s="5" t="s">
        <v>185</v>
      </c>
      <c r="G71" s="5" t="s">
        <v>186</v>
      </c>
      <c r="H71" s="5" t="s">
        <v>88</v>
      </c>
      <c r="I71" s="27">
        <v>0</v>
      </c>
      <c r="J71" s="5">
        <v>710000000</v>
      </c>
      <c r="K71" s="5" t="s">
        <v>89</v>
      </c>
      <c r="L71" s="5" t="s">
        <v>7470</v>
      </c>
      <c r="M71" s="5" t="s">
        <v>91</v>
      </c>
      <c r="N71" s="7" t="s">
        <v>92</v>
      </c>
      <c r="O71" s="7" t="s">
        <v>93</v>
      </c>
      <c r="P71" s="7" t="s">
        <v>673</v>
      </c>
      <c r="Q71" s="15">
        <v>166</v>
      </c>
      <c r="R71" s="5" t="s">
        <v>111</v>
      </c>
      <c r="S71" s="9">
        <v>12</v>
      </c>
      <c r="T71" s="9">
        <v>963</v>
      </c>
      <c r="U71" s="9">
        <f t="shared" ref="U71" si="38">T71*S71</f>
        <v>11556</v>
      </c>
      <c r="V71" s="9">
        <f t="shared" ref="V71" si="39">U71*1.12</f>
        <v>12942.720000000001</v>
      </c>
      <c r="W71" s="2"/>
      <c r="X71" s="2">
        <v>2016</v>
      </c>
      <c r="Y71" s="5"/>
    </row>
    <row r="72" spans="1:25" s="28" customFormat="1" ht="89.25" customHeight="1" outlineLevel="1" x14ac:dyDescent="0.2">
      <c r="A72" s="26"/>
      <c r="B72" s="2" t="s">
        <v>187</v>
      </c>
      <c r="C72" s="5" t="s">
        <v>83</v>
      </c>
      <c r="D72" s="5" t="s">
        <v>188</v>
      </c>
      <c r="E72" s="5" t="s">
        <v>189</v>
      </c>
      <c r="F72" s="5" t="s">
        <v>190</v>
      </c>
      <c r="G72" s="5" t="s">
        <v>191</v>
      </c>
      <c r="H72" s="5" t="s">
        <v>88</v>
      </c>
      <c r="I72" s="27">
        <v>0.5</v>
      </c>
      <c r="J72" s="5">
        <v>710000000</v>
      </c>
      <c r="K72" s="5" t="s">
        <v>89</v>
      </c>
      <c r="L72" s="5" t="s">
        <v>90</v>
      </c>
      <c r="M72" s="5" t="s">
        <v>91</v>
      </c>
      <c r="N72" s="7" t="s">
        <v>92</v>
      </c>
      <c r="O72" s="7" t="s">
        <v>93</v>
      </c>
      <c r="P72" s="7" t="s">
        <v>94</v>
      </c>
      <c r="Q72" s="15">
        <v>166</v>
      </c>
      <c r="R72" s="5" t="s">
        <v>111</v>
      </c>
      <c r="S72" s="9">
        <v>540</v>
      </c>
      <c r="T72" s="9">
        <v>573.52</v>
      </c>
      <c r="U72" s="9">
        <v>0</v>
      </c>
      <c r="V72" s="9">
        <f t="shared" si="0"/>
        <v>0</v>
      </c>
      <c r="W72" s="2" t="s">
        <v>97</v>
      </c>
      <c r="X72" s="2">
        <v>2016</v>
      </c>
      <c r="Y72" s="5" t="s">
        <v>7670</v>
      </c>
    </row>
    <row r="73" spans="1:25" s="28" customFormat="1" ht="89.25" customHeight="1" outlineLevel="1" x14ac:dyDescent="0.25">
      <c r="B73" s="2" t="s">
        <v>7545</v>
      </c>
      <c r="C73" s="5" t="s">
        <v>83</v>
      </c>
      <c r="D73" s="5" t="s">
        <v>188</v>
      </c>
      <c r="E73" s="5" t="s">
        <v>189</v>
      </c>
      <c r="F73" s="5" t="s">
        <v>190</v>
      </c>
      <c r="G73" s="5" t="s">
        <v>191</v>
      </c>
      <c r="H73" s="5" t="s">
        <v>88</v>
      </c>
      <c r="I73" s="27">
        <v>0</v>
      </c>
      <c r="J73" s="5">
        <v>710000000</v>
      </c>
      <c r="K73" s="5" t="s">
        <v>89</v>
      </c>
      <c r="L73" s="5" t="s">
        <v>7470</v>
      </c>
      <c r="M73" s="5" t="s">
        <v>91</v>
      </c>
      <c r="N73" s="7" t="s">
        <v>92</v>
      </c>
      <c r="O73" s="7" t="s">
        <v>93</v>
      </c>
      <c r="P73" s="7" t="s">
        <v>673</v>
      </c>
      <c r="Q73" s="15">
        <v>166</v>
      </c>
      <c r="R73" s="5" t="s">
        <v>111</v>
      </c>
      <c r="S73" s="9">
        <v>540</v>
      </c>
      <c r="T73" s="9">
        <v>573.52</v>
      </c>
      <c r="U73" s="9">
        <f t="shared" ref="U73" si="40">T73*S73</f>
        <v>309700.8</v>
      </c>
      <c r="V73" s="9">
        <f t="shared" ref="V73" si="41">U73*1.12</f>
        <v>346864.89600000001</v>
      </c>
      <c r="W73" s="2"/>
      <c r="X73" s="2">
        <v>2016</v>
      </c>
      <c r="Y73" s="5"/>
    </row>
    <row r="74" spans="1:25" s="28" customFormat="1" ht="89.25" customHeight="1" outlineLevel="1" x14ac:dyDescent="0.2">
      <c r="A74" s="26"/>
      <c r="B74" s="2" t="s">
        <v>192</v>
      </c>
      <c r="C74" s="5" t="s">
        <v>83</v>
      </c>
      <c r="D74" s="5" t="s">
        <v>193</v>
      </c>
      <c r="E74" s="5" t="s">
        <v>194</v>
      </c>
      <c r="F74" s="5" t="s">
        <v>195</v>
      </c>
      <c r="G74" s="5" t="s">
        <v>196</v>
      </c>
      <c r="H74" s="5" t="s">
        <v>88</v>
      </c>
      <c r="I74" s="27">
        <v>0.5</v>
      </c>
      <c r="J74" s="5">
        <v>710000000</v>
      </c>
      <c r="K74" s="5" t="s">
        <v>89</v>
      </c>
      <c r="L74" s="5" t="s">
        <v>90</v>
      </c>
      <c r="M74" s="5" t="s">
        <v>91</v>
      </c>
      <c r="N74" s="7" t="s">
        <v>92</v>
      </c>
      <c r="O74" s="7" t="s">
        <v>93</v>
      </c>
      <c r="P74" s="7" t="s">
        <v>94</v>
      </c>
      <c r="Q74" s="15">
        <v>166</v>
      </c>
      <c r="R74" s="5" t="s">
        <v>111</v>
      </c>
      <c r="S74" s="9">
        <v>340</v>
      </c>
      <c r="T74" s="9">
        <v>695.5</v>
      </c>
      <c r="U74" s="9">
        <v>0</v>
      </c>
      <c r="V74" s="9">
        <f t="shared" si="0"/>
        <v>0</v>
      </c>
      <c r="W74" s="2" t="s">
        <v>97</v>
      </c>
      <c r="X74" s="2">
        <v>2016</v>
      </c>
      <c r="Y74" s="5" t="s">
        <v>7670</v>
      </c>
    </row>
    <row r="75" spans="1:25" s="28" customFormat="1" ht="89.25" customHeight="1" outlineLevel="1" x14ac:dyDescent="0.25">
      <c r="B75" s="2" t="s">
        <v>7546</v>
      </c>
      <c r="C75" s="5" t="s">
        <v>83</v>
      </c>
      <c r="D75" s="5" t="s">
        <v>193</v>
      </c>
      <c r="E75" s="5" t="s">
        <v>194</v>
      </c>
      <c r="F75" s="5" t="s">
        <v>195</v>
      </c>
      <c r="G75" s="5" t="s">
        <v>196</v>
      </c>
      <c r="H75" s="5" t="s">
        <v>88</v>
      </c>
      <c r="I75" s="27">
        <v>0</v>
      </c>
      <c r="J75" s="5">
        <v>710000000</v>
      </c>
      <c r="K75" s="5" t="s">
        <v>89</v>
      </c>
      <c r="L75" s="5" t="s">
        <v>7470</v>
      </c>
      <c r="M75" s="5" t="s">
        <v>91</v>
      </c>
      <c r="N75" s="7" t="s">
        <v>92</v>
      </c>
      <c r="O75" s="7" t="s">
        <v>93</v>
      </c>
      <c r="P75" s="7" t="s">
        <v>673</v>
      </c>
      <c r="Q75" s="15">
        <v>166</v>
      </c>
      <c r="R75" s="5" t="s">
        <v>111</v>
      </c>
      <c r="S75" s="9">
        <v>340</v>
      </c>
      <c r="T75" s="9">
        <v>695.5</v>
      </c>
      <c r="U75" s="9">
        <f t="shared" ref="U75" si="42">T75*S75</f>
        <v>236470</v>
      </c>
      <c r="V75" s="9">
        <f t="shared" ref="V75" si="43">U75*1.12</f>
        <v>264846.40000000002</v>
      </c>
      <c r="W75" s="2"/>
      <c r="X75" s="2">
        <v>2016</v>
      </c>
      <c r="Y75" s="5"/>
    </row>
    <row r="76" spans="1:25" s="28" customFormat="1" ht="89.25" customHeight="1" outlineLevel="1" x14ac:dyDescent="0.2">
      <c r="A76" s="26"/>
      <c r="B76" s="2" t="s">
        <v>197</v>
      </c>
      <c r="C76" s="5" t="s">
        <v>83</v>
      </c>
      <c r="D76" s="5" t="s">
        <v>198</v>
      </c>
      <c r="E76" s="5" t="s">
        <v>199</v>
      </c>
      <c r="F76" s="5" t="s">
        <v>200</v>
      </c>
      <c r="G76" s="5" t="s">
        <v>201</v>
      </c>
      <c r="H76" s="5" t="s">
        <v>88</v>
      </c>
      <c r="I76" s="27">
        <v>0.5</v>
      </c>
      <c r="J76" s="5">
        <v>710000000</v>
      </c>
      <c r="K76" s="5" t="s">
        <v>89</v>
      </c>
      <c r="L76" s="5" t="s">
        <v>90</v>
      </c>
      <c r="M76" s="5" t="s">
        <v>91</v>
      </c>
      <c r="N76" s="7" t="s">
        <v>92</v>
      </c>
      <c r="O76" s="7" t="s">
        <v>93</v>
      </c>
      <c r="P76" s="7" t="s">
        <v>94</v>
      </c>
      <c r="Q76" s="15">
        <v>166</v>
      </c>
      <c r="R76" s="5" t="s">
        <v>111</v>
      </c>
      <c r="S76" s="9">
        <v>202</v>
      </c>
      <c r="T76" s="9">
        <v>695.5</v>
      </c>
      <c r="U76" s="9">
        <v>0</v>
      </c>
      <c r="V76" s="9">
        <f t="shared" si="0"/>
        <v>0</v>
      </c>
      <c r="W76" s="2" t="s">
        <v>97</v>
      </c>
      <c r="X76" s="2">
        <v>2016</v>
      </c>
      <c r="Y76" s="5" t="s">
        <v>7670</v>
      </c>
    </row>
    <row r="77" spans="1:25" s="28" customFormat="1" ht="89.25" customHeight="1" outlineLevel="1" x14ac:dyDescent="0.25">
      <c r="B77" s="2" t="s">
        <v>7547</v>
      </c>
      <c r="C77" s="5" t="s">
        <v>83</v>
      </c>
      <c r="D77" s="5" t="s">
        <v>198</v>
      </c>
      <c r="E77" s="5" t="s">
        <v>199</v>
      </c>
      <c r="F77" s="5" t="s">
        <v>200</v>
      </c>
      <c r="G77" s="5" t="s">
        <v>201</v>
      </c>
      <c r="H77" s="5" t="s">
        <v>88</v>
      </c>
      <c r="I77" s="27">
        <v>0</v>
      </c>
      <c r="J77" s="5">
        <v>710000000</v>
      </c>
      <c r="K77" s="5" t="s">
        <v>89</v>
      </c>
      <c r="L77" s="5" t="s">
        <v>7470</v>
      </c>
      <c r="M77" s="5" t="s">
        <v>91</v>
      </c>
      <c r="N77" s="7" t="s">
        <v>92</v>
      </c>
      <c r="O77" s="7" t="s">
        <v>93</v>
      </c>
      <c r="P77" s="7" t="s">
        <v>673</v>
      </c>
      <c r="Q77" s="15">
        <v>166</v>
      </c>
      <c r="R77" s="5" t="s">
        <v>111</v>
      </c>
      <c r="S77" s="9">
        <v>202</v>
      </c>
      <c r="T77" s="9">
        <v>695.5</v>
      </c>
      <c r="U77" s="9">
        <f t="shared" ref="U77" si="44">T77*S77</f>
        <v>140491</v>
      </c>
      <c r="V77" s="9">
        <f t="shared" ref="V77" si="45">U77*1.12</f>
        <v>157349.92000000001</v>
      </c>
      <c r="W77" s="2"/>
      <c r="X77" s="2">
        <v>2016</v>
      </c>
      <c r="Y77" s="5"/>
    </row>
    <row r="78" spans="1:25" s="28" customFormat="1" ht="89.25" customHeight="1" outlineLevel="1" x14ac:dyDescent="0.2">
      <c r="A78" s="26"/>
      <c r="B78" s="2" t="s">
        <v>202</v>
      </c>
      <c r="C78" s="5" t="s">
        <v>83</v>
      </c>
      <c r="D78" s="5" t="s">
        <v>203</v>
      </c>
      <c r="E78" s="5" t="s">
        <v>204</v>
      </c>
      <c r="F78" s="5" t="s">
        <v>195</v>
      </c>
      <c r="G78" s="5" t="s">
        <v>201</v>
      </c>
      <c r="H78" s="5" t="s">
        <v>88</v>
      </c>
      <c r="I78" s="27">
        <v>0.5</v>
      </c>
      <c r="J78" s="5">
        <v>710000000</v>
      </c>
      <c r="K78" s="5" t="s">
        <v>89</v>
      </c>
      <c r="L78" s="5" t="s">
        <v>90</v>
      </c>
      <c r="M78" s="5" t="s">
        <v>91</v>
      </c>
      <c r="N78" s="7" t="s">
        <v>92</v>
      </c>
      <c r="O78" s="7" t="s">
        <v>93</v>
      </c>
      <c r="P78" s="7" t="s">
        <v>94</v>
      </c>
      <c r="Q78" s="15">
        <v>166</v>
      </c>
      <c r="R78" s="5" t="s">
        <v>111</v>
      </c>
      <c r="S78" s="9">
        <v>202</v>
      </c>
      <c r="T78" s="9">
        <v>695.5</v>
      </c>
      <c r="U78" s="9">
        <v>0</v>
      </c>
      <c r="V78" s="9">
        <f t="shared" si="0"/>
        <v>0</v>
      </c>
      <c r="W78" s="2" t="s">
        <v>97</v>
      </c>
      <c r="X78" s="2">
        <v>2016</v>
      </c>
      <c r="Y78" s="5" t="s">
        <v>7670</v>
      </c>
    </row>
    <row r="79" spans="1:25" s="28" customFormat="1" ht="89.25" customHeight="1" outlineLevel="1" x14ac:dyDescent="0.25">
      <c r="B79" s="2" t="s">
        <v>7548</v>
      </c>
      <c r="C79" s="5" t="s">
        <v>83</v>
      </c>
      <c r="D79" s="5" t="s">
        <v>203</v>
      </c>
      <c r="E79" s="5" t="s">
        <v>204</v>
      </c>
      <c r="F79" s="5" t="s">
        <v>195</v>
      </c>
      <c r="G79" s="5" t="s">
        <v>201</v>
      </c>
      <c r="H79" s="5" t="s">
        <v>88</v>
      </c>
      <c r="I79" s="27">
        <v>0</v>
      </c>
      <c r="J79" s="5">
        <v>710000000</v>
      </c>
      <c r="K79" s="5" t="s">
        <v>89</v>
      </c>
      <c r="L79" s="5" t="s">
        <v>7466</v>
      </c>
      <c r="M79" s="5" t="s">
        <v>91</v>
      </c>
      <c r="N79" s="7" t="s">
        <v>92</v>
      </c>
      <c r="O79" s="7" t="s">
        <v>93</v>
      </c>
      <c r="P79" s="7" t="s">
        <v>673</v>
      </c>
      <c r="Q79" s="15">
        <v>166</v>
      </c>
      <c r="R79" s="5" t="s">
        <v>111</v>
      </c>
      <c r="S79" s="9">
        <v>202</v>
      </c>
      <c r="T79" s="9">
        <v>695.5</v>
      </c>
      <c r="U79" s="9">
        <f t="shared" ref="U79" si="46">T79*S79</f>
        <v>140491</v>
      </c>
      <c r="V79" s="9">
        <f t="shared" ref="V79" si="47">U79*1.12</f>
        <v>157349.92000000001</v>
      </c>
      <c r="W79" s="2"/>
      <c r="X79" s="2">
        <v>2016</v>
      </c>
      <c r="Y79" s="5"/>
    </row>
    <row r="80" spans="1:25" s="28" customFormat="1" ht="127.5" customHeight="1" outlineLevel="1" x14ac:dyDescent="0.2">
      <c r="A80" s="26"/>
      <c r="B80" s="2" t="s">
        <v>205</v>
      </c>
      <c r="C80" s="5" t="s">
        <v>83</v>
      </c>
      <c r="D80" s="5" t="s">
        <v>206</v>
      </c>
      <c r="E80" s="5" t="s">
        <v>207</v>
      </c>
      <c r="F80" s="5" t="s">
        <v>208</v>
      </c>
      <c r="G80" s="5" t="s">
        <v>209</v>
      </c>
      <c r="H80" s="5" t="s">
        <v>88</v>
      </c>
      <c r="I80" s="27">
        <v>0.5</v>
      </c>
      <c r="J80" s="5">
        <v>710000000</v>
      </c>
      <c r="K80" s="5" t="s">
        <v>89</v>
      </c>
      <c r="L80" s="5" t="s">
        <v>90</v>
      </c>
      <c r="M80" s="5" t="s">
        <v>91</v>
      </c>
      <c r="N80" s="7" t="s">
        <v>92</v>
      </c>
      <c r="O80" s="7" t="s">
        <v>93</v>
      </c>
      <c r="P80" s="7" t="s">
        <v>94</v>
      </c>
      <c r="Q80" s="15">
        <v>166</v>
      </c>
      <c r="R80" s="5" t="s">
        <v>111</v>
      </c>
      <c r="S80" s="9">
        <v>2.5</v>
      </c>
      <c r="T80" s="9">
        <v>2514.5</v>
      </c>
      <c r="U80" s="9">
        <v>0</v>
      </c>
      <c r="V80" s="9">
        <f t="shared" si="0"/>
        <v>0</v>
      </c>
      <c r="W80" s="2" t="s">
        <v>97</v>
      </c>
      <c r="X80" s="2">
        <v>2016</v>
      </c>
      <c r="Y80" s="5" t="s">
        <v>7670</v>
      </c>
    </row>
    <row r="81" spans="1:25" s="28" customFormat="1" ht="127.5" customHeight="1" outlineLevel="1" x14ac:dyDescent="0.25">
      <c r="B81" s="2" t="s">
        <v>7549</v>
      </c>
      <c r="C81" s="5" t="s">
        <v>83</v>
      </c>
      <c r="D81" s="5" t="s">
        <v>206</v>
      </c>
      <c r="E81" s="5" t="s">
        <v>207</v>
      </c>
      <c r="F81" s="5" t="s">
        <v>208</v>
      </c>
      <c r="G81" s="5" t="s">
        <v>209</v>
      </c>
      <c r="H81" s="5" t="s">
        <v>88</v>
      </c>
      <c r="I81" s="27">
        <v>0</v>
      </c>
      <c r="J81" s="5">
        <v>710000000</v>
      </c>
      <c r="K81" s="5" t="s">
        <v>89</v>
      </c>
      <c r="L81" s="5" t="s">
        <v>7470</v>
      </c>
      <c r="M81" s="5" t="s">
        <v>91</v>
      </c>
      <c r="N81" s="7" t="s">
        <v>92</v>
      </c>
      <c r="O81" s="7" t="s">
        <v>93</v>
      </c>
      <c r="P81" s="7" t="s">
        <v>673</v>
      </c>
      <c r="Q81" s="15">
        <v>166</v>
      </c>
      <c r="R81" s="5" t="s">
        <v>111</v>
      </c>
      <c r="S81" s="9">
        <v>2.5</v>
      </c>
      <c r="T81" s="9">
        <v>2514.5</v>
      </c>
      <c r="U81" s="9">
        <f t="shared" ref="U81" si="48">T81*S81</f>
        <v>6286.25</v>
      </c>
      <c r="V81" s="9">
        <f t="shared" ref="V81" si="49">U81*1.12</f>
        <v>7040.6</v>
      </c>
      <c r="W81" s="2"/>
      <c r="X81" s="2">
        <v>2016</v>
      </c>
      <c r="Y81" s="5"/>
    </row>
    <row r="82" spans="1:25" s="28" customFormat="1" ht="127.5" customHeight="1" outlineLevel="1" x14ac:dyDescent="0.2">
      <c r="A82" s="26"/>
      <c r="B82" s="2" t="s">
        <v>210</v>
      </c>
      <c r="C82" s="5" t="s">
        <v>83</v>
      </c>
      <c r="D82" s="5" t="s">
        <v>211</v>
      </c>
      <c r="E82" s="5" t="s">
        <v>212</v>
      </c>
      <c r="F82" s="5" t="s">
        <v>208</v>
      </c>
      <c r="G82" s="5" t="s">
        <v>209</v>
      </c>
      <c r="H82" s="5" t="s">
        <v>88</v>
      </c>
      <c r="I82" s="27">
        <v>0.5</v>
      </c>
      <c r="J82" s="5">
        <v>710000000</v>
      </c>
      <c r="K82" s="5" t="s">
        <v>89</v>
      </c>
      <c r="L82" s="5" t="s">
        <v>90</v>
      </c>
      <c r="M82" s="5" t="s">
        <v>91</v>
      </c>
      <c r="N82" s="7" t="s">
        <v>92</v>
      </c>
      <c r="O82" s="7" t="s">
        <v>93</v>
      </c>
      <c r="P82" s="7" t="s">
        <v>94</v>
      </c>
      <c r="Q82" s="15">
        <v>166</v>
      </c>
      <c r="R82" s="5" t="s">
        <v>111</v>
      </c>
      <c r="S82" s="9">
        <v>2.5</v>
      </c>
      <c r="T82" s="9">
        <v>2514.5</v>
      </c>
      <c r="U82" s="9">
        <v>0</v>
      </c>
      <c r="V82" s="9">
        <f t="shared" si="0"/>
        <v>0</v>
      </c>
      <c r="W82" s="2" t="s">
        <v>97</v>
      </c>
      <c r="X82" s="2">
        <v>2016</v>
      </c>
      <c r="Y82" s="5" t="s">
        <v>7670</v>
      </c>
    </row>
    <row r="83" spans="1:25" s="28" customFormat="1" ht="127.5" customHeight="1" outlineLevel="1" x14ac:dyDescent="0.25">
      <c r="B83" s="2" t="s">
        <v>7550</v>
      </c>
      <c r="C83" s="5" t="s">
        <v>83</v>
      </c>
      <c r="D83" s="5" t="s">
        <v>211</v>
      </c>
      <c r="E83" s="5" t="s">
        <v>212</v>
      </c>
      <c r="F83" s="5" t="s">
        <v>208</v>
      </c>
      <c r="G83" s="5" t="s">
        <v>209</v>
      </c>
      <c r="H83" s="5" t="s">
        <v>88</v>
      </c>
      <c r="I83" s="27">
        <v>0</v>
      </c>
      <c r="J83" s="5">
        <v>710000000</v>
      </c>
      <c r="K83" s="5" t="s">
        <v>89</v>
      </c>
      <c r="L83" s="5" t="s">
        <v>7470</v>
      </c>
      <c r="M83" s="5" t="s">
        <v>91</v>
      </c>
      <c r="N83" s="7" t="s">
        <v>92</v>
      </c>
      <c r="O83" s="7" t="s">
        <v>93</v>
      </c>
      <c r="P83" s="7" t="s">
        <v>673</v>
      </c>
      <c r="Q83" s="15">
        <v>166</v>
      </c>
      <c r="R83" s="5" t="s">
        <v>111</v>
      </c>
      <c r="S83" s="9">
        <v>2.5</v>
      </c>
      <c r="T83" s="9">
        <v>2514.5</v>
      </c>
      <c r="U83" s="9">
        <f t="shared" ref="U83" si="50">T83*S83</f>
        <v>6286.25</v>
      </c>
      <c r="V83" s="9">
        <f t="shared" ref="V83" si="51">U83*1.12</f>
        <v>7040.6</v>
      </c>
      <c r="W83" s="2"/>
      <c r="X83" s="2">
        <v>2016</v>
      </c>
      <c r="Y83" s="5"/>
    </row>
    <row r="84" spans="1:25" s="28" customFormat="1" ht="127.5" customHeight="1" outlineLevel="1" x14ac:dyDescent="0.2">
      <c r="A84" s="26"/>
      <c r="B84" s="2" t="s">
        <v>213</v>
      </c>
      <c r="C84" s="5" t="s">
        <v>83</v>
      </c>
      <c r="D84" s="5" t="s">
        <v>214</v>
      </c>
      <c r="E84" s="5" t="s">
        <v>215</v>
      </c>
      <c r="F84" s="5" t="s">
        <v>208</v>
      </c>
      <c r="G84" s="5" t="s">
        <v>209</v>
      </c>
      <c r="H84" s="5" t="s">
        <v>88</v>
      </c>
      <c r="I84" s="27">
        <v>0.5</v>
      </c>
      <c r="J84" s="5">
        <v>710000000</v>
      </c>
      <c r="K84" s="5" t="s">
        <v>89</v>
      </c>
      <c r="L84" s="5" t="s">
        <v>90</v>
      </c>
      <c r="M84" s="5" t="s">
        <v>91</v>
      </c>
      <c r="N84" s="7" t="s">
        <v>92</v>
      </c>
      <c r="O84" s="7" t="s">
        <v>93</v>
      </c>
      <c r="P84" s="7" t="s">
        <v>94</v>
      </c>
      <c r="Q84" s="15">
        <v>166</v>
      </c>
      <c r="R84" s="5" t="s">
        <v>111</v>
      </c>
      <c r="S84" s="9">
        <v>2.5</v>
      </c>
      <c r="T84" s="9">
        <v>2514.5</v>
      </c>
      <c r="U84" s="9">
        <v>0</v>
      </c>
      <c r="V84" s="9">
        <f t="shared" si="0"/>
        <v>0</v>
      </c>
      <c r="W84" s="2" t="s">
        <v>97</v>
      </c>
      <c r="X84" s="2">
        <v>2016</v>
      </c>
      <c r="Y84" s="5" t="s">
        <v>7670</v>
      </c>
    </row>
    <row r="85" spans="1:25" s="28" customFormat="1" ht="127.5" customHeight="1" outlineLevel="1" x14ac:dyDescent="0.25">
      <c r="B85" s="2" t="s">
        <v>7551</v>
      </c>
      <c r="C85" s="5" t="s">
        <v>83</v>
      </c>
      <c r="D85" s="5" t="s">
        <v>214</v>
      </c>
      <c r="E85" s="5" t="s">
        <v>215</v>
      </c>
      <c r="F85" s="5" t="s">
        <v>208</v>
      </c>
      <c r="G85" s="5" t="s">
        <v>209</v>
      </c>
      <c r="H85" s="5" t="s">
        <v>88</v>
      </c>
      <c r="I85" s="27">
        <v>0</v>
      </c>
      <c r="J85" s="5">
        <v>710000000</v>
      </c>
      <c r="K85" s="5" t="s">
        <v>89</v>
      </c>
      <c r="L85" s="5" t="s">
        <v>7470</v>
      </c>
      <c r="M85" s="5" t="s">
        <v>91</v>
      </c>
      <c r="N85" s="7" t="s">
        <v>92</v>
      </c>
      <c r="O85" s="7" t="s">
        <v>93</v>
      </c>
      <c r="P85" s="7" t="s">
        <v>673</v>
      </c>
      <c r="Q85" s="15">
        <v>166</v>
      </c>
      <c r="R85" s="5" t="s">
        <v>111</v>
      </c>
      <c r="S85" s="9">
        <v>2.5</v>
      </c>
      <c r="T85" s="9">
        <v>2514.5</v>
      </c>
      <c r="U85" s="9">
        <f t="shared" ref="U85" si="52">T85*S85</f>
        <v>6286.25</v>
      </c>
      <c r="V85" s="9">
        <f t="shared" ref="V85" si="53">U85*1.12</f>
        <v>7040.6</v>
      </c>
      <c r="W85" s="2"/>
      <c r="X85" s="2">
        <v>2016</v>
      </c>
      <c r="Y85" s="5"/>
    </row>
    <row r="86" spans="1:25" s="28" customFormat="1" ht="127.5" customHeight="1" outlineLevel="1" x14ac:dyDescent="0.2">
      <c r="A86" s="26"/>
      <c r="B86" s="2" t="s">
        <v>216</v>
      </c>
      <c r="C86" s="5" t="s">
        <v>83</v>
      </c>
      <c r="D86" s="5" t="s">
        <v>217</v>
      </c>
      <c r="E86" s="5" t="s">
        <v>218</v>
      </c>
      <c r="F86" s="5" t="s">
        <v>208</v>
      </c>
      <c r="G86" s="5" t="s">
        <v>209</v>
      </c>
      <c r="H86" s="5" t="s">
        <v>88</v>
      </c>
      <c r="I86" s="27">
        <v>0.5</v>
      </c>
      <c r="J86" s="5">
        <v>710000000</v>
      </c>
      <c r="K86" s="5" t="s">
        <v>89</v>
      </c>
      <c r="L86" s="5" t="s">
        <v>90</v>
      </c>
      <c r="M86" s="5" t="s">
        <v>91</v>
      </c>
      <c r="N86" s="7" t="s">
        <v>92</v>
      </c>
      <c r="O86" s="7" t="s">
        <v>93</v>
      </c>
      <c r="P86" s="7" t="s">
        <v>94</v>
      </c>
      <c r="Q86" s="15">
        <v>166</v>
      </c>
      <c r="R86" s="5" t="s">
        <v>111</v>
      </c>
      <c r="S86" s="9">
        <v>2.5</v>
      </c>
      <c r="T86" s="9">
        <v>2514.5</v>
      </c>
      <c r="U86" s="9">
        <v>0</v>
      </c>
      <c r="V86" s="9">
        <f t="shared" si="0"/>
        <v>0</v>
      </c>
      <c r="W86" s="2" t="s">
        <v>97</v>
      </c>
      <c r="X86" s="2">
        <v>2016</v>
      </c>
      <c r="Y86" s="5" t="s">
        <v>7670</v>
      </c>
    </row>
    <row r="87" spans="1:25" s="28" customFormat="1" ht="127.5" customHeight="1" outlineLevel="1" x14ac:dyDescent="0.25">
      <c r="B87" s="2" t="s">
        <v>7552</v>
      </c>
      <c r="C87" s="5" t="s">
        <v>83</v>
      </c>
      <c r="D87" s="5" t="s">
        <v>217</v>
      </c>
      <c r="E87" s="5" t="s">
        <v>218</v>
      </c>
      <c r="F87" s="5" t="s">
        <v>208</v>
      </c>
      <c r="G87" s="5" t="s">
        <v>209</v>
      </c>
      <c r="H87" s="5" t="s">
        <v>88</v>
      </c>
      <c r="I87" s="27">
        <v>0</v>
      </c>
      <c r="J87" s="5">
        <v>710000000</v>
      </c>
      <c r="K87" s="5" t="s">
        <v>89</v>
      </c>
      <c r="L87" s="5" t="s">
        <v>7470</v>
      </c>
      <c r="M87" s="5" t="s">
        <v>91</v>
      </c>
      <c r="N87" s="7" t="s">
        <v>92</v>
      </c>
      <c r="O87" s="7" t="s">
        <v>93</v>
      </c>
      <c r="P87" s="7" t="s">
        <v>673</v>
      </c>
      <c r="Q87" s="15">
        <v>166</v>
      </c>
      <c r="R87" s="5" t="s">
        <v>111</v>
      </c>
      <c r="S87" s="9">
        <v>2.5</v>
      </c>
      <c r="T87" s="9">
        <v>2514.5</v>
      </c>
      <c r="U87" s="9">
        <f t="shared" ref="U87" si="54">T87*S87</f>
        <v>6286.25</v>
      </c>
      <c r="V87" s="9">
        <f t="shared" ref="V87" si="55">U87*1.12</f>
        <v>7040.6</v>
      </c>
      <c r="W87" s="2"/>
      <c r="X87" s="2">
        <v>2016</v>
      </c>
      <c r="Y87" s="5"/>
    </row>
    <row r="88" spans="1:25" s="28" customFormat="1" ht="89.25" customHeight="1" outlineLevel="1" x14ac:dyDescent="0.2">
      <c r="A88" s="26"/>
      <c r="B88" s="2" t="s">
        <v>219</v>
      </c>
      <c r="C88" s="5" t="s">
        <v>83</v>
      </c>
      <c r="D88" s="5" t="s">
        <v>220</v>
      </c>
      <c r="E88" s="5" t="s">
        <v>221</v>
      </c>
      <c r="F88" s="5" t="s">
        <v>222</v>
      </c>
      <c r="G88" s="5"/>
      <c r="H88" s="5" t="s">
        <v>88</v>
      </c>
      <c r="I88" s="27">
        <v>0.5</v>
      </c>
      <c r="J88" s="5">
        <v>710000000</v>
      </c>
      <c r="K88" s="5" t="s">
        <v>89</v>
      </c>
      <c r="L88" s="5" t="s">
        <v>90</v>
      </c>
      <c r="M88" s="5" t="s">
        <v>91</v>
      </c>
      <c r="N88" s="7" t="s">
        <v>92</v>
      </c>
      <c r="O88" s="7" t="s">
        <v>93</v>
      </c>
      <c r="P88" s="7" t="s">
        <v>94</v>
      </c>
      <c r="Q88" s="15">
        <v>166</v>
      </c>
      <c r="R88" s="5" t="s">
        <v>111</v>
      </c>
      <c r="S88" s="9">
        <v>35</v>
      </c>
      <c r="T88" s="9">
        <v>374.51</v>
      </c>
      <c r="U88" s="9">
        <v>0</v>
      </c>
      <c r="V88" s="9">
        <f t="shared" si="0"/>
        <v>0</v>
      </c>
      <c r="W88" s="2" t="s">
        <v>97</v>
      </c>
      <c r="X88" s="2">
        <v>2016</v>
      </c>
      <c r="Y88" s="5" t="s">
        <v>7670</v>
      </c>
    </row>
    <row r="89" spans="1:25" s="28" customFormat="1" ht="89.25" customHeight="1" outlineLevel="1" x14ac:dyDescent="0.25">
      <c r="B89" s="2" t="s">
        <v>7553</v>
      </c>
      <c r="C89" s="5" t="s">
        <v>83</v>
      </c>
      <c r="D89" s="5" t="s">
        <v>220</v>
      </c>
      <c r="E89" s="5" t="s">
        <v>221</v>
      </c>
      <c r="F89" s="5" t="s">
        <v>222</v>
      </c>
      <c r="G89" s="5"/>
      <c r="H89" s="5" t="s">
        <v>88</v>
      </c>
      <c r="I89" s="27">
        <v>0</v>
      </c>
      <c r="J89" s="5">
        <v>710000000</v>
      </c>
      <c r="K89" s="5" t="s">
        <v>89</v>
      </c>
      <c r="L89" s="5" t="s">
        <v>7470</v>
      </c>
      <c r="M89" s="5" t="s">
        <v>91</v>
      </c>
      <c r="N89" s="7" t="s">
        <v>92</v>
      </c>
      <c r="O89" s="7" t="s">
        <v>93</v>
      </c>
      <c r="P89" s="7" t="s">
        <v>673</v>
      </c>
      <c r="Q89" s="15">
        <v>166</v>
      </c>
      <c r="R89" s="5" t="s">
        <v>111</v>
      </c>
      <c r="S89" s="9">
        <v>35</v>
      </c>
      <c r="T89" s="9">
        <v>374.51</v>
      </c>
      <c r="U89" s="9">
        <f t="shared" ref="U89" si="56">T89*S89</f>
        <v>13107.85</v>
      </c>
      <c r="V89" s="9">
        <f t="shared" ref="V89" si="57">U89*1.12</f>
        <v>14680.792000000001</v>
      </c>
      <c r="W89" s="2"/>
      <c r="X89" s="2">
        <v>2016</v>
      </c>
      <c r="Y89" s="5"/>
    </row>
    <row r="90" spans="1:25" s="28" customFormat="1" ht="89.25" customHeight="1" outlineLevel="1" x14ac:dyDescent="0.2">
      <c r="A90" s="26"/>
      <c r="B90" s="2" t="s">
        <v>223</v>
      </c>
      <c r="C90" s="5" t="s">
        <v>83</v>
      </c>
      <c r="D90" s="5" t="s">
        <v>224</v>
      </c>
      <c r="E90" s="5" t="s">
        <v>225</v>
      </c>
      <c r="F90" s="5" t="s">
        <v>226</v>
      </c>
      <c r="G90" s="5" t="s">
        <v>227</v>
      </c>
      <c r="H90" s="5" t="s">
        <v>88</v>
      </c>
      <c r="I90" s="27">
        <v>0.5</v>
      </c>
      <c r="J90" s="5">
        <v>710000000</v>
      </c>
      <c r="K90" s="5" t="s">
        <v>89</v>
      </c>
      <c r="L90" s="5" t="s">
        <v>90</v>
      </c>
      <c r="M90" s="5" t="s">
        <v>91</v>
      </c>
      <c r="N90" s="7" t="s">
        <v>92</v>
      </c>
      <c r="O90" s="7" t="s">
        <v>93</v>
      </c>
      <c r="P90" s="7" t="s">
        <v>94</v>
      </c>
      <c r="Q90" s="15" t="s">
        <v>228</v>
      </c>
      <c r="R90" s="5" t="s">
        <v>229</v>
      </c>
      <c r="S90" s="9">
        <v>116</v>
      </c>
      <c r="T90" s="9">
        <v>267.49</v>
      </c>
      <c r="U90" s="9">
        <v>0</v>
      </c>
      <c r="V90" s="9">
        <f t="shared" si="0"/>
        <v>0</v>
      </c>
      <c r="W90" s="2" t="s">
        <v>97</v>
      </c>
      <c r="X90" s="2">
        <v>2016</v>
      </c>
      <c r="Y90" s="5" t="s">
        <v>7670</v>
      </c>
    </row>
    <row r="91" spans="1:25" s="28" customFormat="1" ht="89.25" customHeight="1" outlineLevel="1" x14ac:dyDescent="0.25">
      <c r="B91" s="2" t="s">
        <v>7554</v>
      </c>
      <c r="C91" s="5" t="s">
        <v>83</v>
      </c>
      <c r="D91" s="5" t="s">
        <v>224</v>
      </c>
      <c r="E91" s="5" t="s">
        <v>225</v>
      </c>
      <c r="F91" s="5" t="s">
        <v>226</v>
      </c>
      <c r="G91" s="5" t="s">
        <v>227</v>
      </c>
      <c r="H91" s="5" t="s">
        <v>88</v>
      </c>
      <c r="I91" s="27">
        <v>0</v>
      </c>
      <c r="J91" s="5">
        <v>710000000</v>
      </c>
      <c r="K91" s="5" t="s">
        <v>89</v>
      </c>
      <c r="L91" s="5" t="s">
        <v>7470</v>
      </c>
      <c r="M91" s="5" t="s">
        <v>91</v>
      </c>
      <c r="N91" s="7" t="s">
        <v>92</v>
      </c>
      <c r="O91" s="7" t="s">
        <v>93</v>
      </c>
      <c r="P91" s="7" t="s">
        <v>673</v>
      </c>
      <c r="Q91" s="15" t="s">
        <v>228</v>
      </c>
      <c r="R91" s="5" t="s">
        <v>229</v>
      </c>
      <c r="S91" s="9">
        <v>116</v>
      </c>
      <c r="T91" s="9">
        <v>267.49</v>
      </c>
      <c r="U91" s="9">
        <f t="shared" ref="U91" si="58">T91*S91</f>
        <v>31028.84</v>
      </c>
      <c r="V91" s="9">
        <f t="shared" ref="V91" si="59">U91*1.12</f>
        <v>34752.300800000005</v>
      </c>
      <c r="W91" s="2"/>
      <c r="X91" s="2">
        <v>2016</v>
      </c>
      <c r="Y91" s="5"/>
    </row>
    <row r="92" spans="1:25" s="28" customFormat="1" ht="89.25" customHeight="1" outlineLevel="1" x14ac:dyDescent="0.2">
      <c r="A92" s="26"/>
      <c r="B92" s="2" t="s">
        <v>230</v>
      </c>
      <c r="C92" s="5" t="s">
        <v>83</v>
      </c>
      <c r="D92" s="5" t="s">
        <v>231</v>
      </c>
      <c r="E92" s="5" t="s">
        <v>232</v>
      </c>
      <c r="F92" s="5" t="s">
        <v>233</v>
      </c>
      <c r="G92" s="5" t="s">
        <v>234</v>
      </c>
      <c r="H92" s="5" t="s">
        <v>88</v>
      </c>
      <c r="I92" s="27">
        <v>0.5</v>
      </c>
      <c r="J92" s="5">
        <v>710000000</v>
      </c>
      <c r="K92" s="5" t="s">
        <v>89</v>
      </c>
      <c r="L92" s="5" t="s">
        <v>90</v>
      </c>
      <c r="M92" s="5" t="s">
        <v>91</v>
      </c>
      <c r="N92" s="7" t="s">
        <v>92</v>
      </c>
      <c r="O92" s="7" t="s">
        <v>93</v>
      </c>
      <c r="P92" s="7" t="s">
        <v>94</v>
      </c>
      <c r="Q92" s="15" t="s">
        <v>117</v>
      </c>
      <c r="R92" s="5" t="s">
        <v>118</v>
      </c>
      <c r="S92" s="9">
        <v>33030</v>
      </c>
      <c r="T92" s="9">
        <v>23.54</v>
      </c>
      <c r="U92" s="9">
        <v>0</v>
      </c>
      <c r="V92" s="9">
        <f t="shared" si="0"/>
        <v>0</v>
      </c>
      <c r="W92" s="2" t="s">
        <v>97</v>
      </c>
      <c r="X92" s="2">
        <v>2016</v>
      </c>
      <c r="Y92" s="5" t="s">
        <v>7670</v>
      </c>
    </row>
    <row r="93" spans="1:25" s="28" customFormat="1" ht="89.25" customHeight="1" outlineLevel="1" x14ac:dyDescent="0.25">
      <c r="B93" s="2" t="s">
        <v>7555</v>
      </c>
      <c r="C93" s="5" t="s">
        <v>83</v>
      </c>
      <c r="D93" s="5" t="s">
        <v>231</v>
      </c>
      <c r="E93" s="5" t="s">
        <v>232</v>
      </c>
      <c r="F93" s="5" t="s">
        <v>233</v>
      </c>
      <c r="G93" s="5" t="s">
        <v>234</v>
      </c>
      <c r="H93" s="5" t="s">
        <v>88</v>
      </c>
      <c r="I93" s="27">
        <v>0</v>
      </c>
      <c r="J93" s="5">
        <v>710000000</v>
      </c>
      <c r="K93" s="5" t="s">
        <v>89</v>
      </c>
      <c r="L93" s="5" t="s">
        <v>7470</v>
      </c>
      <c r="M93" s="5" t="s">
        <v>91</v>
      </c>
      <c r="N93" s="7" t="s">
        <v>92</v>
      </c>
      <c r="O93" s="7" t="s">
        <v>93</v>
      </c>
      <c r="P93" s="7" t="s">
        <v>673</v>
      </c>
      <c r="Q93" s="15" t="s">
        <v>117</v>
      </c>
      <c r="R93" s="5" t="s">
        <v>118</v>
      </c>
      <c r="S93" s="9">
        <v>33030</v>
      </c>
      <c r="T93" s="9">
        <v>23.54</v>
      </c>
      <c r="U93" s="9">
        <f t="shared" ref="U93" si="60">T93*S93</f>
        <v>777526.2</v>
      </c>
      <c r="V93" s="9">
        <f t="shared" ref="V93" si="61">U93*1.12</f>
        <v>870829.34400000004</v>
      </c>
      <c r="W93" s="2"/>
      <c r="X93" s="2">
        <v>2016</v>
      </c>
      <c r="Y93" s="5"/>
    </row>
    <row r="94" spans="1:25" s="28" customFormat="1" ht="89.25" customHeight="1" outlineLevel="1" x14ac:dyDescent="0.2">
      <c r="A94" s="26"/>
      <c r="B94" s="2" t="s">
        <v>235</v>
      </c>
      <c r="C94" s="5" t="s">
        <v>83</v>
      </c>
      <c r="D94" s="5" t="s">
        <v>236</v>
      </c>
      <c r="E94" s="5" t="s">
        <v>237</v>
      </c>
      <c r="F94" s="5" t="s">
        <v>238</v>
      </c>
      <c r="G94" s="5" t="s">
        <v>239</v>
      </c>
      <c r="H94" s="5" t="s">
        <v>88</v>
      </c>
      <c r="I94" s="27">
        <v>0.5</v>
      </c>
      <c r="J94" s="5">
        <v>710000000</v>
      </c>
      <c r="K94" s="5" t="s">
        <v>89</v>
      </c>
      <c r="L94" s="5" t="s">
        <v>90</v>
      </c>
      <c r="M94" s="5" t="s">
        <v>91</v>
      </c>
      <c r="N94" s="7" t="s">
        <v>92</v>
      </c>
      <c r="O94" s="7" t="s">
        <v>93</v>
      </c>
      <c r="P94" s="7" t="s">
        <v>94</v>
      </c>
      <c r="Q94" s="15">
        <v>166</v>
      </c>
      <c r="R94" s="5" t="s">
        <v>111</v>
      </c>
      <c r="S94" s="9">
        <v>564</v>
      </c>
      <c r="T94" s="9">
        <v>192.6</v>
      </c>
      <c r="U94" s="9">
        <v>0</v>
      </c>
      <c r="V94" s="9">
        <f t="shared" si="0"/>
        <v>0</v>
      </c>
      <c r="W94" s="2" t="s">
        <v>97</v>
      </c>
      <c r="X94" s="2">
        <v>2016</v>
      </c>
      <c r="Y94" s="5" t="s">
        <v>7670</v>
      </c>
    </row>
    <row r="95" spans="1:25" s="28" customFormat="1" ht="89.25" customHeight="1" outlineLevel="1" x14ac:dyDescent="0.25">
      <c r="B95" s="2" t="s">
        <v>7556</v>
      </c>
      <c r="C95" s="5" t="s">
        <v>83</v>
      </c>
      <c r="D95" s="5" t="s">
        <v>236</v>
      </c>
      <c r="E95" s="5" t="s">
        <v>237</v>
      </c>
      <c r="F95" s="5" t="s">
        <v>238</v>
      </c>
      <c r="G95" s="5" t="s">
        <v>239</v>
      </c>
      <c r="H95" s="5" t="s">
        <v>88</v>
      </c>
      <c r="I95" s="27">
        <v>0</v>
      </c>
      <c r="J95" s="5">
        <v>710000000</v>
      </c>
      <c r="K95" s="5" t="s">
        <v>89</v>
      </c>
      <c r="L95" s="5" t="s">
        <v>7470</v>
      </c>
      <c r="M95" s="5" t="s">
        <v>91</v>
      </c>
      <c r="N95" s="7" t="s">
        <v>92</v>
      </c>
      <c r="O95" s="7" t="s">
        <v>93</v>
      </c>
      <c r="P95" s="7" t="s">
        <v>673</v>
      </c>
      <c r="Q95" s="15">
        <v>166</v>
      </c>
      <c r="R95" s="5" t="s">
        <v>111</v>
      </c>
      <c r="S95" s="9">
        <v>564</v>
      </c>
      <c r="T95" s="9">
        <v>192.6</v>
      </c>
      <c r="U95" s="9">
        <f t="shared" ref="U95" si="62">T95*S95</f>
        <v>108626.4</v>
      </c>
      <c r="V95" s="9">
        <f t="shared" ref="V95" si="63">U95*1.12</f>
        <v>121661.568</v>
      </c>
      <c r="W95" s="2"/>
      <c r="X95" s="2">
        <v>2016</v>
      </c>
      <c r="Y95" s="5"/>
    </row>
    <row r="96" spans="1:25" s="28" customFormat="1" ht="89.25" customHeight="1" outlineLevel="1" x14ac:dyDescent="0.2">
      <c r="A96" s="26"/>
      <c r="B96" s="2" t="s">
        <v>240</v>
      </c>
      <c r="C96" s="5" t="s">
        <v>83</v>
      </c>
      <c r="D96" s="5" t="s">
        <v>241</v>
      </c>
      <c r="E96" s="5" t="s">
        <v>237</v>
      </c>
      <c r="F96" s="5" t="s">
        <v>242</v>
      </c>
      <c r="G96" s="5" t="s">
        <v>243</v>
      </c>
      <c r="H96" s="5" t="s">
        <v>88</v>
      </c>
      <c r="I96" s="27">
        <v>0.5</v>
      </c>
      <c r="J96" s="5">
        <v>710000000</v>
      </c>
      <c r="K96" s="5" t="s">
        <v>89</v>
      </c>
      <c r="L96" s="5" t="s">
        <v>90</v>
      </c>
      <c r="M96" s="5" t="s">
        <v>91</v>
      </c>
      <c r="N96" s="7" t="s">
        <v>92</v>
      </c>
      <c r="O96" s="7" t="s">
        <v>93</v>
      </c>
      <c r="P96" s="7" t="s">
        <v>94</v>
      </c>
      <c r="Q96" s="15">
        <v>166</v>
      </c>
      <c r="R96" s="5" t="s">
        <v>111</v>
      </c>
      <c r="S96" s="9">
        <v>26</v>
      </c>
      <c r="T96" s="9">
        <v>151.77000000000001</v>
      </c>
      <c r="U96" s="9">
        <v>0</v>
      </c>
      <c r="V96" s="9">
        <f t="shared" si="0"/>
        <v>0</v>
      </c>
      <c r="W96" s="2" t="s">
        <v>97</v>
      </c>
      <c r="X96" s="2">
        <v>2016</v>
      </c>
      <c r="Y96" s="5" t="s">
        <v>7670</v>
      </c>
    </row>
    <row r="97" spans="1:25" s="28" customFormat="1" ht="89.25" customHeight="1" outlineLevel="1" x14ac:dyDescent="0.25">
      <c r="B97" s="2" t="s">
        <v>7557</v>
      </c>
      <c r="C97" s="5" t="s">
        <v>83</v>
      </c>
      <c r="D97" s="5" t="s">
        <v>241</v>
      </c>
      <c r="E97" s="5" t="s">
        <v>237</v>
      </c>
      <c r="F97" s="5" t="s">
        <v>242</v>
      </c>
      <c r="G97" s="5" t="s">
        <v>243</v>
      </c>
      <c r="H97" s="5" t="s">
        <v>88</v>
      </c>
      <c r="I97" s="27">
        <v>0</v>
      </c>
      <c r="J97" s="5">
        <v>710000000</v>
      </c>
      <c r="K97" s="5" t="s">
        <v>89</v>
      </c>
      <c r="L97" s="5" t="s">
        <v>7470</v>
      </c>
      <c r="M97" s="5" t="s">
        <v>91</v>
      </c>
      <c r="N97" s="7" t="s">
        <v>92</v>
      </c>
      <c r="O97" s="7" t="s">
        <v>93</v>
      </c>
      <c r="P97" s="7" t="s">
        <v>673</v>
      </c>
      <c r="Q97" s="15">
        <v>166</v>
      </c>
      <c r="R97" s="5" t="s">
        <v>111</v>
      </c>
      <c r="S97" s="9">
        <v>26</v>
      </c>
      <c r="T97" s="9">
        <v>151.77000000000001</v>
      </c>
      <c r="U97" s="9">
        <f t="shared" ref="U97" si="64">T97*S97</f>
        <v>3946.0200000000004</v>
      </c>
      <c r="V97" s="9">
        <f t="shared" ref="V97" si="65">U97*1.12</f>
        <v>4419.5424000000012</v>
      </c>
      <c r="W97" s="2"/>
      <c r="X97" s="2">
        <v>2016</v>
      </c>
      <c r="Y97" s="5"/>
    </row>
    <row r="98" spans="1:25" s="28" customFormat="1" ht="89.25" customHeight="1" outlineLevel="1" x14ac:dyDescent="0.2">
      <c r="A98" s="26"/>
      <c r="B98" s="2" t="s">
        <v>244</v>
      </c>
      <c r="C98" s="5" t="s">
        <v>83</v>
      </c>
      <c r="D98" s="5" t="s">
        <v>245</v>
      </c>
      <c r="E98" s="5" t="s">
        <v>237</v>
      </c>
      <c r="F98" s="5" t="s">
        <v>246</v>
      </c>
      <c r="G98" s="5" t="s">
        <v>247</v>
      </c>
      <c r="H98" s="5" t="s">
        <v>88</v>
      </c>
      <c r="I98" s="27">
        <v>0.5</v>
      </c>
      <c r="J98" s="5">
        <v>710000000</v>
      </c>
      <c r="K98" s="5" t="s">
        <v>89</v>
      </c>
      <c r="L98" s="5" t="s">
        <v>90</v>
      </c>
      <c r="M98" s="5" t="s">
        <v>91</v>
      </c>
      <c r="N98" s="7" t="s">
        <v>92</v>
      </c>
      <c r="O98" s="7" t="s">
        <v>93</v>
      </c>
      <c r="P98" s="7" t="s">
        <v>94</v>
      </c>
      <c r="Q98" s="15">
        <v>166</v>
      </c>
      <c r="R98" s="5" t="s">
        <v>111</v>
      </c>
      <c r="S98" s="9">
        <v>300</v>
      </c>
      <c r="T98" s="9">
        <v>171.2</v>
      </c>
      <c r="U98" s="9">
        <v>0</v>
      </c>
      <c r="V98" s="9">
        <f t="shared" si="0"/>
        <v>0</v>
      </c>
      <c r="W98" s="2" t="s">
        <v>97</v>
      </c>
      <c r="X98" s="2">
        <v>2016</v>
      </c>
      <c r="Y98" s="5" t="s">
        <v>7670</v>
      </c>
    </row>
    <row r="99" spans="1:25" s="28" customFormat="1" ht="89.25" customHeight="1" outlineLevel="1" x14ac:dyDescent="0.25">
      <c r="B99" s="2" t="s">
        <v>7558</v>
      </c>
      <c r="C99" s="5" t="s">
        <v>83</v>
      </c>
      <c r="D99" s="5" t="s">
        <v>245</v>
      </c>
      <c r="E99" s="5" t="s">
        <v>237</v>
      </c>
      <c r="F99" s="5" t="s">
        <v>246</v>
      </c>
      <c r="G99" s="5" t="s">
        <v>247</v>
      </c>
      <c r="H99" s="5" t="s">
        <v>88</v>
      </c>
      <c r="I99" s="27">
        <v>0</v>
      </c>
      <c r="J99" s="5">
        <v>710000000</v>
      </c>
      <c r="K99" s="5" t="s">
        <v>89</v>
      </c>
      <c r="L99" s="5" t="s">
        <v>7470</v>
      </c>
      <c r="M99" s="5" t="s">
        <v>91</v>
      </c>
      <c r="N99" s="7" t="s">
        <v>92</v>
      </c>
      <c r="O99" s="7" t="s">
        <v>93</v>
      </c>
      <c r="P99" s="7" t="s">
        <v>673</v>
      </c>
      <c r="Q99" s="15">
        <v>166</v>
      </c>
      <c r="R99" s="5" t="s">
        <v>111</v>
      </c>
      <c r="S99" s="9">
        <v>300</v>
      </c>
      <c r="T99" s="9">
        <v>171.2</v>
      </c>
      <c r="U99" s="9">
        <f t="shared" ref="U99" si="66">T99*S99</f>
        <v>51360</v>
      </c>
      <c r="V99" s="9">
        <f t="shared" ref="V99" si="67">U99*1.12</f>
        <v>57523.200000000004</v>
      </c>
      <c r="W99" s="2"/>
      <c r="X99" s="2">
        <v>2016</v>
      </c>
      <c r="Y99" s="5"/>
    </row>
    <row r="100" spans="1:25" s="28" customFormat="1" ht="89.25" customHeight="1" outlineLevel="1" x14ac:dyDescent="0.2">
      <c r="A100" s="26"/>
      <c r="B100" s="2" t="s">
        <v>248</v>
      </c>
      <c r="C100" s="5" t="s">
        <v>83</v>
      </c>
      <c r="D100" s="5" t="s">
        <v>249</v>
      </c>
      <c r="E100" s="5" t="s">
        <v>237</v>
      </c>
      <c r="F100" s="5" t="s">
        <v>250</v>
      </c>
      <c r="G100" s="5" t="s">
        <v>251</v>
      </c>
      <c r="H100" s="5" t="s">
        <v>88</v>
      </c>
      <c r="I100" s="27">
        <v>0.5</v>
      </c>
      <c r="J100" s="5">
        <v>710000000</v>
      </c>
      <c r="K100" s="5" t="s">
        <v>89</v>
      </c>
      <c r="L100" s="5" t="s">
        <v>90</v>
      </c>
      <c r="M100" s="5" t="s">
        <v>91</v>
      </c>
      <c r="N100" s="7" t="s">
        <v>92</v>
      </c>
      <c r="O100" s="7" t="s">
        <v>93</v>
      </c>
      <c r="P100" s="7" t="s">
        <v>94</v>
      </c>
      <c r="Q100" s="15">
        <v>166</v>
      </c>
      <c r="R100" s="5" t="s">
        <v>111</v>
      </c>
      <c r="S100" s="9">
        <v>229</v>
      </c>
      <c r="T100" s="9">
        <v>128.4</v>
      </c>
      <c r="U100" s="9">
        <v>0</v>
      </c>
      <c r="V100" s="9">
        <f t="shared" si="0"/>
        <v>0</v>
      </c>
      <c r="W100" s="2" t="s">
        <v>97</v>
      </c>
      <c r="X100" s="2">
        <v>2016</v>
      </c>
      <c r="Y100" s="5" t="s">
        <v>7670</v>
      </c>
    </row>
    <row r="101" spans="1:25" s="28" customFormat="1" ht="89.25" customHeight="1" outlineLevel="1" x14ac:dyDescent="0.25">
      <c r="B101" s="2" t="s">
        <v>7559</v>
      </c>
      <c r="C101" s="5" t="s">
        <v>83</v>
      </c>
      <c r="D101" s="5" t="s">
        <v>249</v>
      </c>
      <c r="E101" s="5" t="s">
        <v>237</v>
      </c>
      <c r="F101" s="5" t="s">
        <v>250</v>
      </c>
      <c r="G101" s="5" t="s">
        <v>251</v>
      </c>
      <c r="H101" s="5" t="s">
        <v>88</v>
      </c>
      <c r="I101" s="27">
        <v>0</v>
      </c>
      <c r="J101" s="5">
        <v>710000000</v>
      </c>
      <c r="K101" s="5" t="s">
        <v>89</v>
      </c>
      <c r="L101" s="5" t="s">
        <v>7470</v>
      </c>
      <c r="M101" s="5" t="s">
        <v>91</v>
      </c>
      <c r="N101" s="7" t="s">
        <v>92</v>
      </c>
      <c r="O101" s="7" t="s">
        <v>93</v>
      </c>
      <c r="P101" s="7" t="s">
        <v>673</v>
      </c>
      <c r="Q101" s="15">
        <v>166</v>
      </c>
      <c r="R101" s="5" t="s">
        <v>111</v>
      </c>
      <c r="S101" s="9">
        <v>229</v>
      </c>
      <c r="T101" s="9">
        <v>128.4</v>
      </c>
      <c r="U101" s="9">
        <f t="shared" ref="U101" si="68">T101*S101</f>
        <v>29403.600000000002</v>
      </c>
      <c r="V101" s="9">
        <f t="shared" ref="V101" si="69">U101*1.12</f>
        <v>32932.032000000007</v>
      </c>
      <c r="W101" s="2"/>
      <c r="X101" s="2">
        <v>2016</v>
      </c>
      <c r="Y101" s="5"/>
    </row>
    <row r="102" spans="1:25" s="28" customFormat="1" ht="89.25" customHeight="1" outlineLevel="1" x14ac:dyDescent="0.2">
      <c r="A102" s="26"/>
      <c r="B102" s="2" t="s">
        <v>252</v>
      </c>
      <c r="C102" s="5" t="s">
        <v>83</v>
      </c>
      <c r="D102" s="5" t="s">
        <v>253</v>
      </c>
      <c r="E102" s="5" t="s">
        <v>237</v>
      </c>
      <c r="F102" s="5" t="s">
        <v>254</v>
      </c>
      <c r="G102" s="5" t="s">
        <v>255</v>
      </c>
      <c r="H102" s="5" t="s">
        <v>88</v>
      </c>
      <c r="I102" s="27">
        <v>0.5</v>
      </c>
      <c r="J102" s="5">
        <v>710000000</v>
      </c>
      <c r="K102" s="5" t="s">
        <v>89</v>
      </c>
      <c r="L102" s="5" t="s">
        <v>90</v>
      </c>
      <c r="M102" s="5" t="s">
        <v>91</v>
      </c>
      <c r="N102" s="7" t="s">
        <v>92</v>
      </c>
      <c r="O102" s="7" t="s">
        <v>93</v>
      </c>
      <c r="P102" s="7" t="s">
        <v>94</v>
      </c>
      <c r="Q102" s="15">
        <v>166</v>
      </c>
      <c r="R102" s="5" t="s">
        <v>111</v>
      </c>
      <c r="S102" s="9">
        <v>150</v>
      </c>
      <c r="T102" s="9">
        <v>101.65</v>
      </c>
      <c r="U102" s="9">
        <v>0</v>
      </c>
      <c r="V102" s="9">
        <f t="shared" si="0"/>
        <v>0</v>
      </c>
      <c r="W102" s="2" t="s">
        <v>97</v>
      </c>
      <c r="X102" s="2">
        <v>2016</v>
      </c>
      <c r="Y102" s="5" t="s">
        <v>7670</v>
      </c>
    </row>
    <row r="103" spans="1:25" s="28" customFormat="1" ht="89.25" customHeight="1" outlineLevel="1" x14ac:dyDescent="0.25">
      <c r="B103" s="2" t="s">
        <v>7560</v>
      </c>
      <c r="C103" s="5" t="s">
        <v>83</v>
      </c>
      <c r="D103" s="5" t="s">
        <v>253</v>
      </c>
      <c r="E103" s="5" t="s">
        <v>237</v>
      </c>
      <c r="F103" s="5" t="s">
        <v>254</v>
      </c>
      <c r="G103" s="5" t="s">
        <v>255</v>
      </c>
      <c r="H103" s="5" t="s">
        <v>88</v>
      </c>
      <c r="I103" s="27">
        <v>0</v>
      </c>
      <c r="J103" s="5">
        <v>710000000</v>
      </c>
      <c r="K103" s="5" t="s">
        <v>89</v>
      </c>
      <c r="L103" s="5" t="s">
        <v>7470</v>
      </c>
      <c r="M103" s="5" t="s">
        <v>91</v>
      </c>
      <c r="N103" s="7" t="s">
        <v>92</v>
      </c>
      <c r="O103" s="7" t="s">
        <v>93</v>
      </c>
      <c r="P103" s="7" t="s">
        <v>673</v>
      </c>
      <c r="Q103" s="15">
        <v>166</v>
      </c>
      <c r="R103" s="5" t="s">
        <v>111</v>
      </c>
      <c r="S103" s="9">
        <v>150</v>
      </c>
      <c r="T103" s="9">
        <v>101.65</v>
      </c>
      <c r="U103" s="9">
        <f t="shared" ref="U103" si="70">T103*S103</f>
        <v>15247.5</v>
      </c>
      <c r="V103" s="9">
        <f t="shared" ref="V103" si="71">U103*1.12</f>
        <v>17077.2</v>
      </c>
      <c r="W103" s="2"/>
      <c r="X103" s="2">
        <v>2016</v>
      </c>
      <c r="Y103" s="5"/>
    </row>
    <row r="104" spans="1:25" s="28" customFormat="1" ht="89.25" customHeight="1" outlineLevel="1" x14ac:dyDescent="0.2">
      <c r="A104" s="26"/>
      <c r="B104" s="2" t="s">
        <v>256</v>
      </c>
      <c r="C104" s="5" t="s">
        <v>83</v>
      </c>
      <c r="D104" s="5" t="s">
        <v>257</v>
      </c>
      <c r="E104" s="5" t="s">
        <v>237</v>
      </c>
      <c r="F104" s="5" t="s">
        <v>258</v>
      </c>
      <c r="G104" s="5" t="s">
        <v>259</v>
      </c>
      <c r="H104" s="5" t="s">
        <v>88</v>
      </c>
      <c r="I104" s="27">
        <v>0.5</v>
      </c>
      <c r="J104" s="5">
        <v>710000000</v>
      </c>
      <c r="K104" s="5" t="s">
        <v>89</v>
      </c>
      <c r="L104" s="5" t="s">
        <v>90</v>
      </c>
      <c r="M104" s="5" t="s">
        <v>91</v>
      </c>
      <c r="N104" s="7" t="s">
        <v>92</v>
      </c>
      <c r="O104" s="7" t="s">
        <v>93</v>
      </c>
      <c r="P104" s="7" t="s">
        <v>94</v>
      </c>
      <c r="Q104" s="15">
        <v>166</v>
      </c>
      <c r="R104" s="5" t="s">
        <v>111</v>
      </c>
      <c r="S104" s="9">
        <v>35</v>
      </c>
      <c r="T104" s="9">
        <v>102.83</v>
      </c>
      <c r="U104" s="9">
        <v>0</v>
      </c>
      <c r="V104" s="9">
        <f t="shared" si="0"/>
        <v>0</v>
      </c>
      <c r="W104" s="2" t="s">
        <v>97</v>
      </c>
      <c r="X104" s="2">
        <v>2016</v>
      </c>
      <c r="Y104" s="5" t="s">
        <v>7670</v>
      </c>
    </row>
    <row r="105" spans="1:25" s="28" customFormat="1" ht="89.25" customHeight="1" outlineLevel="1" x14ac:dyDescent="0.25">
      <c r="B105" s="2" t="s">
        <v>7561</v>
      </c>
      <c r="C105" s="5" t="s">
        <v>83</v>
      </c>
      <c r="D105" s="5" t="s">
        <v>257</v>
      </c>
      <c r="E105" s="5" t="s">
        <v>237</v>
      </c>
      <c r="F105" s="5" t="s">
        <v>258</v>
      </c>
      <c r="G105" s="5" t="s">
        <v>259</v>
      </c>
      <c r="H105" s="5" t="s">
        <v>88</v>
      </c>
      <c r="I105" s="27">
        <v>0</v>
      </c>
      <c r="J105" s="5">
        <v>710000000</v>
      </c>
      <c r="K105" s="5" t="s">
        <v>89</v>
      </c>
      <c r="L105" s="5" t="s">
        <v>7470</v>
      </c>
      <c r="M105" s="5" t="s">
        <v>91</v>
      </c>
      <c r="N105" s="7" t="s">
        <v>92</v>
      </c>
      <c r="O105" s="7" t="s">
        <v>93</v>
      </c>
      <c r="P105" s="7" t="s">
        <v>673</v>
      </c>
      <c r="Q105" s="15">
        <v>166</v>
      </c>
      <c r="R105" s="5" t="s">
        <v>111</v>
      </c>
      <c r="S105" s="9">
        <v>35</v>
      </c>
      <c r="T105" s="9">
        <v>102.83</v>
      </c>
      <c r="U105" s="9">
        <f t="shared" ref="U105" si="72">T105*S105</f>
        <v>3599.0499999999997</v>
      </c>
      <c r="V105" s="9">
        <f t="shared" ref="V105" si="73">U105*1.12</f>
        <v>4030.9360000000001</v>
      </c>
      <c r="W105" s="2"/>
      <c r="X105" s="2">
        <v>2016</v>
      </c>
      <c r="Y105" s="5"/>
    </row>
    <row r="106" spans="1:25" s="28" customFormat="1" ht="89.25" customHeight="1" outlineLevel="1" x14ac:dyDescent="0.2">
      <c r="A106" s="26"/>
      <c r="B106" s="2" t="s">
        <v>260</v>
      </c>
      <c r="C106" s="5" t="s">
        <v>83</v>
      </c>
      <c r="D106" s="5" t="s">
        <v>261</v>
      </c>
      <c r="E106" s="5" t="s">
        <v>262</v>
      </c>
      <c r="F106" s="5" t="s">
        <v>263</v>
      </c>
      <c r="G106" s="5"/>
      <c r="H106" s="5" t="s">
        <v>88</v>
      </c>
      <c r="I106" s="27">
        <v>0.5</v>
      </c>
      <c r="J106" s="5">
        <v>710000000</v>
      </c>
      <c r="K106" s="5" t="s">
        <v>89</v>
      </c>
      <c r="L106" s="5" t="s">
        <v>90</v>
      </c>
      <c r="M106" s="5" t="s">
        <v>91</v>
      </c>
      <c r="N106" s="7" t="s">
        <v>92</v>
      </c>
      <c r="O106" s="7" t="s">
        <v>93</v>
      </c>
      <c r="P106" s="7" t="s">
        <v>94</v>
      </c>
      <c r="Q106" s="15">
        <v>166</v>
      </c>
      <c r="R106" s="5" t="s">
        <v>111</v>
      </c>
      <c r="S106" s="9">
        <v>93</v>
      </c>
      <c r="T106" s="9">
        <v>160.5</v>
      </c>
      <c r="U106" s="9">
        <v>0</v>
      </c>
      <c r="V106" s="9">
        <f t="shared" si="0"/>
        <v>0</v>
      </c>
      <c r="W106" s="2" t="s">
        <v>97</v>
      </c>
      <c r="X106" s="2">
        <v>2016</v>
      </c>
      <c r="Y106" s="5" t="s">
        <v>7670</v>
      </c>
    </row>
    <row r="107" spans="1:25" s="28" customFormat="1" ht="89.25" customHeight="1" outlineLevel="1" x14ac:dyDescent="0.25">
      <c r="B107" s="2" t="s">
        <v>7562</v>
      </c>
      <c r="C107" s="5" t="s">
        <v>83</v>
      </c>
      <c r="D107" s="5" t="s">
        <v>261</v>
      </c>
      <c r="E107" s="5" t="s">
        <v>262</v>
      </c>
      <c r="F107" s="5" t="s">
        <v>263</v>
      </c>
      <c r="G107" s="5"/>
      <c r="H107" s="5" t="s">
        <v>88</v>
      </c>
      <c r="I107" s="27">
        <v>0</v>
      </c>
      <c r="J107" s="5">
        <v>710000000</v>
      </c>
      <c r="K107" s="5" t="s">
        <v>89</v>
      </c>
      <c r="L107" s="5" t="s">
        <v>7470</v>
      </c>
      <c r="M107" s="5" t="s">
        <v>91</v>
      </c>
      <c r="N107" s="7" t="s">
        <v>92</v>
      </c>
      <c r="O107" s="7" t="s">
        <v>93</v>
      </c>
      <c r="P107" s="7" t="s">
        <v>673</v>
      </c>
      <c r="Q107" s="15">
        <v>166</v>
      </c>
      <c r="R107" s="5" t="s">
        <v>111</v>
      </c>
      <c r="S107" s="9">
        <v>93</v>
      </c>
      <c r="T107" s="9">
        <v>160.5</v>
      </c>
      <c r="U107" s="9">
        <f t="shared" ref="U107" si="74">T107*S107</f>
        <v>14926.5</v>
      </c>
      <c r="V107" s="9">
        <f t="shared" ref="V107" si="75">U107*1.12</f>
        <v>16717.68</v>
      </c>
      <c r="W107" s="2"/>
      <c r="X107" s="2">
        <v>2016</v>
      </c>
      <c r="Y107" s="5"/>
    </row>
    <row r="108" spans="1:25" s="28" customFormat="1" ht="102" customHeight="1" outlineLevel="1" x14ac:dyDescent="0.2">
      <c r="A108" s="26"/>
      <c r="B108" s="2" t="s">
        <v>264</v>
      </c>
      <c r="C108" s="5" t="s">
        <v>83</v>
      </c>
      <c r="D108" s="5" t="s">
        <v>265</v>
      </c>
      <c r="E108" s="5" t="s">
        <v>266</v>
      </c>
      <c r="F108" s="5" t="s">
        <v>267</v>
      </c>
      <c r="G108" s="5" t="s">
        <v>268</v>
      </c>
      <c r="H108" s="5" t="s">
        <v>88</v>
      </c>
      <c r="I108" s="27">
        <v>0.5</v>
      </c>
      <c r="J108" s="5">
        <v>710000000</v>
      </c>
      <c r="K108" s="5" t="s">
        <v>89</v>
      </c>
      <c r="L108" s="5" t="s">
        <v>90</v>
      </c>
      <c r="M108" s="5" t="s">
        <v>91</v>
      </c>
      <c r="N108" s="7" t="s">
        <v>92</v>
      </c>
      <c r="O108" s="7" t="s">
        <v>93</v>
      </c>
      <c r="P108" s="7" t="s">
        <v>94</v>
      </c>
      <c r="Q108" s="15">
        <v>166</v>
      </c>
      <c r="R108" s="5" t="s">
        <v>111</v>
      </c>
      <c r="S108" s="9">
        <v>1941</v>
      </c>
      <c r="T108" s="9">
        <v>214</v>
      </c>
      <c r="U108" s="9">
        <v>0</v>
      </c>
      <c r="V108" s="9">
        <f t="shared" si="0"/>
        <v>0</v>
      </c>
      <c r="W108" s="2" t="s">
        <v>97</v>
      </c>
      <c r="X108" s="2">
        <v>2016</v>
      </c>
      <c r="Y108" s="5" t="s">
        <v>7670</v>
      </c>
    </row>
    <row r="109" spans="1:25" s="28" customFormat="1" ht="102" customHeight="1" outlineLevel="1" x14ac:dyDescent="0.25">
      <c r="B109" s="2" t="s">
        <v>7563</v>
      </c>
      <c r="C109" s="5" t="s">
        <v>83</v>
      </c>
      <c r="D109" s="5" t="s">
        <v>265</v>
      </c>
      <c r="E109" s="5" t="s">
        <v>266</v>
      </c>
      <c r="F109" s="5" t="s">
        <v>267</v>
      </c>
      <c r="G109" s="5" t="s">
        <v>268</v>
      </c>
      <c r="H109" s="5" t="s">
        <v>88</v>
      </c>
      <c r="I109" s="27">
        <v>0</v>
      </c>
      <c r="J109" s="5">
        <v>710000000</v>
      </c>
      <c r="K109" s="5" t="s">
        <v>89</v>
      </c>
      <c r="L109" s="5" t="s">
        <v>7470</v>
      </c>
      <c r="M109" s="5" t="s">
        <v>91</v>
      </c>
      <c r="N109" s="7" t="s">
        <v>92</v>
      </c>
      <c r="O109" s="7" t="s">
        <v>93</v>
      </c>
      <c r="P109" s="7" t="s">
        <v>673</v>
      </c>
      <c r="Q109" s="15">
        <v>166</v>
      </c>
      <c r="R109" s="5" t="s">
        <v>111</v>
      </c>
      <c r="S109" s="9">
        <v>1941</v>
      </c>
      <c r="T109" s="9">
        <v>214</v>
      </c>
      <c r="U109" s="9">
        <f t="shared" ref="U109" si="76">T109*S109</f>
        <v>415374</v>
      </c>
      <c r="V109" s="9">
        <f t="shared" ref="V109" si="77">U109*1.12</f>
        <v>465218.88000000006</v>
      </c>
      <c r="W109" s="2"/>
      <c r="X109" s="2">
        <v>2016</v>
      </c>
      <c r="Y109" s="5"/>
    </row>
    <row r="110" spans="1:25" s="28" customFormat="1" ht="89.25" customHeight="1" outlineLevel="1" x14ac:dyDescent="0.2">
      <c r="A110" s="26"/>
      <c r="B110" s="2" t="s">
        <v>269</v>
      </c>
      <c r="C110" s="5" t="s">
        <v>83</v>
      </c>
      <c r="D110" s="5" t="s">
        <v>270</v>
      </c>
      <c r="E110" s="5" t="s">
        <v>271</v>
      </c>
      <c r="F110" s="5" t="s">
        <v>272</v>
      </c>
      <c r="G110" s="5"/>
      <c r="H110" s="5" t="s">
        <v>88</v>
      </c>
      <c r="I110" s="27">
        <v>0.5</v>
      </c>
      <c r="J110" s="5">
        <v>710000000</v>
      </c>
      <c r="K110" s="5" t="s">
        <v>89</v>
      </c>
      <c r="L110" s="5" t="s">
        <v>90</v>
      </c>
      <c r="M110" s="5" t="s">
        <v>91</v>
      </c>
      <c r="N110" s="7" t="s">
        <v>92</v>
      </c>
      <c r="O110" s="7" t="s">
        <v>93</v>
      </c>
      <c r="P110" s="7" t="s">
        <v>94</v>
      </c>
      <c r="Q110" s="15">
        <v>166</v>
      </c>
      <c r="R110" s="5" t="s">
        <v>111</v>
      </c>
      <c r="S110" s="9">
        <v>12460</v>
      </c>
      <c r="T110" s="9">
        <v>128.4</v>
      </c>
      <c r="U110" s="9">
        <v>0</v>
      </c>
      <c r="V110" s="9">
        <f t="shared" si="0"/>
        <v>0</v>
      </c>
      <c r="W110" s="2" t="s">
        <v>97</v>
      </c>
      <c r="X110" s="2">
        <v>2016</v>
      </c>
      <c r="Y110" s="5" t="s">
        <v>7670</v>
      </c>
    </row>
    <row r="111" spans="1:25" s="28" customFormat="1" ht="89.25" customHeight="1" outlineLevel="1" x14ac:dyDescent="0.25">
      <c r="B111" s="2" t="s">
        <v>7564</v>
      </c>
      <c r="C111" s="5" t="s">
        <v>83</v>
      </c>
      <c r="D111" s="5" t="s">
        <v>270</v>
      </c>
      <c r="E111" s="5" t="s">
        <v>271</v>
      </c>
      <c r="F111" s="5" t="s">
        <v>272</v>
      </c>
      <c r="G111" s="5"/>
      <c r="H111" s="5" t="s">
        <v>88</v>
      </c>
      <c r="I111" s="27">
        <v>0</v>
      </c>
      <c r="J111" s="5">
        <v>710000000</v>
      </c>
      <c r="K111" s="5" t="s">
        <v>89</v>
      </c>
      <c r="L111" s="5" t="s">
        <v>7470</v>
      </c>
      <c r="M111" s="5" t="s">
        <v>91</v>
      </c>
      <c r="N111" s="7" t="s">
        <v>92</v>
      </c>
      <c r="O111" s="7" t="s">
        <v>93</v>
      </c>
      <c r="P111" s="7" t="s">
        <v>673</v>
      </c>
      <c r="Q111" s="15">
        <v>166</v>
      </c>
      <c r="R111" s="5" t="s">
        <v>111</v>
      </c>
      <c r="S111" s="9">
        <v>12460</v>
      </c>
      <c r="T111" s="9">
        <v>128.4</v>
      </c>
      <c r="U111" s="9">
        <f t="shared" ref="U111" si="78">T111*S111</f>
        <v>1599864</v>
      </c>
      <c r="V111" s="9">
        <f t="shared" ref="V111" si="79">U111*1.12</f>
        <v>1791847.6800000002</v>
      </c>
      <c r="W111" s="2"/>
      <c r="X111" s="2">
        <v>2016</v>
      </c>
      <c r="Y111" s="5"/>
    </row>
    <row r="112" spans="1:25" s="28" customFormat="1" ht="89.25" customHeight="1" outlineLevel="1" x14ac:dyDescent="0.2">
      <c r="A112" s="26"/>
      <c r="B112" s="2" t="s">
        <v>273</v>
      </c>
      <c r="C112" s="5" t="s">
        <v>83</v>
      </c>
      <c r="D112" s="5" t="s">
        <v>274</v>
      </c>
      <c r="E112" s="5" t="s">
        <v>275</v>
      </c>
      <c r="F112" s="5" t="s">
        <v>276</v>
      </c>
      <c r="G112" s="5" t="s">
        <v>277</v>
      </c>
      <c r="H112" s="5" t="s">
        <v>88</v>
      </c>
      <c r="I112" s="27">
        <v>0.5</v>
      </c>
      <c r="J112" s="5">
        <v>710000000</v>
      </c>
      <c r="K112" s="5" t="s">
        <v>89</v>
      </c>
      <c r="L112" s="5" t="s">
        <v>90</v>
      </c>
      <c r="M112" s="5" t="s">
        <v>91</v>
      </c>
      <c r="N112" s="7" t="s">
        <v>92</v>
      </c>
      <c r="O112" s="7" t="s">
        <v>93</v>
      </c>
      <c r="P112" s="7" t="s">
        <v>94</v>
      </c>
      <c r="Q112" s="15">
        <v>166</v>
      </c>
      <c r="R112" s="5" t="s">
        <v>111</v>
      </c>
      <c r="S112" s="9">
        <v>181</v>
      </c>
      <c r="T112" s="9">
        <v>192.8</v>
      </c>
      <c r="U112" s="9">
        <v>0</v>
      </c>
      <c r="V112" s="9">
        <f t="shared" si="0"/>
        <v>0</v>
      </c>
      <c r="W112" s="2" t="s">
        <v>97</v>
      </c>
      <c r="X112" s="2">
        <v>2016</v>
      </c>
      <c r="Y112" s="5" t="s">
        <v>7670</v>
      </c>
    </row>
    <row r="113" spans="1:25" s="28" customFormat="1" ht="89.25" customHeight="1" outlineLevel="1" x14ac:dyDescent="0.25">
      <c r="B113" s="2" t="s">
        <v>7565</v>
      </c>
      <c r="C113" s="5" t="s">
        <v>83</v>
      </c>
      <c r="D113" s="5" t="s">
        <v>274</v>
      </c>
      <c r="E113" s="5" t="s">
        <v>275</v>
      </c>
      <c r="F113" s="5" t="s">
        <v>276</v>
      </c>
      <c r="G113" s="5" t="s">
        <v>277</v>
      </c>
      <c r="H113" s="5" t="s">
        <v>88</v>
      </c>
      <c r="I113" s="27">
        <v>0</v>
      </c>
      <c r="J113" s="5">
        <v>710000000</v>
      </c>
      <c r="K113" s="5" t="s">
        <v>89</v>
      </c>
      <c r="L113" s="5" t="s">
        <v>7470</v>
      </c>
      <c r="M113" s="5" t="s">
        <v>91</v>
      </c>
      <c r="N113" s="7" t="s">
        <v>92</v>
      </c>
      <c r="O113" s="7" t="s">
        <v>93</v>
      </c>
      <c r="P113" s="7" t="s">
        <v>673</v>
      </c>
      <c r="Q113" s="15">
        <v>166</v>
      </c>
      <c r="R113" s="5" t="s">
        <v>111</v>
      </c>
      <c r="S113" s="9">
        <v>181</v>
      </c>
      <c r="T113" s="9">
        <v>192.8</v>
      </c>
      <c r="U113" s="9">
        <f t="shared" ref="U113" si="80">T113*S113</f>
        <v>34896.800000000003</v>
      </c>
      <c r="V113" s="9">
        <f t="shared" ref="V113" si="81">U113*1.12</f>
        <v>39084.416000000005</v>
      </c>
      <c r="W113" s="2"/>
      <c r="X113" s="2">
        <v>2016</v>
      </c>
      <c r="Y113" s="5"/>
    </row>
    <row r="114" spans="1:25" s="28" customFormat="1" ht="89.25" customHeight="1" outlineLevel="1" x14ac:dyDescent="0.2">
      <c r="A114" s="26"/>
      <c r="B114" s="2" t="s">
        <v>278</v>
      </c>
      <c r="C114" s="5" t="s">
        <v>83</v>
      </c>
      <c r="D114" s="5" t="s">
        <v>274</v>
      </c>
      <c r="E114" s="5" t="s">
        <v>275</v>
      </c>
      <c r="F114" s="5" t="s">
        <v>276</v>
      </c>
      <c r="G114" s="5" t="s">
        <v>279</v>
      </c>
      <c r="H114" s="5" t="s">
        <v>88</v>
      </c>
      <c r="I114" s="27">
        <v>0.5</v>
      </c>
      <c r="J114" s="5">
        <v>710000000</v>
      </c>
      <c r="K114" s="5" t="s">
        <v>89</v>
      </c>
      <c r="L114" s="5" t="s">
        <v>90</v>
      </c>
      <c r="M114" s="5" t="s">
        <v>91</v>
      </c>
      <c r="N114" s="7" t="s">
        <v>92</v>
      </c>
      <c r="O114" s="7" t="s">
        <v>93</v>
      </c>
      <c r="P114" s="7" t="s">
        <v>94</v>
      </c>
      <c r="Q114" s="15">
        <v>166</v>
      </c>
      <c r="R114" s="5" t="s">
        <v>111</v>
      </c>
      <c r="S114" s="9">
        <v>818</v>
      </c>
      <c r="T114" s="9">
        <v>192.72</v>
      </c>
      <c r="U114" s="9">
        <v>0</v>
      </c>
      <c r="V114" s="9">
        <f t="shared" si="0"/>
        <v>0</v>
      </c>
      <c r="W114" s="2" t="s">
        <v>97</v>
      </c>
      <c r="X114" s="2">
        <v>2016</v>
      </c>
      <c r="Y114" s="5" t="s">
        <v>7670</v>
      </c>
    </row>
    <row r="115" spans="1:25" s="28" customFormat="1" ht="89.25" customHeight="1" outlineLevel="1" x14ac:dyDescent="0.25">
      <c r="B115" s="2" t="s">
        <v>7566</v>
      </c>
      <c r="C115" s="5" t="s">
        <v>83</v>
      </c>
      <c r="D115" s="5" t="s">
        <v>274</v>
      </c>
      <c r="E115" s="5" t="s">
        <v>275</v>
      </c>
      <c r="F115" s="5" t="s">
        <v>276</v>
      </c>
      <c r="G115" s="5" t="s">
        <v>279</v>
      </c>
      <c r="H115" s="5" t="s">
        <v>88</v>
      </c>
      <c r="I115" s="27">
        <v>0</v>
      </c>
      <c r="J115" s="5">
        <v>710000000</v>
      </c>
      <c r="K115" s="5" t="s">
        <v>89</v>
      </c>
      <c r="L115" s="5" t="s">
        <v>7470</v>
      </c>
      <c r="M115" s="5" t="s">
        <v>91</v>
      </c>
      <c r="N115" s="7" t="s">
        <v>92</v>
      </c>
      <c r="O115" s="7" t="s">
        <v>93</v>
      </c>
      <c r="P115" s="7" t="s">
        <v>673</v>
      </c>
      <c r="Q115" s="15">
        <v>166</v>
      </c>
      <c r="R115" s="5" t="s">
        <v>111</v>
      </c>
      <c r="S115" s="9">
        <v>818</v>
      </c>
      <c r="T115" s="9">
        <v>192.72</v>
      </c>
      <c r="U115" s="9">
        <f t="shared" ref="U115" si="82">T115*S115</f>
        <v>157644.96</v>
      </c>
      <c r="V115" s="9">
        <f t="shared" ref="V115" si="83">U115*1.12</f>
        <v>176562.35520000002</v>
      </c>
      <c r="W115" s="2"/>
      <c r="X115" s="2">
        <v>2016</v>
      </c>
      <c r="Y115" s="5"/>
    </row>
    <row r="116" spans="1:25" s="28" customFormat="1" ht="89.25" customHeight="1" outlineLevel="1" x14ac:dyDescent="0.2">
      <c r="A116" s="26"/>
      <c r="B116" s="2" t="s">
        <v>280</v>
      </c>
      <c r="C116" s="5" t="s">
        <v>83</v>
      </c>
      <c r="D116" s="5" t="s">
        <v>281</v>
      </c>
      <c r="E116" s="5" t="s">
        <v>282</v>
      </c>
      <c r="F116" s="5" t="s">
        <v>276</v>
      </c>
      <c r="G116" s="5" t="s">
        <v>283</v>
      </c>
      <c r="H116" s="5" t="s">
        <v>88</v>
      </c>
      <c r="I116" s="27">
        <v>0.5</v>
      </c>
      <c r="J116" s="5">
        <v>710000000</v>
      </c>
      <c r="K116" s="5" t="s">
        <v>89</v>
      </c>
      <c r="L116" s="5" t="s">
        <v>90</v>
      </c>
      <c r="M116" s="5" t="s">
        <v>91</v>
      </c>
      <c r="N116" s="7" t="s">
        <v>92</v>
      </c>
      <c r="O116" s="7" t="s">
        <v>93</v>
      </c>
      <c r="P116" s="7" t="s">
        <v>94</v>
      </c>
      <c r="Q116" s="15">
        <v>166</v>
      </c>
      <c r="R116" s="5" t="s">
        <v>111</v>
      </c>
      <c r="S116" s="9">
        <v>1303</v>
      </c>
      <c r="T116" s="9">
        <v>267.5</v>
      </c>
      <c r="U116" s="9">
        <v>0</v>
      </c>
      <c r="V116" s="9">
        <f t="shared" si="0"/>
        <v>0</v>
      </c>
      <c r="W116" s="2" t="s">
        <v>97</v>
      </c>
      <c r="X116" s="2">
        <v>2016</v>
      </c>
      <c r="Y116" s="5" t="s">
        <v>7670</v>
      </c>
    </row>
    <row r="117" spans="1:25" s="28" customFormat="1" ht="89.25" customHeight="1" outlineLevel="1" x14ac:dyDescent="0.25">
      <c r="B117" s="2" t="s">
        <v>7567</v>
      </c>
      <c r="C117" s="5" t="s">
        <v>83</v>
      </c>
      <c r="D117" s="5" t="s">
        <v>281</v>
      </c>
      <c r="E117" s="5" t="s">
        <v>282</v>
      </c>
      <c r="F117" s="5" t="s">
        <v>276</v>
      </c>
      <c r="G117" s="5" t="s">
        <v>283</v>
      </c>
      <c r="H117" s="5" t="s">
        <v>88</v>
      </c>
      <c r="I117" s="27">
        <v>0</v>
      </c>
      <c r="J117" s="5">
        <v>710000000</v>
      </c>
      <c r="K117" s="5" t="s">
        <v>89</v>
      </c>
      <c r="L117" s="5" t="s">
        <v>7470</v>
      </c>
      <c r="M117" s="5" t="s">
        <v>91</v>
      </c>
      <c r="N117" s="7" t="s">
        <v>92</v>
      </c>
      <c r="O117" s="7" t="s">
        <v>93</v>
      </c>
      <c r="P117" s="7" t="s">
        <v>673</v>
      </c>
      <c r="Q117" s="15">
        <v>166</v>
      </c>
      <c r="R117" s="5" t="s">
        <v>111</v>
      </c>
      <c r="S117" s="9">
        <v>1303</v>
      </c>
      <c r="T117" s="9">
        <v>267.5</v>
      </c>
      <c r="U117" s="9">
        <f t="shared" ref="U117" si="84">T117*S117</f>
        <v>348552.5</v>
      </c>
      <c r="V117" s="9">
        <f t="shared" ref="V117" si="85">U117*1.12</f>
        <v>390378.80000000005</v>
      </c>
      <c r="W117" s="2"/>
      <c r="X117" s="2">
        <v>2016</v>
      </c>
      <c r="Y117" s="5"/>
    </row>
    <row r="118" spans="1:25" s="28" customFormat="1" ht="89.25" customHeight="1" outlineLevel="1" x14ac:dyDescent="0.2">
      <c r="A118" s="26"/>
      <c r="B118" s="2" t="s">
        <v>284</v>
      </c>
      <c r="C118" s="5" t="s">
        <v>83</v>
      </c>
      <c r="D118" s="5" t="s">
        <v>285</v>
      </c>
      <c r="E118" s="5" t="s">
        <v>286</v>
      </c>
      <c r="F118" s="5" t="s">
        <v>287</v>
      </c>
      <c r="G118" s="5" t="s">
        <v>288</v>
      </c>
      <c r="H118" s="5" t="s">
        <v>88</v>
      </c>
      <c r="I118" s="27">
        <v>0.5</v>
      </c>
      <c r="J118" s="5">
        <v>710000000</v>
      </c>
      <c r="K118" s="5" t="s">
        <v>89</v>
      </c>
      <c r="L118" s="5" t="s">
        <v>90</v>
      </c>
      <c r="M118" s="5" t="s">
        <v>91</v>
      </c>
      <c r="N118" s="7" t="s">
        <v>92</v>
      </c>
      <c r="O118" s="7" t="s">
        <v>93</v>
      </c>
      <c r="P118" s="7" t="s">
        <v>94</v>
      </c>
      <c r="Q118" s="15">
        <v>166</v>
      </c>
      <c r="R118" s="5" t="s">
        <v>111</v>
      </c>
      <c r="S118" s="9">
        <v>112</v>
      </c>
      <c r="T118" s="9">
        <v>153.29</v>
      </c>
      <c r="U118" s="9">
        <v>0</v>
      </c>
      <c r="V118" s="9">
        <f t="shared" si="0"/>
        <v>0</v>
      </c>
      <c r="W118" s="2" t="s">
        <v>97</v>
      </c>
      <c r="X118" s="2">
        <v>2016</v>
      </c>
      <c r="Y118" s="5" t="s">
        <v>7670</v>
      </c>
    </row>
    <row r="119" spans="1:25" s="28" customFormat="1" ht="89.25" customHeight="1" outlineLevel="1" x14ac:dyDescent="0.25">
      <c r="B119" s="2" t="s">
        <v>7568</v>
      </c>
      <c r="C119" s="5" t="s">
        <v>83</v>
      </c>
      <c r="D119" s="5" t="s">
        <v>285</v>
      </c>
      <c r="E119" s="5" t="s">
        <v>286</v>
      </c>
      <c r="F119" s="5" t="s">
        <v>287</v>
      </c>
      <c r="G119" s="5" t="s">
        <v>288</v>
      </c>
      <c r="H119" s="5" t="s">
        <v>88</v>
      </c>
      <c r="I119" s="27">
        <v>0</v>
      </c>
      <c r="J119" s="5">
        <v>710000000</v>
      </c>
      <c r="K119" s="5" t="s">
        <v>89</v>
      </c>
      <c r="L119" s="5" t="s">
        <v>7470</v>
      </c>
      <c r="M119" s="5" t="s">
        <v>91</v>
      </c>
      <c r="N119" s="7" t="s">
        <v>92</v>
      </c>
      <c r="O119" s="7" t="s">
        <v>93</v>
      </c>
      <c r="P119" s="7" t="s">
        <v>673</v>
      </c>
      <c r="Q119" s="15">
        <v>166</v>
      </c>
      <c r="R119" s="5" t="s">
        <v>111</v>
      </c>
      <c r="S119" s="9">
        <v>112</v>
      </c>
      <c r="T119" s="9">
        <v>153.29</v>
      </c>
      <c r="U119" s="9">
        <f t="shared" ref="U119" si="86">T119*S119</f>
        <v>17168.48</v>
      </c>
      <c r="V119" s="9">
        <f t="shared" ref="V119" si="87">U119*1.12</f>
        <v>19228.697600000003</v>
      </c>
      <c r="W119" s="2"/>
      <c r="X119" s="2">
        <v>2016</v>
      </c>
      <c r="Y119" s="5"/>
    </row>
    <row r="120" spans="1:25" s="28" customFormat="1" ht="114.75" customHeight="1" outlineLevel="1" x14ac:dyDescent="0.2">
      <c r="A120" s="26"/>
      <c r="B120" s="2" t="s">
        <v>289</v>
      </c>
      <c r="C120" s="5" t="s">
        <v>83</v>
      </c>
      <c r="D120" s="5" t="s">
        <v>290</v>
      </c>
      <c r="E120" s="5" t="s">
        <v>291</v>
      </c>
      <c r="F120" s="5" t="s">
        <v>292</v>
      </c>
      <c r="G120" s="5" t="s">
        <v>293</v>
      </c>
      <c r="H120" s="5" t="s">
        <v>88</v>
      </c>
      <c r="I120" s="27">
        <v>0.5</v>
      </c>
      <c r="J120" s="5">
        <v>710000000</v>
      </c>
      <c r="K120" s="5" t="s">
        <v>89</v>
      </c>
      <c r="L120" s="5" t="s">
        <v>90</v>
      </c>
      <c r="M120" s="5" t="s">
        <v>91</v>
      </c>
      <c r="N120" s="7" t="s">
        <v>92</v>
      </c>
      <c r="O120" s="7" t="s">
        <v>93</v>
      </c>
      <c r="P120" s="7" t="s">
        <v>94</v>
      </c>
      <c r="Q120" s="15">
        <v>166</v>
      </c>
      <c r="R120" s="5" t="s">
        <v>111</v>
      </c>
      <c r="S120" s="9">
        <v>7979</v>
      </c>
      <c r="T120" s="9">
        <v>64.2</v>
      </c>
      <c r="U120" s="9">
        <v>0</v>
      </c>
      <c r="V120" s="9">
        <f t="shared" si="0"/>
        <v>0</v>
      </c>
      <c r="W120" s="2" t="s">
        <v>97</v>
      </c>
      <c r="X120" s="2">
        <v>2016</v>
      </c>
      <c r="Y120" s="5" t="s">
        <v>7670</v>
      </c>
    </row>
    <row r="121" spans="1:25" s="28" customFormat="1" ht="114.75" customHeight="1" outlineLevel="1" x14ac:dyDescent="0.25">
      <c r="B121" s="2" t="s">
        <v>7569</v>
      </c>
      <c r="C121" s="5" t="s">
        <v>83</v>
      </c>
      <c r="D121" s="5" t="s">
        <v>290</v>
      </c>
      <c r="E121" s="5" t="s">
        <v>291</v>
      </c>
      <c r="F121" s="5" t="s">
        <v>292</v>
      </c>
      <c r="G121" s="5" t="s">
        <v>293</v>
      </c>
      <c r="H121" s="5" t="s">
        <v>88</v>
      </c>
      <c r="I121" s="27">
        <v>0</v>
      </c>
      <c r="J121" s="5">
        <v>710000000</v>
      </c>
      <c r="K121" s="5" t="s">
        <v>89</v>
      </c>
      <c r="L121" s="5" t="s">
        <v>7470</v>
      </c>
      <c r="M121" s="5" t="s">
        <v>91</v>
      </c>
      <c r="N121" s="7" t="s">
        <v>92</v>
      </c>
      <c r="O121" s="7" t="s">
        <v>93</v>
      </c>
      <c r="P121" s="7" t="s">
        <v>673</v>
      </c>
      <c r="Q121" s="15">
        <v>166</v>
      </c>
      <c r="R121" s="5" t="s">
        <v>111</v>
      </c>
      <c r="S121" s="9">
        <v>7979</v>
      </c>
      <c r="T121" s="9">
        <v>64.2</v>
      </c>
      <c r="U121" s="9">
        <f t="shared" ref="U121" si="88">T121*S121</f>
        <v>512251.80000000005</v>
      </c>
      <c r="V121" s="9">
        <f t="shared" ref="V121" si="89">U121*1.12</f>
        <v>573722.01600000006</v>
      </c>
      <c r="W121" s="2"/>
      <c r="X121" s="2">
        <v>2016</v>
      </c>
      <c r="Y121" s="5"/>
    </row>
    <row r="122" spans="1:25" s="28" customFormat="1" ht="89.25" customHeight="1" outlineLevel="1" x14ac:dyDescent="0.2">
      <c r="A122" s="26"/>
      <c r="B122" s="2" t="s">
        <v>294</v>
      </c>
      <c r="C122" s="5" t="s">
        <v>83</v>
      </c>
      <c r="D122" s="5" t="s">
        <v>295</v>
      </c>
      <c r="E122" s="5" t="s">
        <v>296</v>
      </c>
      <c r="F122" s="5" t="s">
        <v>297</v>
      </c>
      <c r="G122" s="5" t="s">
        <v>298</v>
      </c>
      <c r="H122" s="5" t="s">
        <v>88</v>
      </c>
      <c r="I122" s="27">
        <v>0.5</v>
      </c>
      <c r="J122" s="5">
        <v>710000000</v>
      </c>
      <c r="K122" s="5" t="s">
        <v>89</v>
      </c>
      <c r="L122" s="5" t="s">
        <v>90</v>
      </c>
      <c r="M122" s="5" t="s">
        <v>91</v>
      </c>
      <c r="N122" s="7" t="s">
        <v>92</v>
      </c>
      <c r="O122" s="7" t="s">
        <v>93</v>
      </c>
      <c r="P122" s="7" t="s">
        <v>94</v>
      </c>
      <c r="Q122" s="15">
        <v>166</v>
      </c>
      <c r="R122" s="5" t="s">
        <v>111</v>
      </c>
      <c r="S122" s="9">
        <v>5</v>
      </c>
      <c r="T122" s="9">
        <v>592.75</v>
      </c>
      <c r="U122" s="9">
        <v>0</v>
      </c>
      <c r="V122" s="9">
        <f t="shared" si="0"/>
        <v>0</v>
      </c>
      <c r="W122" s="2" t="s">
        <v>97</v>
      </c>
      <c r="X122" s="2">
        <v>2016</v>
      </c>
      <c r="Y122" s="5" t="s">
        <v>7670</v>
      </c>
    </row>
    <row r="123" spans="1:25" s="28" customFormat="1" ht="89.25" customHeight="1" outlineLevel="1" x14ac:dyDescent="0.25">
      <c r="B123" s="2" t="s">
        <v>7570</v>
      </c>
      <c r="C123" s="5" t="s">
        <v>83</v>
      </c>
      <c r="D123" s="5" t="s">
        <v>295</v>
      </c>
      <c r="E123" s="5" t="s">
        <v>296</v>
      </c>
      <c r="F123" s="5" t="s">
        <v>297</v>
      </c>
      <c r="G123" s="5" t="s">
        <v>298</v>
      </c>
      <c r="H123" s="5" t="s">
        <v>88</v>
      </c>
      <c r="I123" s="27">
        <v>0</v>
      </c>
      <c r="J123" s="5">
        <v>710000000</v>
      </c>
      <c r="K123" s="5" t="s">
        <v>89</v>
      </c>
      <c r="L123" s="5" t="s">
        <v>7470</v>
      </c>
      <c r="M123" s="5" t="s">
        <v>91</v>
      </c>
      <c r="N123" s="7" t="s">
        <v>92</v>
      </c>
      <c r="O123" s="7" t="s">
        <v>93</v>
      </c>
      <c r="P123" s="7" t="s">
        <v>673</v>
      </c>
      <c r="Q123" s="15">
        <v>166</v>
      </c>
      <c r="R123" s="5" t="s">
        <v>111</v>
      </c>
      <c r="S123" s="9">
        <v>5</v>
      </c>
      <c r="T123" s="9">
        <v>592.75</v>
      </c>
      <c r="U123" s="9">
        <f t="shared" ref="U123" si="90">T123*S123</f>
        <v>2963.75</v>
      </c>
      <c r="V123" s="9">
        <f t="shared" ref="V123" si="91">U123*1.12</f>
        <v>3319.4</v>
      </c>
      <c r="W123" s="2"/>
      <c r="X123" s="2">
        <v>2016</v>
      </c>
      <c r="Y123" s="5"/>
    </row>
    <row r="124" spans="1:25" s="28" customFormat="1" ht="89.25" customHeight="1" outlineLevel="1" x14ac:dyDescent="0.2">
      <c r="A124" s="26"/>
      <c r="B124" s="2" t="s">
        <v>299</v>
      </c>
      <c r="C124" s="5" t="s">
        <v>83</v>
      </c>
      <c r="D124" s="5" t="s">
        <v>300</v>
      </c>
      <c r="E124" s="5" t="s">
        <v>301</v>
      </c>
      <c r="F124" s="5" t="s">
        <v>302</v>
      </c>
      <c r="G124" s="5" t="s">
        <v>303</v>
      </c>
      <c r="H124" s="5" t="s">
        <v>88</v>
      </c>
      <c r="I124" s="27">
        <v>0.5</v>
      </c>
      <c r="J124" s="5">
        <v>710000000</v>
      </c>
      <c r="K124" s="5" t="s">
        <v>89</v>
      </c>
      <c r="L124" s="5" t="s">
        <v>90</v>
      </c>
      <c r="M124" s="5" t="s">
        <v>91</v>
      </c>
      <c r="N124" s="7" t="s">
        <v>92</v>
      </c>
      <c r="O124" s="7" t="s">
        <v>93</v>
      </c>
      <c r="P124" s="7" t="s">
        <v>94</v>
      </c>
      <c r="Q124" s="15">
        <v>166</v>
      </c>
      <c r="R124" s="5" t="s">
        <v>111</v>
      </c>
      <c r="S124" s="9">
        <v>3364</v>
      </c>
      <c r="T124" s="9">
        <v>310.31</v>
      </c>
      <c r="U124" s="9">
        <v>0</v>
      </c>
      <c r="V124" s="9">
        <f t="shared" si="0"/>
        <v>0</v>
      </c>
      <c r="W124" s="2" t="s">
        <v>97</v>
      </c>
      <c r="X124" s="2">
        <v>2016</v>
      </c>
      <c r="Y124" s="5" t="s">
        <v>7670</v>
      </c>
    </row>
    <row r="125" spans="1:25" s="28" customFormat="1" ht="89.25" customHeight="1" outlineLevel="1" x14ac:dyDescent="0.25">
      <c r="B125" s="2" t="s">
        <v>7571</v>
      </c>
      <c r="C125" s="5" t="s">
        <v>83</v>
      </c>
      <c r="D125" s="5" t="s">
        <v>300</v>
      </c>
      <c r="E125" s="5" t="s">
        <v>301</v>
      </c>
      <c r="F125" s="5" t="s">
        <v>302</v>
      </c>
      <c r="G125" s="5" t="s">
        <v>303</v>
      </c>
      <c r="H125" s="5" t="s">
        <v>88</v>
      </c>
      <c r="I125" s="27">
        <v>0</v>
      </c>
      <c r="J125" s="5">
        <v>710000000</v>
      </c>
      <c r="K125" s="5" t="s">
        <v>89</v>
      </c>
      <c r="L125" s="5" t="s">
        <v>7470</v>
      </c>
      <c r="M125" s="5" t="s">
        <v>91</v>
      </c>
      <c r="N125" s="7" t="s">
        <v>92</v>
      </c>
      <c r="O125" s="7" t="s">
        <v>93</v>
      </c>
      <c r="P125" s="7" t="s">
        <v>673</v>
      </c>
      <c r="Q125" s="15">
        <v>166</v>
      </c>
      <c r="R125" s="5" t="s">
        <v>111</v>
      </c>
      <c r="S125" s="9">
        <v>3364</v>
      </c>
      <c r="T125" s="9">
        <v>310.31</v>
      </c>
      <c r="U125" s="9">
        <f t="shared" ref="U125" si="92">T125*S125</f>
        <v>1043882.84</v>
      </c>
      <c r="V125" s="9">
        <f t="shared" ref="V125" si="93">U125*1.12</f>
        <v>1169148.7808000001</v>
      </c>
      <c r="W125" s="2"/>
      <c r="X125" s="2">
        <v>2016</v>
      </c>
      <c r="Y125" s="5"/>
    </row>
    <row r="126" spans="1:25" s="28" customFormat="1" ht="89.25" customHeight="1" outlineLevel="1" x14ac:dyDescent="0.2">
      <c r="A126" s="26"/>
      <c r="B126" s="2" t="s">
        <v>304</v>
      </c>
      <c r="C126" s="5" t="s">
        <v>83</v>
      </c>
      <c r="D126" s="5" t="s">
        <v>305</v>
      </c>
      <c r="E126" s="5" t="s">
        <v>306</v>
      </c>
      <c r="F126" s="5" t="s">
        <v>307</v>
      </c>
      <c r="G126" s="5" t="s">
        <v>308</v>
      </c>
      <c r="H126" s="5" t="s">
        <v>88</v>
      </c>
      <c r="I126" s="27">
        <v>0.5</v>
      </c>
      <c r="J126" s="5">
        <v>710000000</v>
      </c>
      <c r="K126" s="5" t="s">
        <v>89</v>
      </c>
      <c r="L126" s="5" t="s">
        <v>90</v>
      </c>
      <c r="M126" s="5" t="s">
        <v>91</v>
      </c>
      <c r="N126" s="7" t="s">
        <v>92</v>
      </c>
      <c r="O126" s="7" t="s">
        <v>93</v>
      </c>
      <c r="P126" s="7" t="s">
        <v>94</v>
      </c>
      <c r="Q126" s="15">
        <v>166</v>
      </c>
      <c r="R126" s="5" t="s">
        <v>111</v>
      </c>
      <c r="S126" s="9">
        <v>180</v>
      </c>
      <c r="T126" s="9">
        <v>374.5</v>
      </c>
      <c r="U126" s="9">
        <v>0</v>
      </c>
      <c r="V126" s="9">
        <f t="shared" si="0"/>
        <v>0</v>
      </c>
      <c r="W126" s="2" t="s">
        <v>97</v>
      </c>
      <c r="X126" s="2">
        <v>2016</v>
      </c>
      <c r="Y126" s="5" t="s">
        <v>7670</v>
      </c>
    </row>
    <row r="127" spans="1:25" s="28" customFormat="1" ht="89.25" customHeight="1" outlineLevel="1" x14ac:dyDescent="0.25">
      <c r="B127" s="2" t="s">
        <v>7572</v>
      </c>
      <c r="C127" s="5" t="s">
        <v>83</v>
      </c>
      <c r="D127" s="5" t="s">
        <v>305</v>
      </c>
      <c r="E127" s="5" t="s">
        <v>306</v>
      </c>
      <c r="F127" s="5" t="s">
        <v>307</v>
      </c>
      <c r="G127" s="5" t="s">
        <v>308</v>
      </c>
      <c r="H127" s="5" t="s">
        <v>88</v>
      </c>
      <c r="I127" s="27">
        <v>0</v>
      </c>
      <c r="J127" s="5">
        <v>710000000</v>
      </c>
      <c r="K127" s="5" t="s">
        <v>89</v>
      </c>
      <c r="L127" s="5" t="s">
        <v>90</v>
      </c>
      <c r="M127" s="5" t="s">
        <v>91</v>
      </c>
      <c r="N127" s="7" t="s">
        <v>92</v>
      </c>
      <c r="O127" s="7" t="s">
        <v>93</v>
      </c>
      <c r="P127" s="7" t="s">
        <v>673</v>
      </c>
      <c r="Q127" s="15">
        <v>166</v>
      </c>
      <c r="R127" s="5" t="s">
        <v>111</v>
      </c>
      <c r="S127" s="9">
        <v>180</v>
      </c>
      <c r="T127" s="9">
        <v>374.5</v>
      </c>
      <c r="U127" s="9">
        <f t="shared" ref="U127" si="94">T127*S127</f>
        <v>67410</v>
      </c>
      <c r="V127" s="9">
        <f t="shared" ref="V127" si="95">U127*1.12</f>
        <v>75499.200000000012</v>
      </c>
      <c r="W127" s="2"/>
      <c r="X127" s="2">
        <v>2016</v>
      </c>
      <c r="Y127" s="5"/>
    </row>
    <row r="128" spans="1:25" s="28" customFormat="1" ht="89.25" customHeight="1" outlineLevel="1" x14ac:dyDescent="0.2">
      <c r="A128" s="26"/>
      <c r="B128" s="2" t="s">
        <v>309</v>
      </c>
      <c r="C128" s="5" t="s">
        <v>83</v>
      </c>
      <c r="D128" s="5" t="s">
        <v>310</v>
      </c>
      <c r="E128" s="5" t="s">
        <v>311</v>
      </c>
      <c r="F128" s="5" t="s">
        <v>312</v>
      </c>
      <c r="G128" s="5" t="s">
        <v>313</v>
      </c>
      <c r="H128" s="5" t="s">
        <v>88</v>
      </c>
      <c r="I128" s="27">
        <v>0.5</v>
      </c>
      <c r="J128" s="5">
        <v>710000000</v>
      </c>
      <c r="K128" s="5" t="s">
        <v>89</v>
      </c>
      <c r="L128" s="5" t="s">
        <v>90</v>
      </c>
      <c r="M128" s="5" t="s">
        <v>91</v>
      </c>
      <c r="N128" s="7" t="s">
        <v>92</v>
      </c>
      <c r="O128" s="7" t="s">
        <v>93</v>
      </c>
      <c r="P128" s="7" t="s">
        <v>94</v>
      </c>
      <c r="Q128" s="15">
        <v>166</v>
      </c>
      <c r="R128" s="5" t="s">
        <v>111</v>
      </c>
      <c r="S128" s="9">
        <v>20</v>
      </c>
      <c r="T128" s="9">
        <v>1070</v>
      </c>
      <c r="U128" s="9">
        <v>0</v>
      </c>
      <c r="V128" s="9">
        <f t="shared" si="0"/>
        <v>0</v>
      </c>
      <c r="W128" s="2" t="s">
        <v>97</v>
      </c>
      <c r="X128" s="2">
        <v>2016</v>
      </c>
      <c r="Y128" s="5" t="s">
        <v>7670</v>
      </c>
    </row>
    <row r="129" spans="1:25" s="28" customFormat="1" ht="89.25" customHeight="1" outlineLevel="1" x14ac:dyDescent="0.25">
      <c r="B129" s="2" t="s">
        <v>7573</v>
      </c>
      <c r="C129" s="5" t="s">
        <v>83</v>
      </c>
      <c r="D129" s="5" t="s">
        <v>310</v>
      </c>
      <c r="E129" s="5" t="s">
        <v>311</v>
      </c>
      <c r="F129" s="5" t="s">
        <v>312</v>
      </c>
      <c r="G129" s="5" t="s">
        <v>313</v>
      </c>
      <c r="H129" s="5" t="s">
        <v>88</v>
      </c>
      <c r="I129" s="27">
        <v>0</v>
      </c>
      <c r="J129" s="5">
        <v>710000000</v>
      </c>
      <c r="K129" s="5" t="s">
        <v>89</v>
      </c>
      <c r="L129" s="5" t="s">
        <v>7470</v>
      </c>
      <c r="M129" s="5" t="s">
        <v>91</v>
      </c>
      <c r="N129" s="7" t="s">
        <v>92</v>
      </c>
      <c r="O129" s="7" t="s">
        <v>93</v>
      </c>
      <c r="P129" s="7" t="s">
        <v>673</v>
      </c>
      <c r="Q129" s="15">
        <v>166</v>
      </c>
      <c r="R129" s="5" t="s">
        <v>111</v>
      </c>
      <c r="S129" s="9">
        <v>20</v>
      </c>
      <c r="T129" s="9">
        <v>1070</v>
      </c>
      <c r="U129" s="9">
        <f t="shared" ref="U129" si="96">T129*S129</f>
        <v>21400</v>
      </c>
      <c r="V129" s="9">
        <f t="shared" ref="V129" si="97">U129*1.12</f>
        <v>23968.000000000004</v>
      </c>
      <c r="W129" s="2"/>
      <c r="X129" s="2">
        <v>2016</v>
      </c>
      <c r="Y129" s="5"/>
    </row>
    <row r="130" spans="1:25" s="28" customFormat="1" ht="89.25" customHeight="1" outlineLevel="1" x14ac:dyDescent="0.2">
      <c r="A130" s="26"/>
      <c r="B130" s="2" t="s">
        <v>314</v>
      </c>
      <c r="C130" s="5" t="s">
        <v>83</v>
      </c>
      <c r="D130" s="5" t="s">
        <v>315</v>
      </c>
      <c r="E130" s="5" t="s">
        <v>316</v>
      </c>
      <c r="F130" s="5" t="s">
        <v>317</v>
      </c>
      <c r="G130" s="5" t="s">
        <v>318</v>
      </c>
      <c r="H130" s="5" t="s">
        <v>88</v>
      </c>
      <c r="I130" s="27">
        <v>0.5</v>
      </c>
      <c r="J130" s="5">
        <v>710000000</v>
      </c>
      <c r="K130" s="5" t="s">
        <v>89</v>
      </c>
      <c r="L130" s="5" t="s">
        <v>90</v>
      </c>
      <c r="M130" s="5" t="s">
        <v>91</v>
      </c>
      <c r="N130" s="7" t="s">
        <v>92</v>
      </c>
      <c r="O130" s="7" t="s">
        <v>93</v>
      </c>
      <c r="P130" s="7" t="s">
        <v>94</v>
      </c>
      <c r="Q130" s="15">
        <v>166</v>
      </c>
      <c r="R130" s="5" t="s">
        <v>111</v>
      </c>
      <c r="S130" s="9">
        <v>1399</v>
      </c>
      <c r="T130" s="9">
        <v>267.5</v>
      </c>
      <c r="U130" s="9">
        <v>0</v>
      </c>
      <c r="V130" s="9">
        <f t="shared" si="0"/>
        <v>0</v>
      </c>
      <c r="W130" s="2" t="s">
        <v>97</v>
      </c>
      <c r="X130" s="2">
        <v>2016</v>
      </c>
      <c r="Y130" s="5" t="s">
        <v>7670</v>
      </c>
    </row>
    <row r="131" spans="1:25" s="28" customFormat="1" ht="89.25" customHeight="1" outlineLevel="1" x14ac:dyDescent="0.25">
      <c r="B131" s="2" t="s">
        <v>7574</v>
      </c>
      <c r="C131" s="5" t="s">
        <v>83</v>
      </c>
      <c r="D131" s="5" t="s">
        <v>315</v>
      </c>
      <c r="E131" s="5" t="s">
        <v>316</v>
      </c>
      <c r="F131" s="5" t="s">
        <v>317</v>
      </c>
      <c r="G131" s="5" t="s">
        <v>318</v>
      </c>
      <c r="H131" s="5" t="s">
        <v>88</v>
      </c>
      <c r="I131" s="27">
        <v>0</v>
      </c>
      <c r="J131" s="5">
        <v>710000000</v>
      </c>
      <c r="K131" s="5" t="s">
        <v>89</v>
      </c>
      <c r="L131" s="5" t="s">
        <v>7470</v>
      </c>
      <c r="M131" s="5" t="s">
        <v>91</v>
      </c>
      <c r="N131" s="7" t="s">
        <v>92</v>
      </c>
      <c r="O131" s="7" t="s">
        <v>93</v>
      </c>
      <c r="P131" s="7" t="s">
        <v>673</v>
      </c>
      <c r="Q131" s="15">
        <v>166</v>
      </c>
      <c r="R131" s="5" t="s">
        <v>111</v>
      </c>
      <c r="S131" s="9">
        <v>1399</v>
      </c>
      <c r="T131" s="9">
        <v>267.5</v>
      </c>
      <c r="U131" s="9">
        <f t="shared" ref="U131" si="98">T131*S131</f>
        <v>374232.5</v>
      </c>
      <c r="V131" s="9">
        <f t="shared" ref="V131" si="99">U131*1.12</f>
        <v>419140.4</v>
      </c>
      <c r="W131" s="2"/>
      <c r="X131" s="2">
        <v>2016</v>
      </c>
      <c r="Y131" s="5"/>
    </row>
    <row r="132" spans="1:25" s="28" customFormat="1" ht="89.25" customHeight="1" outlineLevel="1" x14ac:dyDescent="0.2">
      <c r="A132" s="26"/>
      <c r="B132" s="2" t="s">
        <v>319</v>
      </c>
      <c r="C132" s="5" t="s">
        <v>83</v>
      </c>
      <c r="D132" s="5" t="s">
        <v>320</v>
      </c>
      <c r="E132" s="5" t="s">
        <v>321</v>
      </c>
      <c r="F132" s="5" t="s">
        <v>322</v>
      </c>
      <c r="G132" s="5"/>
      <c r="H132" s="5" t="s">
        <v>88</v>
      </c>
      <c r="I132" s="27">
        <v>0.5</v>
      </c>
      <c r="J132" s="5">
        <v>710000000</v>
      </c>
      <c r="K132" s="5" t="s">
        <v>89</v>
      </c>
      <c r="L132" s="5" t="s">
        <v>90</v>
      </c>
      <c r="M132" s="5" t="s">
        <v>91</v>
      </c>
      <c r="N132" s="7" t="s">
        <v>92</v>
      </c>
      <c r="O132" s="7" t="s">
        <v>93</v>
      </c>
      <c r="P132" s="7" t="s">
        <v>94</v>
      </c>
      <c r="Q132" s="15">
        <v>166</v>
      </c>
      <c r="R132" s="5" t="s">
        <v>111</v>
      </c>
      <c r="S132" s="9">
        <v>120</v>
      </c>
      <c r="T132" s="9">
        <v>749</v>
      </c>
      <c r="U132" s="9">
        <v>0</v>
      </c>
      <c r="V132" s="9">
        <f t="shared" si="0"/>
        <v>0</v>
      </c>
      <c r="W132" s="2" t="s">
        <v>97</v>
      </c>
      <c r="X132" s="2">
        <v>2016</v>
      </c>
      <c r="Y132" s="5" t="s">
        <v>7670</v>
      </c>
    </row>
    <row r="133" spans="1:25" s="28" customFormat="1" ht="89.25" customHeight="1" outlineLevel="1" x14ac:dyDescent="0.25">
      <c r="B133" s="2" t="s">
        <v>7575</v>
      </c>
      <c r="C133" s="5" t="s">
        <v>83</v>
      </c>
      <c r="D133" s="5" t="s">
        <v>320</v>
      </c>
      <c r="E133" s="5" t="s">
        <v>321</v>
      </c>
      <c r="F133" s="5" t="s">
        <v>322</v>
      </c>
      <c r="G133" s="5"/>
      <c r="H133" s="5" t="s">
        <v>88</v>
      </c>
      <c r="I133" s="27">
        <v>0</v>
      </c>
      <c r="J133" s="5">
        <v>710000000</v>
      </c>
      <c r="K133" s="5" t="s">
        <v>89</v>
      </c>
      <c r="L133" s="5" t="s">
        <v>7470</v>
      </c>
      <c r="M133" s="5" t="s">
        <v>91</v>
      </c>
      <c r="N133" s="7" t="s">
        <v>92</v>
      </c>
      <c r="O133" s="7" t="s">
        <v>93</v>
      </c>
      <c r="P133" s="7" t="s">
        <v>673</v>
      </c>
      <c r="Q133" s="15">
        <v>166</v>
      </c>
      <c r="R133" s="5" t="s">
        <v>111</v>
      </c>
      <c r="S133" s="9">
        <v>120</v>
      </c>
      <c r="T133" s="9">
        <v>749</v>
      </c>
      <c r="U133" s="9">
        <f t="shared" ref="U133" si="100">T133*S133</f>
        <v>89880</v>
      </c>
      <c r="V133" s="9">
        <f t="shared" ref="V133" si="101">U133*1.12</f>
        <v>100665.60000000001</v>
      </c>
      <c r="W133" s="2"/>
      <c r="X133" s="2">
        <v>2016</v>
      </c>
      <c r="Y133" s="5"/>
    </row>
    <row r="134" spans="1:25" s="28" customFormat="1" ht="89.25" customHeight="1" outlineLevel="1" x14ac:dyDescent="0.2">
      <c r="A134" s="26"/>
      <c r="B134" s="2" t="s">
        <v>323</v>
      </c>
      <c r="C134" s="5" t="s">
        <v>83</v>
      </c>
      <c r="D134" s="5" t="s">
        <v>324</v>
      </c>
      <c r="E134" s="5" t="s">
        <v>325</v>
      </c>
      <c r="F134" s="5" t="s">
        <v>326</v>
      </c>
      <c r="G134" s="5" t="s">
        <v>327</v>
      </c>
      <c r="H134" s="5" t="s">
        <v>88</v>
      </c>
      <c r="I134" s="27">
        <v>0.5</v>
      </c>
      <c r="J134" s="5">
        <v>710000000</v>
      </c>
      <c r="K134" s="5" t="s">
        <v>89</v>
      </c>
      <c r="L134" s="5" t="s">
        <v>90</v>
      </c>
      <c r="M134" s="5" t="s">
        <v>91</v>
      </c>
      <c r="N134" s="7" t="s">
        <v>92</v>
      </c>
      <c r="O134" s="7" t="s">
        <v>93</v>
      </c>
      <c r="P134" s="7" t="s">
        <v>94</v>
      </c>
      <c r="Q134" s="15">
        <v>166</v>
      </c>
      <c r="R134" s="5" t="s">
        <v>111</v>
      </c>
      <c r="S134" s="9">
        <v>360</v>
      </c>
      <c r="T134" s="9">
        <v>417.3</v>
      </c>
      <c r="U134" s="9">
        <v>0</v>
      </c>
      <c r="V134" s="9">
        <f t="shared" si="0"/>
        <v>0</v>
      </c>
      <c r="W134" s="2" t="s">
        <v>97</v>
      </c>
      <c r="X134" s="2">
        <v>2016</v>
      </c>
      <c r="Y134" s="5" t="s">
        <v>7670</v>
      </c>
    </row>
    <row r="135" spans="1:25" s="28" customFormat="1" ht="89.25" customHeight="1" outlineLevel="1" x14ac:dyDescent="0.25">
      <c r="B135" s="2" t="s">
        <v>7576</v>
      </c>
      <c r="C135" s="5" t="s">
        <v>83</v>
      </c>
      <c r="D135" s="5" t="s">
        <v>324</v>
      </c>
      <c r="E135" s="5" t="s">
        <v>325</v>
      </c>
      <c r="F135" s="5" t="s">
        <v>326</v>
      </c>
      <c r="G135" s="5" t="s">
        <v>327</v>
      </c>
      <c r="H135" s="5" t="s">
        <v>88</v>
      </c>
      <c r="I135" s="27">
        <v>0</v>
      </c>
      <c r="J135" s="5">
        <v>710000000</v>
      </c>
      <c r="K135" s="5" t="s">
        <v>89</v>
      </c>
      <c r="L135" s="5" t="s">
        <v>7470</v>
      </c>
      <c r="M135" s="5" t="s">
        <v>91</v>
      </c>
      <c r="N135" s="7" t="s">
        <v>92</v>
      </c>
      <c r="O135" s="7" t="s">
        <v>93</v>
      </c>
      <c r="P135" s="7" t="s">
        <v>673</v>
      </c>
      <c r="Q135" s="15">
        <v>166</v>
      </c>
      <c r="R135" s="5" t="s">
        <v>111</v>
      </c>
      <c r="S135" s="9">
        <v>360</v>
      </c>
      <c r="T135" s="9">
        <v>417.3</v>
      </c>
      <c r="U135" s="9">
        <f t="shared" ref="U135" si="102">T135*S135</f>
        <v>150228</v>
      </c>
      <c r="V135" s="9">
        <f t="shared" ref="V135" si="103">U135*1.12</f>
        <v>168255.36000000002</v>
      </c>
      <c r="W135" s="2"/>
      <c r="X135" s="2">
        <v>2016</v>
      </c>
      <c r="Y135" s="5"/>
    </row>
    <row r="136" spans="1:25" s="28" customFormat="1" ht="89.25" customHeight="1" outlineLevel="1" x14ac:dyDescent="0.2">
      <c r="A136" s="26"/>
      <c r="B136" s="2" t="s">
        <v>328</v>
      </c>
      <c r="C136" s="5" t="s">
        <v>83</v>
      </c>
      <c r="D136" s="5" t="s">
        <v>329</v>
      </c>
      <c r="E136" s="5" t="s">
        <v>330</v>
      </c>
      <c r="F136" s="5" t="s">
        <v>331</v>
      </c>
      <c r="G136" s="5" t="s">
        <v>332</v>
      </c>
      <c r="H136" s="5" t="s">
        <v>88</v>
      </c>
      <c r="I136" s="27">
        <v>0.5</v>
      </c>
      <c r="J136" s="5">
        <v>710000000</v>
      </c>
      <c r="K136" s="5" t="s">
        <v>89</v>
      </c>
      <c r="L136" s="5" t="s">
        <v>90</v>
      </c>
      <c r="M136" s="5" t="s">
        <v>91</v>
      </c>
      <c r="N136" s="7" t="s">
        <v>92</v>
      </c>
      <c r="O136" s="7" t="s">
        <v>93</v>
      </c>
      <c r="P136" s="7" t="s">
        <v>94</v>
      </c>
      <c r="Q136" s="15">
        <v>166</v>
      </c>
      <c r="R136" s="5" t="s">
        <v>111</v>
      </c>
      <c r="S136" s="9">
        <v>300</v>
      </c>
      <c r="T136" s="9">
        <v>588.5</v>
      </c>
      <c r="U136" s="9">
        <v>0</v>
      </c>
      <c r="V136" s="9">
        <f t="shared" si="0"/>
        <v>0</v>
      </c>
      <c r="W136" s="2" t="s">
        <v>97</v>
      </c>
      <c r="X136" s="2">
        <v>2016</v>
      </c>
      <c r="Y136" s="5" t="s">
        <v>7670</v>
      </c>
    </row>
    <row r="137" spans="1:25" s="28" customFormat="1" ht="89.25" customHeight="1" outlineLevel="1" x14ac:dyDescent="0.25">
      <c r="B137" s="2" t="s">
        <v>7577</v>
      </c>
      <c r="C137" s="5" t="s">
        <v>83</v>
      </c>
      <c r="D137" s="5" t="s">
        <v>329</v>
      </c>
      <c r="E137" s="5" t="s">
        <v>330</v>
      </c>
      <c r="F137" s="5" t="s">
        <v>331</v>
      </c>
      <c r="G137" s="5" t="s">
        <v>332</v>
      </c>
      <c r="H137" s="5" t="s">
        <v>88</v>
      </c>
      <c r="I137" s="27">
        <v>0</v>
      </c>
      <c r="J137" s="5">
        <v>710000000</v>
      </c>
      <c r="K137" s="5" t="s">
        <v>89</v>
      </c>
      <c r="L137" s="5" t="s">
        <v>7470</v>
      </c>
      <c r="M137" s="5" t="s">
        <v>91</v>
      </c>
      <c r="N137" s="7" t="s">
        <v>92</v>
      </c>
      <c r="O137" s="7" t="s">
        <v>93</v>
      </c>
      <c r="P137" s="7" t="s">
        <v>673</v>
      </c>
      <c r="Q137" s="15">
        <v>166</v>
      </c>
      <c r="R137" s="5" t="s">
        <v>111</v>
      </c>
      <c r="S137" s="9">
        <v>300</v>
      </c>
      <c r="T137" s="9">
        <v>588.5</v>
      </c>
      <c r="U137" s="9">
        <f t="shared" ref="U137" si="104">T137*S137</f>
        <v>176550</v>
      </c>
      <c r="V137" s="9">
        <f t="shared" ref="V137" si="105">U137*1.12</f>
        <v>197736.00000000003</v>
      </c>
      <c r="W137" s="2"/>
      <c r="X137" s="2">
        <v>2016</v>
      </c>
      <c r="Y137" s="5"/>
    </row>
    <row r="138" spans="1:25" s="28" customFormat="1" ht="89.25" customHeight="1" outlineLevel="1" x14ac:dyDescent="0.2">
      <c r="A138" s="26"/>
      <c r="B138" s="2" t="s">
        <v>333</v>
      </c>
      <c r="C138" s="5" t="s">
        <v>83</v>
      </c>
      <c r="D138" s="5" t="s">
        <v>334</v>
      </c>
      <c r="E138" s="5" t="s">
        <v>335</v>
      </c>
      <c r="F138" s="5" t="s">
        <v>336</v>
      </c>
      <c r="G138" s="5" t="s">
        <v>337</v>
      </c>
      <c r="H138" s="5" t="s">
        <v>88</v>
      </c>
      <c r="I138" s="27">
        <v>0.5</v>
      </c>
      <c r="J138" s="5">
        <v>710000000</v>
      </c>
      <c r="K138" s="5" t="s">
        <v>89</v>
      </c>
      <c r="L138" s="5" t="s">
        <v>90</v>
      </c>
      <c r="M138" s="5" t="s">
        <v>91</v>
      </c>
      <c r="N138" s="7" t="s">
        <v>92</v>
      </c>
      <c r="O138" s="7" t="s">
        <v>93</v>
      </c>
      <c r="P138" s="7" t="s">
        <v>94</v>
      </c>
      <c r="Q138" s="15">
        <v>166</v>
      </c>
      <c r="R138" s="5" t="s">
        <v>111</v>
      </c>
      <c r="S138" s="9">
        <v>83</v>
      </c>
      <c r="T138" s="9">
        <v>638.88</v>
      </c>
      <c r="U138" s="9">
        <v>0</v>
      </c>
      <c r="V138" s="9">
        <f t="shared" si="0"/>
        <v>0</v>
      </c>
      <c r="W138" s="2" t="s">
        <v>97</v>
      </c>
      <c r="X138" s="2">
        <v>2016</v>
      </c>
      <c r="Y138" s="5" t="s">
        <v>7670</v>
      </c>
    </row>
    <row r="139" spans="1:25" s="28" customFormat="1" ht="89.25" customHeight="1" outlineLevel="1" x14ac:dyDescent="0.25">
      <c r="B139" s="2" t="s">
        <v>7578</v>
      </c>
      <c r="C139" s="5" t="s">
        <v>83</v>
      </c>
      <c r="D139" s="5" t="s">
        <v>334</v>
      </c>
      <c r="E139" s="5" t="s">
        <v>335</v>
      </c>
      <c r="F139" s="5" t="s">
        <v>336</v>
      </c>
      <c r="G139" s="5" t="s">
        <v>337</v>
      </c>
      <c r="H139" s="5" t="s">
        <v>88</v>
      </c>
      <c r="I139" s="27">
        <v>0</v>
      </c>
      <c r="J139" s="5">
        <v>710000000</v>
      </c>
      <c r="K139" s="5" t="s">
        <v>89</v>
      </c>
      <c r="L139" s="5" t="s">
        <v>7470</v>
      </c>
      <c r="M139" s="5" t="s">
        <v>91</v>
      </c>
      <c r="N139" s="7" t="s">
        <v>92</v>
      </c>
      <c r="O139" s="7" t="s">
        <v>93</v>
      </c>
      <c r="P139" s="7" t="s">
        <v>673</v>
      </c>
      <c r="Q139" s="15">
        <v>166</v>
      </c>
      <c r="R139" s="5" t="s">
        <v>111</v>
      </c>
      <c r="S139" s="9">
        <v>83</v>
      </c>
      <c r="T139" s="9">
        <v>638.88</v>
      </c>
      <c r="U139" s="9">
        <f t="shared" ref="U139" si="106">T139*S139</f>
        <v>53027.040000000001</v>
      </c>
      <c r="V139" s="9">
        <f t="shared" ref="V139" si="107">U139*1.12</f>
        <v>59390.284800000009</v>
      </c>
      <c r="W139" s="2"/>
      <c r="X139" s="2">
        <v>2016</v>
      </c>
      <c r="Y139" s="5"/>
    </row>
    <row r="140" spans="1:25" s="28" customFormat="1" ht="89.25" customHeight="1" outlineLevel="1" x14ac:dyDescent="0.2">
      <c r="A140" s="26"/>
      <c r="B140" s="2" t="s">
        <v>338</v>
      </c>
      <c r="C140" s="5" t="s">
        <v>83</v>
      </c>
      <c r="D140" s="5" t="s">
        <v>339</v>
      </c>
      <c r="E140" s="5" t="s">
        <v>340</v>
      </c>
      <c r="F140" s="5" t="s">
        <v>341</v>
      </c>
      <c r="G140" s="5" t="s">
        <v>342</v>
      </c>
      <c r="H140" s="5" t="s">
        <v>88</v>
      </c>
      <c r="I140" s="27">
        <v>0.5</v>
      </c>
      <c r="J140" s="5">
        <v>710000000</v>
      </c>
      <c r="K140" s="5" t="s">
        <v>89</v>
      </c>
      <c r="L140" s="5" t="s">
        <v>90</v>
      </c>
      <c r="M140" s="5" t="s">
        <v>91</v>
      </c>
      <c r="N140" s="7" t="s">
        <v>92</v>
      </c>
      <c r="O140" s="7" t="s">
        <v>93</v>
      </c>
      <c r="P140" s="7" t="s">
        <v>94</v>
      </c>
      <c r="Q140" s="15">
        <v>166</v>
      </c>
      <c r="R140" s="5" t="s">
        <v>111</v>
      </c>
      <c r="S140" s="9">
        <v>300</v>
      </c>
      <c r="T140" s="9">
        <v>695.5</v>
      </c>
      <c r="U140" s="9">
        <v>0</v>
      </c>
      <c r="V140" s="9">
        <f t="shared" si="0"/>
        <v>0</v>
      </c>
      <c r="W140" s="2" t="s">
        <v>97</v>
      </c>
      <c r="X140" s="2">
        <v>2016</v>
      </c>
      <c r="Y140" s="5" t="s">
        <v>7670</v>
      </c>
    </row>
    <row r="141" spans="1:25" s="28" customFormat="1" ht="89.25" customHeight="1" outlineLevel="1" x14ac:dyDescent="0.25">
      <c r="B141" s="2" t="s">
        <v>7579</v>
      </c>
      <c r="C141" s="5" t="s">
        <v>83</v>
      </c>
      <c r="D141" s="5" t="s">
        <v>339</v>
      </c>
      <c r="E141" s="5" t="s">
        <v>340</v>
      </c>
      <c r="F141" s="5" t="s">
        <v>341</v>
      </c>
      <c r="G141" s="5" t="s">
        <v>342</v>
      </c>
      <c r="H141" s="5" t="s">
        <v>88</v>
      </c>
      <c r="I141" s="27">
        <v>0</v>
      </c>
      <c r="J141" s="5">
        <v>710000000</v>
      </c>
      <c r="K141" s="5" t="s">
        <v>89</v>
      </c>
      <c r="L141" s="5" t="s">
        <v>7470</v>
      </c>
      <c r="M141" s="5" t="s">
        <v>91</v>
      </c>
      <c r="N141" s="7" t="s">
        <v>92</v>
      </c>
      <c r="O141" s="7" t="s">
        <v>93</v>
      </c>
      <c r="P141" s="7" t="s">
        <v>673</v>
      </c>
      <c r="Q141" s="15">
        <v>166</v>
      </c>
      <c r="R141" s="5" t="s">
        <v>111</v>
      </c>
      <c r="S141" s="9">
        <v>300</v>
      </c>
      <c r="T141" s="9">
        <v>695.5</v>
      </c>
      <c r="U141" s="9">
        <f t="shared" ref="U141" si="108">T141*S141</f>
        <v>208650</v>
      </c>
      <c r="V141" s="9">
        <f t="shared" ref="V141" si="109">U141*1.12</f>
        <v>233688.00000000003</v>
      </c>
      <c r="W141" s="2"/>
      <c r="X141" s="2">
        <v>2016</v>
      </c>
      <c r="Y141" s="5"/>
    </row>
    <row r="142" spans="1:25" s="28" customFormat="1" ht="89.25" customHeight="1" outlineLevel="1" x14ac:dyDescent="0.2">
      <c r="A142" s="26"/>
      <c r="B142" s="2" t="s">
        <v>343</v>
      </c>
      <c r="C142" s="5" t="s">
        <v>83</v>
      </c>
      <c r="D142" s="5" t="s">
        <v>344</v>
      </c>
      <c r="E142" s="5" t="s">
        <v>345</v>
      </c>
      <c r="F142" s="5" t="s">
        <v>346</v>
      </c>
      <c r="G142" s="5" t="s">
        <v>347</v>
      </c>
      <c r="H142" s="5" t="s">
        <v>88</v>
      </c>
      <c r="I142" s="27">
        <v>0.5</v>
      </c>
      <c r="J142" s="5">
        <v>710000000</v>
      </c>
      <c r="K142" s="5" t="s">
        <v>89</v>
      </c>
      <c r="L142" s="5" t="s">
        <v>90</v>
      </c>
      <c r="M142" s="5" t="s">
        <v>91</v>
      </c>
      <c r="N142" s="7" t="s">
        <v>92</v>
      </c>
      <c r="O142" s="7" t="s">
        <v>93</v>
      </c>
      <c r="P142" s="7" t="s">
        <v>94</v>
      </c>
      <c r="Q142" s="15">
        <v>166</v>
      </c>
      <c r="R142" s="5" t="s">
        <v>111</v>
      </c>
      <c r="S142" s="9">
        <v>100</v>
      </c>
      <c r="T142" s="9">
        <v>963</v>
      </c>
      <c r="U142" s="9">
        <v>0</v>
      </c>
      <c r="V142" s="9">
        <f t="shared" si="0"/>
        <v>0</v>
      </c>
      <c r="W142" s="2" t="s">
        <v>97</v>
      </c>
      <c r="X142" s="2">
        <v>2016</v>
      </c>
      <c r="Y142" s="5" t="s">
        <v>7670</v>
      </c>
    </row>
    <row r="143" spans="1:25" s="28" customFormat="1" ht="89.25" customHeight="1" outlineLevel="1" x14ac:dyDescent="0.25">
      <c r="B143" s="2" t="s">
        <v>7580</v>
      </c>
      <c r="C143" s="5" t="s">
        <v>83</v>
      </c>
      <c r="D143" s="5" t="s">
        <v>344</v>
      </c>
      <c r="E143" s="5" t="s">
        <v>345</v>
      </c>
      <c r="F143" s="5" t="s">
        <v>346</v>
      </c>
      <c r="G143" s="5" t="s">
        <v>347</v>
      </c>
      <c r="H143" s="5" t="s">
        <v>88</v>
      </c>
      <c r="I143" s="27">
        <v>0</v>
      </c>
      <c r="J143" s="5">
        <v>710000000</v>
      </c>
      <c r="K143" s="5" t="s">
        <v>89</v>
      </c>
      <c r="L143" s="5" t="s">
        <v>7470</v>
      </c>
      <c r="M143" s="5" t="s">
        <v>91</v>
      </c>
      <c r="N143" s="7" t="s">
        <v>92</v>
      </c>
      <c r="O143" s="7" t="s">
        <v>93</v>
      </c>
      <c r="P143" s="7" t="s">
        <v>673</v>
      </c>
      <c r="Q143" s="15">
        <v>166</v>
      </c>
      <c r="R143" s="5" t="s">
        <v>111</v>
      </c>
      <c r="S143" s="9">
        <v>100</v>
      </c>
      <c r="T143" s="9">
        <v>963</v>
      </c>
      <c r="U143" s="9">
        <f t="shared" ref="U143" si="110">T143*S143</f>
        <v>96300</v>
      </c>
      <c r="V143" s="9">
        <f t="shared" ref="V143" si="111">U143*1.12</f>
        <v>107856.00000000001</v>
      </c>
      <c r="W143" s="2"/>
      <c r="X143" s="2">
        <v>2016</v>
      </c>
      <c r="Y143" s="5"/>
    </row>
    <row r="144" spans="1:25" s="28" customFormat="1" ht="89.25" customHeight="1" outlineLevel="1" x14ac:dyDescent="0.2">
      <c r="A144" s="26"/>
      <c r="B144" s="2" t="s">
        <v>348</v>
      </c>
      <c r="C144" s="5" t="s">
        <v>83</v>
      </c>
      <c r="D144" s="5" t="s">
        <v>349</v>
      </c>
      <c r="E144" s="5" t="s">
        <v>350</v>
      </c>
      <c r="F144" s="5" t="s">
        <v>351</v>
      </c>
      <c r="G144" s="5" t="s">
        <v>352</v>
      </c>
      <c r="H144" s="5" t="s">
        <v>88</v>
      </c>
      <c r="I144" s="27">
        <v>0.5</v>
      </c>
      <c r="J144" s="5">
        <v>710000000</v>
      </c>
      <c r="K144" s="5" t="s">
        <v>89</v>
      </c>
      <c r="L144" s="5" t="s">
        <v>90</v>
      </c>
      <c r="M144" s="5" t="s">
        <v>91</v>
      </c>
      <c r="N144" s="7" t="s">
        <v>92</v>
      </c>
      <c r="O144" s="7" t="s">
        <v>93</v>
      </c>
      <c r="P144" s="7" t="s">
        <v>94</v>
      </c>
      <c r="Q144" s="15">
        <v>166</v>
      </c>
      <c r="R144" s="5" t="s">
        <v>111</v>
      </c>
      <c r="S144" s="9">
        <v>4453</v>
      </c>
      <c r="T144" s="9">
        <v>321</v>
      </c>
      <c r="U144" s="9">
        <v>0</v>
      </c>
      <c r="V144" s="9">
        <f t="shared" si="0"/>
        <v>0</v>
      </c>
      <c r="W144" s="2" t="s">
        <v>97</v>
      </c>
      <c r="X144" s="2">
        <v>2016</v>
      </c>
      <c r="Y144" s="5" t="s">
        <v>7670</v>
      </c>
    </row>
    <row r="145" spans="1:25" s="28" customFormat="1" ht="89.25" customHeight="1" outlineLevel="1" x14ac:dyDescent="0.25">
      <c r="B145" s="2" t="s">
        <v>7581</v>
      </c>
      <c r="C145" s="5" t="s">
        <v>83</v>
      </c>
      <c r="D145" s="5" t="s">
        <v>349</v>
      </c>
      <c r="E145" s="5" t="s">
        <v>350</v>
      </c>
      <c r="F145" s="5" t="s">
        <v>351</v>
      </c>
      <c r="G145" s="5" t="s">
        <v>352</v>
      </c>
      <c r="H145" s="5" t="s">
        <v>88</v>
      </c>
      <c r="I145" s="27">
        <v>0</v>
      </c>
      <c r="J145" s="5">
        <v>710000000</v>
      </c>
      <c r="K145" s="5" t="s">
        <v>89</v>
      </c>
      <c r="L145" s="5" t="s">
        <v>7470</v>
      </c>
      <c r="M145" s="5" t="s">
        <v>91</v>
      </c>
      <c r="N145" s="7" t="s">
        <v>92</v>
      </c>
      <c r="O145" s="7" t="s">
        <v>93</v>
      </c>
      <c r="P145" s="7" t="s">
        <v>673</v>
      </c>
      <c r="Q145" s="15">
        <v>166</v>
      </c>
      <c r="R145" s="5" t="s">
        <v>111</v>
      </c>
      <c r="S145" s="9">
        <v>4453</v>
      </c>
      <c r="T145" s="9">
        <v>321</v>
      </c>
      <c r="U145" s="9">
        <f t="shared" ref="U145" si="112">T145*S145</f>
        <v>1429413</v>
      </c>
      <c r="V145" s="9">
        <f t="shared" ref="V145" si="113">U145*1.12</f>
        <v>1600942.56</v>
      </c>
      <c r="W145" s="2"/>
      <c r="X145" s="2">
        <v>2016</v>
      </c>
      <c r="Y145" s="5"/>
    </row>
    <row r="146" spans="1:25" s="28" customFormat="1" ht="89.25" customHeight="1" outlineLevel="1" x14ac:dyDescent="0.2">
      <c r="A146" s="26"/>
      <c r="B146" s="2" t="s">
        <v>353</v>
      </c>
      <c r="C146" s="5" t="s">
        <v>83</v>
      </c>
      <c r="D146" s="5" t="s">
        <v>354</v>
      </c>
      <c r="E146" s="5" t="s">
        <v>355</v>
      </c>
      <c r="F146" s="5" t="s">
        <v>356</v>
      </c>
      <c r="G146" s="5" t="s">
        <v>357</v>
      </c>
      <c r="H146" s="5" t="s">
        <v>88</v>
      </c>
      <c r="I146" s="27">
        <v>0.5</v>
      </c>
      <c r="J146" s="5">
        <v>710000000</v>
      </c>
      <c r="K146" s="5" t="s">
        <v>89</v>
      </c>
      <c r="L146" s="5" t="s">
        <v>90</v>
      </c>
      <c r="M146" s="5" t="s">
        <v>91</v>
      </c>
      <c r="N146" s="7" t="s">
        <v>92</v>
      </c>
      <c r="O146" s="7" t="s">
        <v>93</v>
      </c>
      <c r="P146" s="7" t="s">
        <v>94</v>
      </c>
      <c r="Q146" s="15">
        <v>166</v>
      </c>
      <c r="R146" s="5" t="s">
        <v>111</v>
      </c>
      <c r="S146" s="9">
        <v>30</v>
      </c>
      <c r="T146" s="9">
        <v>374.5</v>
      </c>
      <c r="U146" s="9">
        <v>0</v>
      </c>
      <c r="V146" s="9">
        <f t="shared" si="0"/>
        <v>0</v>
      </c>
      <c r="W146" s="2" t="s">
        <v>97</v>
      </c>
      <c r="X146" s="2">
        <v>2016</v>
      </c>
      <c r="Y146" s="5" t="s">
        <v>7670</v>
      </c>
    </row>
    <row r="147" spans="1:25" s="28" customFormat="1" ht="89.25" customHeight="1" outlineLevel="1" x14ac:dyDescent="0.25">
      <c r="B147" s="2" t="s">
        <v>7582</v>
      </c>
      <c r="C147" s="5" t="s">
        <v>83</v>
      </c>
      <c r="D147" s="5" t="s">
        <v>354</v>
      </c>
      <c r="E147" s="5" t="s">
        <v>355</v>
      </c>
      <c r="F147" s="5" t="s">
        <v>356</v>
      </c>
      <c r="G147" s="5" t="s">
        <v>357</v>
      </c>
      <c r="H147" s="5" t="s">
        <v>88</v>
      </c>
      <c r="I147" s="27">
        <v>0</v>
      </c>
      <c r="J147" s="5">
        <v>710000000</v>
      </c>
      <c r="K147" s="5" t="s">
        <v>89</v>
      </c>
      <c r="L147" s="5" t="s">
        <v>7470</v>
      </c>
      <c r="M147" s="5" t="s">
        <v>91</v>
      </c>
      <c r="N147" s="7" t="s">
        <v>92</v>
      </c>
      <c r="O147" s="7" t="s">
        <v>93</v>
      </c>
      <c r="P147" s="7" t="s">
        <v>673</v>
      </c>
      <c r="Q147" s="15">
        <v>166</v>
      </c>
      <c r="R147" s="5" t="s">
        <v>111</v>
      </c>
      <c r="S147" s="9">
        <v>30</v>
      </c>
      <c r="T147" s="9">
        <v>374.5</v>
      </c>
      <c r="U147" s="9">
        <f t="shared" ref="U147" si="114">T147*S147</f>
        <v>11235</v>
      </c>
      <c r="V147" s="9">
        <f t="shared" ref="V147" si="115">U147*1.12</f>
        <v>12583.2</v>
      </c>
      <c r="W147" s="2"/>
      <c r="X147" s="2">
        <v>2016</v>
      </c>
      <c r="Y147" s="5"/>
    </row>
    <row r="148" spans="1:25" s="28" customFormat="1" ht="89.25" customHeight="1" outlineLevel="1" x14ac:dyDescent="0.2">
      <c r="A148" s="26"/>
      <c r="B148" s="2" t="s">
        <v>358</v>
      </c>
      <c r="C148" s="5" t="s">
        <v>83</v>
      </c>
      <c r="D148" s="5" t="s">
        <v>359</v>
      </c>
      <c r="E148" s="5" t="s">
        <v>360</v>
      </c>
      <c r="F148" s="5" t="s">
        <v>361</v>
      </c>
      <c r="G148" s="5" t="s">
        <v>362</v>
      </c>
      <c r="H148" s="5" t="s">
        <v>88</v>
      </c>
      <c r="I148" s="27">
        <v>0.5</v>
      </c>
      <c r="J148" s="5">
        <v>710000000</v>
      </c>
      <c r="K148" s="5" t="s">
        <v>89</v>
      </c>
      <c r="L148" s="5" t="s">
        <v>90</v>
      </c>
      <c r="M148" s="5" t="s">
        <v>91</v>
      </c>
      <c r="N148" s="7" t="s">
        <v>92</v>
      </c>
      <c r="O148" s="7" t="s">
        <v>93</v>
      </c>
      <c r="P148" s="7" t="s">
        <v>94</v>
      </c>
      <c r="Q148" s="15">
        <v>166</v>
      </c>
      <c r="R148" s="5" t="s">
        <v>111</v>
      </c>
      <c r="S148" s="9">
        <v>129</v>
      </c>
      <c r="T148" s="9">
        <v>1429.82</v>
      </c>
      <c r="U148" s="9">
        <v>0</v>
      </c>
      <c r="V148" s="9">
        <f t="shared" si="0"/>
        <v>0</v>
      </c>
      <c r="W148" s="2" t="s">
        <v>97</v>
      </c>
      <c r="X148" s="2">
        <v>2016</v>
      </c>
      <c r="Y148" s="5" t="s">
        <v>7670</v>
      </c>
    </row>
    <row r="149" spans="1:25" s="28" customFormat="1" ht="89.25" customHeight="1" outlineLevel="1" x14ac:dyDescent="0.25">
      <c r="B149" s="2" t="s">
        <v>7583</v>
      </c>
      <c r="C149" s="5" t="s">
        <v>83</v>
      </c>
      <c r="D149" s="5" t="s">
        <v>359</v>
      </c>
      <c r="E149" s="5" t="s">
        <v>360</v>
      </c>
      <c r="F149" s="5" t="s">
        <v>361</v>
      </c>
      <c r="G149" s="5" t="s">
        <v>362</v>
      </c>
      <c r="H149" s="5" t="s">
        <v>88</v>
      </c>
      <c r="I149" s="27">
        <v>0</v>
      </c>
      <c r="J149" s="5">
        <v>710000000</v>
      </c>
      <c r="K149" s="5" t="s">
        <v>89</v>
      </c>
      <c r="L149" s="5" t="s">
        <v>7470</v>
      </c>
      <c r="M149" s="5" t="s">
        <v>91</v>
      </c>
      <c r="N149" s="7" t="s">
        <v>92</v>
      </c>
      <c r="O149" s="7" t="s">
        <v>93</v>
      </c>
      <c r="P149" s="7" t="s">
        <v>673</v>
      </c>
      <c r="Q149" s="15">
        <v>166</v>
      </c>
      <c r="R149" s="5" t="s">
        <v>111</v>
      </c>
      <c r="S149" s="9">
        <v>129</v>
      </c>
      <c r="T149" s="9">
        <v>1429.82</v>
      </c>
      <c r="U149" s="9">
        <f t="shared" ref="U149" si="116">T149*S149</f>
        <v>184446.78</v>
      </c>
      <c r="V149" s="9">
        <f t="shared" ref="V149" si="117">U149*1.12</f>
        <v>206580.39360000001</v>
      </c>
      <c r="W149" s="2"/>
      <c r="X149" s="2">
        <v>2016</v>
      </c>
      <c r="Y149" s="5"/>
    </row>
    <row r="150" spans="1:25" s="28" customFormat="1" ht="89.25" customHeight="1" outlineLevel="1" x14ac:dyDescent="0.2">
      <c r="A150" s="26"/>
      <c r="B150" s="2" t="s">
        <v>363</v>
      </c>
      <c r="C150" s="5" t="s">
        <v>83</v>
      </c>
      <c r="D150" s="5" t="s">
        <v>364</v>
      </c>
      <c r="E150" s="5" t="s">
        <v>365</v>
      </c>
      <c r="F150" s="5" t="s">
        <v>366</v>
      </c>
      <c r="G150" s="5" t="s">
        <v>367</v>
      </c>
      <c r="H150" s="5" t="s">
        <v>88</v>
      </c>
      <c r="I150" s="27">
        <v>0.5</v>
      </c>
      <c r="J150" s="5">
        <v>710000000</v>
      </c>
      <c r="K150" s="5" t="s">
        <v>89</v>
      </c>
      <c r="L150" s="5" t="s">
        <v>90</v>
      </c>
      <c r="M150" s="5" t="s">
        <v>91</v>
      </c>
      <c r="N150" s="7" t="s">
        <v>92</v>
      </c>
      <c r="O150" s="7" t="s">
        <v>93</v>
      </c>
      <c r="P150" s="7" t="s">
        <v>94</v>
      </c>
      <c r="Q150" s="15">
        <v>166</v>
      </c>
      <c r="R150" s="5" t="s">
        <v>111</v>
      </c>
      <c r="S150" s="9">
        <v>4214</v>
      </c>
      <c r="T150" s="9">
        <v>85.6</v>
      </c>
      <c r="U150" s="9">
        <v>0</v>
      </c>
      <c r="V150" s="9">
        <f t="shared" si="0"/>
        <v>0</v>
      </c>
      <c r="W150" s="2" t="s">
        <v>97</v>
      </c>
      <c r="X150" s="2">
        <v>2016</v>
      </c>
      <c r="Y150" s="5" t="s">
        <v>7670</v>
      </c>
    </row>
    <row r="151" spans="1:25" s="28" customFormat="1" ht="89.25" customHeight="1" outlineLevel="1" x14ac:dyDescent="0.25">
      <c r="B151" s="2" t="s">
        <v>7584</v>
      </c>
      <c r="C151" s="5" t="s">
        <v>83</v>
      </c>
      <c r="D151" s="5" t="s">
        <v>364</v>
      </c>
      <c r="E151" s="5" t="s">
        <v>365</v>
      </c>
      <c r="F151" s="5" t="s">
        <v>366</v>
      </c>
      <c r="G151" s="5" t="s">
        <v>367</v>
      </c>
      <c r="H151" s="5" t="s">
        <v>88</v>
      </c>
      <c r="I151" s="27">
        <v>0</v>
      </c>
      <c r="J151" s="5">
        <v>710000000</v>
      </c>
      <c r="K151" s="5" t="s">
        <v>89</v>
      </c>
      <c r="L151" s="5" t="s">
        <v>7470</v>
      </c>
      <c r="M151" s="5" t="s">
        <v>91</v>
      </c>
      <c r="N151" s="7" t="s">
        <v>92</v>
      </c>
      <c r="O151" s="7" t="s">
        <v>93</v>
      </c>
      <c r="P151" s="7" t="s">
        <v>673</v>
      </c>
      <c r="Q151" s="15">
        <v>166</v>
      </c>
      <c r="R151" s="5" t="s">
        <v>111</v>
      </c>
      <c r="S151" s="9">
        <v>4214</v>
      </c>
      <c r="T151" s="9">
        <v>85.6</v>
      </c>
      <c r="U151" s="9">
        <f t="shared" ref="U151" si="118">T151*S151</f>
        <v>360718.39999999997</v>
      </c>
      <c r="V151" s="9">
        <f t="shared" ref="V151" si="119">U151*1.12</f>
        <v>404004.60800000001</v>
      </c>
      <c r="W151" s="2"/>
      <c r="X151" s="2">
        <v>2016</v>
      </c>
      <c r="Y151" s="5"/>
    </row>
    <row r="152" spans="1:25" s="28" customFormat="1" ht="89.25" customHeight="1" outlineLevel="1" x14ac:dyDescent="0.2">
      <c r="A152" s="26"/>
      <c r="B152" s="2" t="s">
        <v>368</v>
      </c>
      <c r="C152" s="5" t="s">
        <v>83</v>
      </c>
      <c r="D152" s="5" t="s">
        <v>369</v>
      </c>
      <c r="E152" s="5" t="s">
        <v>370</v>
      </c>
      <c r="F152" s="5" t="s">
        <v>371</v>
      </c>
      <c r="G152" s="5"/>
      <c r="H152" s="5" t="s">
        <v>88</v>
      </c>
      <c r="I152" s="27">
        <v>0.5</v>
      </c>
      <c r="J152" s="5">
        <v>710000000</v>
      </c>
      <c r="K152" s="5" t="s">
        <v>89</v>
      </c>
      <c r="L152" s="5" t="s">
        <v>90</v>
      </c>
      <c r="M152" s="5" t="s">
        <v>91</v>
      </c>
      <c r="N152" s="7" t="s">
        <v>92</v>
      </c>
      <c r="O152" s="7" t="s">
        <v>93</v>
      </c>
      <c r="P152" s="7" t="s">
        <v>94</v>
      </c>
      <c r="Q152" s="15">
        <v>166</v>
      </c>
      <c r="R152" s="5" t="s">
        <v>111</v>
      </c>
      <c r="S152" s="9">
        <v>11809</v>
      </c>
      <c r="T152" s="9">
        <v>96.3</v>
      </c>
      <c r="U152" s="9">
        <v>0</v>
      </c>
      <c r="V152" s="9">
        <f t="shared" si="0"/>
        <v>0</v>
      </c>
      <c r="W152" s="2" t="s">
        <v>97</v>
      </c>
      <c r="X152" s="2">
        <v>2016</v>
      </c>
      <c r="Y152" s="5" t="s">
        <v>7670</v>
      </c>
    </row>
    <row r="153" spans="1:25" s="28" customFormat="1" ht="89.25" customHeight="1" outlineLevel="1" x14ac:dyDescent="0.25">
      <c r="B153" s="2" t="s">
        <v>7585</v>
      </c>
      <c r="C153" s="5" t="s">
        <v>83</v>
      </c>
      <c r="D153" s="5" t="s">
        <v>369</v>
      </c>
      <c r="E153" s="5" t="s">
        <v>370</v>
      </c>
      <c r="F153" s="5" t="s">
        <v>371</v>
      </c>
      <c r="G153" s="5"/>
      <c r="H153" s="5" t="s">
        <v>88</v>
      </c>
      <c r="I153" s="27">
        <v>0</v>
      </c>
      <c r="J153" s="5">
        <v>710000000</v>
      </c>
      <c r="K153" s="5" t="s">
        <v>89</v>
      </c>
      <c r="L153" s="5" t="s">
        <v>7470</v>
      </c>
      <c r="M153" s="5" t="s">
        <v>91</v>
      </c>
      <c r="N153" s="7" t="s">
        <v>92</v>
      </c>
      <c r="O153" s="7" t="s">
        <v>93</v>
      </c>
      <c r="P153" s="7" t="s">
        <v>673</v>
      </c>
      <c r="Q153" s="15">
        <v>166</v>
      </c>
      <c r="R153" s="5" t="s">
        <v>111</v>
      </c>
      <c r="S153" s="9">
        <v>11809</v>
      </c>
      <c r="T153" s="9">
        <v>96.3</v>
      </c>
      <c r="U153" s="9">
        <f t="shared" ref="U153" si="120">T153*S153</f>
        <v>1137206.7</v>
      </c>
      <c r="V153" s="9">
        <f t="shared" ref="V153" si="121">U153*1.12</f>
        <v>1273671.504</v>
      </c>
      <c r="W153" s="2"/>
      <c r="X153" s="2">
        <v>2016</v>
      </c>
      <c r="Y153" s="5"/>
    </row>
    <row r="154" spans="1:25" s="28" customFormat="1" ht="89.25" customHeight="1" outlineLevel="1" x14ac:dyDescent="0.2">
      <c r="A154" s="26"/>
      <c r="B154" s="2" t="s">
        <v>372</v>
      </c>
      <c r="C154" s="5" t="s">
        <v>83</v>
      </c>
      <c r="D154" s="5" t="s">
        <v>373</v>
      </c>
      <c r="E154" s="5" t="s">
        <v>374</v>
      </c>
      <c r="F154" s="5" t="s">
        <v>375</v>
      </c>
      <c r="G154" s="5" t="s">
        <v>376</v>
      </c>
      <c r="H154" s="5" t="s">
        <v>88</v>
      </c>
      <c r="I154" s="27">
        <v>0.5</v>
      </c>
      <c r="J154" s="5">
        <v>710000000</v>
      </c>
      <c r="K154" s="5" t="s">
        <v>89</v>
      </c>
      <c r="L154" s="5" t="s">
        <v>90</v>
      </c>
      <c r="M154" s="5" t="s">
        <v>91</v>
      </c>
      <c r="N154" s="7" t="s">
        <v>92</v>
      </c>
      <c r="O154" s="7" t="s">
        <v>93</v>
      </c>
      <c r="P154" s="7" t="s">
        <v>94</v>
      </c>
      <c r="Q154" s="15">
        <v>166</v>
      </c>
      <c r="R154" s="5" t="s">
        <v>111</v>
      </c>
      <c r="S154" s="9">
        <v>5901</v>
      </c>
      <c r="T154" s="9">
        <v>96.31</v>
      </c>
      <c r="U154" s="9">
        <v>0</v>
      </c>
      <c r="V154" s="9">
        <f t="shared" si="0"/>
        <v>0</v>
      </c>
      <c r="W154" s="2" t="s">
        <v>97</v>
      </c>
      <c r="X154" s="2">
        <v>2016</v>
      </c>
      <c r="Y154" s="5" t="s">
        <v>7670</v>
      </c>
    </row>
    <row r="155" spans="1:25" s="28" customFormat="1" ht="89.25" customHeight="1" outlineLevel="1" x14ac:dyDescent="0.25">
      <c r="B155" s="2" t="s">
        <v>7586</v>
      </c>
      <c r="C155" s="5" t="s">
        <v>83</v>
      </c>
      <c r="D155" s="5" t="s">
        <v>373</v>
      </c>
      <c r="E155" s="5" t="s">
        <v>374</v>
      </c>
      <c r="F155" s="5" t="s">
        <v>375</v>
      </c>
      <c r="G155" s="5" t="s">
        <v>376</v>
      </c>
      <c r="H155" s="5" t="s">
        <v>88</v>
      </c>
      <c r="I155" s="27">
        <v>0</v>
      </c>
      <c r="J155" s="5">
        <v>710000000</v>
      </c>
      <c r="K155" s="5" t="s">
        <v>89</v>
      </c>
      <c r="L155" s="5" t="s">
        <v>7470</v>
      </c>
      <c r="M155" s="5" t="s">
        <v>91</v>
      </c>
      <c r="N155" s="7" t="s">
        <v>92</v>
      </c>
      <c r="O155" s="7" t="s">
        <v>93</v>
      </c>
      <c r="P155" s="7" t="s">
        <v>673</v>
      </c>
      <c r="Q155" s="15">
        <v>166</v>
      </c>
      <c r="R155" s="5" t="s">
        <v>111</v>
      </c>
      <c r="S155" s="9">
        <v>5901</v>
      </c>
      <c r="T155" s="9">
        <v>96.31</v>
      </c>
      <c r="U155" s="9">
        <f t="shared" ref="U155" si="122">T155*S155</f>
        <v>568325.31000000006</v>
      </c>
      <c r="V155" s="9">
        <f t="shared" ref="V155" si="123">U155*1.12</f>
        <v>636524.34720000008</v>
      </c>
      <c r="W155" s="2"/>
      <c r="X155" s="2">
        <v>2016</v>
      </c>
      <c r="Y155" s="5"/>
    </row>
    <row r="156" spans="1:25" s="28" customFormat="1" ht="89.25" customHeight="1" outlineLevel="1" x14ac:dyDescent="0.2">
      <c r="A156" s="26"/>
      <c r="B156" s="2" t="s">
        <v>377</v>
      </c>
      <c r="C156" s="5" t="s">
        <v>83</v>
      </c>
      <c r="D156" s="5" t="s">
        <v>378</v>
      </c>
      <c r="E156" s="5" t="s">
        <v>379</v>
      </c>
      <c r="F156" s="5" t="s">
        <v>380</v>
      </c>
      <c r="G156" s="5" t="s">
        <v>381</v>
      </c>
      <c r="H156" s="5" t="s">
        <v>88</v>
      </c>
      <c r="I156" s="27">
        <v>0.5</v>
      </c>
      <c r="J156" s="5">
        <v>710000000</v>
      </c>
      <c r="K156" s="5" t="s">
        <v>89</v>
      </c>
      <c r="L156" s="5" t="s">
        <v>90</v>
      </c>
      <c r="M156" s="5" t="s">
        <v>91</v>
      </c>
      <c r="N156" s="7" t="s">
        <v>92</v>
      </c>
      <c r="O156" s="7" t="s">
        <v>93</v>
      </c>
      <c r="P156" s="7" t="s">
        <v>94</v>
      </c>
      <c r="Q156" s="15">
        <v>166</v>
      </c>
      <c r="R156" s="5" t="s">
        <v>111</v>
      </c>
      <c r="S156" s="9">
        <v>6347</v>
      </c>
      <c r="T156" s="9">
        <v>128.4</v>
      </c>
      <c r="U156" s="9">
        <v>0</v>
      </c>
      <c r="V156" s="9">
        <f t="shared" si="0"/>
        <v>0</v>
      </c>
      <c r="W156" s="2" t="s">
        <v>97</v>
      </c>
      <c r="X156" s="2">
        <v>2016</v>
      </c>
      <c r="Y156" s="5" t="s">
        <v>7670</v>
      </c>
    </row>
    <row r="157" spans="1:25" s="28" customFormat="1" ht="89.25" customHeight="1" outlineLevel="1" x14ac:dyDescent="0.25">
      <c r="B157" s="2" t="s">
        <v>7587</v>
      </c>
      <c r="C157" s="5" t="s">
        <v>83</v>
      </c>
      <c r="D157" s="5" t="s">
        <v>378</v>
      </c>
      <c r="E157" s="5" t="s">
        <v>379</v>
      </c>
      <c r="F157" s="5" t="s">
        <v>380</v>
      </c>
      <c r="G157" s="5" t="s">
        <v>381</v>
      </c>
      <c r="H157" s="5" t="s">
        <v>88</v>
      </c>
      <c r="I157" s="27">
        <v>0</v>
      </c>
      <c r="J157" s="5">
        <v>710000000</v>
      </c>
      <c r="K157" s="5" t="s">
        <v>89</v>
      </c>
      <c r="L157" s="5" t="s">
        <v>7470</v>
      </c>
      <c r="M157" s="5" t="s">
        <v>91</v>
      </c>
      <c r="N157" s="7" t="s">
        <v>92</v>
      </c>
      <c r="O157" s="7" t="s">
        <v>93</v>
      </c>
      <c r="P157" s="7" t="s">
        <v>673</v>
      </c>
      <c r="Q157" s="15">
        <v>166</v>
      </c>
      <c r="R157" s="5" t="s">
        <v>111</v>
      </c>
      <c r="S157" s="9">
        <v>6347</v>
      </c>
      <c r="T157" s="9">
        <v>128.4</v>
      </c>
      <c r="U157" s="9">
        <f t="shared" ref="U157" si="124">T157*S157</f>
        <v>814954.8</v>
      </c>
      <c r="V157" s="9">
        <f t="shared" ref="V157" si="125">U157*1.12</f>
        <v>912749.37600000016</v>
      </c>
      <c r="W157" s="2"/>
      <c r="X157" s="2">
        <v>2016</v>
      </c>
      <c r="Y157" s="5"/>
    </row>
    <row r="158" spans="1:25" s="28" customFormat="1" ht="89.25" customHeight="1" outlineLevel="1" x14ac:dyDescent="0.2">
      <c r="A158" s="26"/>
      <c r="B158" s="2" t="s">
        <v>382</v>
      </c>
      <c r="C158" s="5" t="s">
        <v>83</v>
      </c>
      <c r="D158" s="5" t="s">
        <v>383</v>
      </c>
      <c r="E158" s="5" t="s">
        <v>384</v>
      </c>
      <c r="F158" s="5" t="s">
        <v>385</v>
      </c>
      <c r="G158" s="5" t="s">
        <v>386</v>
      </c>
      <c r="H158" s="5" t="s">
        <v>88</v>
      </c>
      <c r="I158" s="27">
        <v>0.5</v>
      </c>
      <c r="J158" s="5">
        <v>710000000</v>
      </c>
      <c r="K158" s="5" t="s">
        <v>89</v>
      </c>
      <c r="L158" s="5" t="s">
        <v>90</v>
      </c>
      <c r="M158" s="5" t="s">
        <v>91</v>
      </c>
      <c r="N158" s="7" t="s">
        <v>92</v>
      </c>
      <c r="O158" s="7" t="s">
        <v>93</v>
      </c>
      <c r="P158" s="7" t="s">
        <v>94</v>
      </c>
      <c r="Q158" s="15">
        <v>166</v>
      </c>
      <c r="R158" s="5" t="s">
        <v>111</v>
      </c>
      <c r="S158" s="9">
        <v>3143</v>
      </c>
      <c r="T158" s="9">
        <v>320.98</v>
      </c>
      <c r="U158" s="9">
        <v>0</v>
      </c>
      <c r="V158" s="9">
        <f t="shared" si="0"/>
        <v>0</v>
      </c>
      <c r="W158" s="2" t="s">
        <v>97</v>
      </c>
      <c r="X158" s="2">
        <v>2016</v>
      </c>
      <c r="Y158" s="5" t="s">
        <v>7670</v>
      </c>
    </row>
    <row r="159" spans="1:25" s="28" customFormat="1" ht="89.25" customHeight="1" outlineLevel="1" x14ac:dyDescent="0.25">
      <c r="B159" s="2" t="s">
        <v>7588</v>
      </c>
      <c r="C159" s="5" t="s">
        <v>83</v>
      </c>
      <c r="D159" s="5" t="s">
        <v>383</v>
      </c>
      <c r="E159" s="5" t="s">
        <v>384</v>
      </c>
      <c r="F159" s="5" t="s">
        <v>385</v>
      </c>
      <c r="G159" s="5" t="s">
        <v>386</v>
      </c>
      <c r="H159" s="5" t="s">
        <v>88</v>
      </c>
      <c r="I159" s="27">
        <v>0</v>
      </c>
      <c r="J159" s="5">
        <v>710000000</v>
      </c>
      <c r="K159" s="5" t="s">
        <v>89</v>
      </c>
      <c r="L159" s="5" t="s">
        <v>7470</v>
      </c>
      <c r="M159" s="5" t="s">
        <v>91</v>
      </c>
      <c r="N159" s="7" t="s">
        <v>92</v>
      </c>
      <c r="O159" s="7" t="s">
        <v>93</v>
      </c>
      <c r="P159" s="7" t="s">
        <v>673</v>
      </c>
      <c r="Q159" s="15">
        <v>166</v>
      </c>
      <c r="R159" s="5" t="s">
        <v>111</v>
      </c>
      <c r="S159" s="9">
        <v>3143</v>
      </c>
      <c r="T159" s="9">
        <v>320.98</v>
      </c>
      <c r="U159" s="9">
        <f t="shared" ref="U159" si="126">T159*S159</f>
        <v>1008840.14</v>
      </c>
      <c r="V159" s="9">
        <f t="shared" ref="V159" si="127">U159*1.12</f>
        <v>1129900.9568</v>
      </c>
      <c r="W159" s="2"/>
      <c r="X159" s="2">
        <v>2016</v>
      </c>
      <c r="Y159" s="5"/>
    </row>
    <row r="160" spans="1:25" s="28" customFormat="1" ht="89.25" customHeight="1" outlineLevel="1" x14ac:dyDescent="0.2">
      <c r="A160" s="26"/>
      <c r="B160" s="2" t="s">
        <v>387</v>
      </c>
      <c r="C160" s="5" t="s">
        <v>83</v>
      </c>
      <c r="D160" s="5" t="s">
        <v>388</v>
      </c>
      <c r="E160" s="5" t="s">
        <v>389</v>
      </c>
      <c r="F160" s="5" t="s">
        <v>390</v>
      </c>
      <c r="G160" s="5" t="s">
        <v>391</v>
      </c>
      <c r="H160" s="5" t="s">
        <v>88</v>
      </c>
      <c r="I160" s="27">
        <v>0.5</v>
      </c>
      <c r="J160" s="5">
        <v>710000000</v>
      </c>
      <c r="K160" s="5" t="s">
        <v>89</v>
      </c>
      <c r="L160" s="5" t="s">
        <v>90</v>
      </c>
      <c r="M160" s="5" t="s">
        <v>91</v>
      </c>
      <c r="N160" s="7" t="s">
        <v>92</v>
      </c>
      <c r="O160" s="7" t="s">
        <v>93</v>
      </c>
      <c r="P160" s="7" t="s">
        <v>94</v>
      </c>
      <c r="Q160" s="15">
        <v>166</v>
      </c>
      <c r="R160" s="5" t="s">
        <v>111</v>
      </c>
      <c r="S160" s="9">
        <v>1726</v>
      </c>
      <c r="T160" s="9">
        <v>342.34</v>
      </c>
      <c r="U160" s="9">
        <v>0</v>
      </c>
      <c r="V160" s="9">
        <f t="shared" si="0"/>
        <v>0</v>
      </c>
      <c r="W160" s="2" t="s">
        <v>97</v>
      </c>
      <c r="X160" s="2">
        <v>2016</v>
      </c>
      <c r="Y160" s="5" t="s">
        <v>7670</v>
      </c>
    </row>
    <row r="161" spans="1:25" s="28" customFormat="1" ht="89.25" customHeight="1" outlineLevel="1" x14ac:dyDescent="0.25">
      <c r="B161" s="2" t="s">
        <v>7589</v>
      </c>
      <c r="C161" s="5" t="s">
        <v>83</v>
      </c>
      <c r="D161" s="5" t="s">
        <v>388</v>
      </c>
      <c r="E161" s="5" t="s">
        <v>389</v>
      </c>
      <c r="F161" s="5" t="s">
        <v>390</v>
      </c>
      <c r="G161" s="5" t="s">
        <v>391</v>
      </c>
      <c r="H161" s="5" t="s">
        <v>88</v>
      </c>
      <c r="I161" s="27">
        <v>0</v>
      </c>
      <c r="J161" s="5">
        <v>710000000</v>
      </c>
      <c r="K161" s="5" t="s">
        <v>89</v>
      </c>
      <c r="L161" s="5" t="s">
        <v>7470</v>
      </c>
      <c r="M161" s="5" t="s">
        <v>91</v>
      </c>
      <c r="N161" s="7" t="s">
        <v>92</v>
      </c>
      <c r="O161" s="7" t="s">
        <v>93</v>
      </c>
      <c r="P161" s="7" t="s">
        <v>673</v>
      </c>
      <c r="Q161" s="15">
        <v>166</v>
      </c>
      <c r="R161" s="5" t="s">
        <v>111</v>
      </c>
      <c r="S161" s="9">
        <v>1726</v>
      </c>
      <c r="T161" s="9">
        <v>342.34</v>
      </c>
      <c r="U161" s="9">
        <f t="shared" ref="U161" si="128">T161*S161</f>
        <v>590878.84</v>
      </c>
      <c r="V161" s="9">
        <f t="shared" ref="V161" si="129">U161*1.12</f>
        <v>661784.30080000008</v>
      </c>
      <c r="W161" s="2"/>
      <c r="X161" s="2">
        <v>2016</v>
      </c>
      <c r="Y161" s="5"/>
    </row>
    <row r="162" spans="1:25" s="28" customFormat="1" ht="89.25" customHeight="1" outlineLevel="1" x14ac:dyDescent="0.2">
      <c r="A162" s="26"/>
      <c r="B162" s="2" t="s">
        <v>392</v>
      </c>
      <c r="C162" s="5" t="s">
        <v>83</v>
      </c>
      <c r="D162" s="5" t="s">
        <v>393</v>
      </c>
      <c r="E162" s="5" t="s">
        <v>394</v>
      </c>
      <c r="F162" s="5" t="s">
        <v>395</v>
      </c>
      <c r="G162" s="5" t="s">
        <v>396</v>
      </c>
      <c r="H162" s="5" t="s">
        <v>88</v>
      </c>
      <c r="I162" s="27">
        <v>0.5</v>
      </c>
      <c r="J162" s="5">
        <v>710000000</v>
      </c>
      <c r="K162" s="5" t="s">
        <v>89</v>
      </c>
      <c r="L162" s="5" t="s">
        <v>90</v>
      </c>
      <c r="M162" s="5" t="s">
        <v>91</v>
      </c>
      <c r="N162" s="7" t="s">
        <v>92</v>
      </c>
      <c r="O162" s="7" t="s">
        <v>93</v>
      </c>
      <c r="P162" s="7" t="s">
        <v>94</v>
      </c>
      <c r="Q162" s="15">
        <v>166</v>
      </c>
      <c r="R162" s="5" t="s">
        <v>111</v>
      </c>
      <c r="S162" s="9">
        <v>2619</v>
      </c>
      <c r="T162" s="9">
        <v>374.51</v>
      </c>
      <c r="U162" s="9">
        <v>0</v>
      </c>
      <c r="V162" s="9">
        <f t="shared" ref="V162:V218" si="130">U162*1.12</f>
        <v>0</v>
      </c>
      <c r="W162" s="2" t="s">
        <v>97</v>
      </c>
      <c r="X162" s="2">
        <v>2016</v>
      </c>
      <c r="Y162" s="5" t="s">
        <v>7670</v>
      </c>
    </row>
    <row r="163" spans="1:25" s="28" customFormat="1" ht="89.25" customHeight="1" outlineLevel="1" x14ac:dyDescent="0.25">
      <c r="B163" s="2" t="s">
        <v>7590</v>
      </c>
      <c r="C163" s="5" t="s">
        <v>83</v>
      </c>
      <c r="D163" s="5" t="s">
        <v>393</v>
      </c>
      <c r="E163" s="5" t="s">
        <v>394</v>
      </c>
      <c r="F163" s="5" t="s">
        <v>395</v>
      </c>
      <c r="G163" s="5" t="s">
        <v>396</v>
      </c>
      <c r="H163" s="5" t="s">
        <v>88</v>
      </c>
      <c r="I163" s="27">
        <v>0</v>
      </c>
      <c r="J163" s="5">
        <v>710000000</v>
      </c>
      <c r="K163" s="5" t="s">
        <v>89</v>
      </c>
      <c r="L163" s="5" t="s">
        <v>7470</v>
      </c>
      <c r="M163" s="5" t="s">
        <v>91</v>
      </c>
      <c r="N163" s="7" t="s">
        <v>92</v>
      </c>
      <c r="O163" s="7" t="s">
        <v>93</v>
      </c>
      <c r="P163" s="7" t="s">
        <v>673</v>
      </c>
      <c r="Q163" s="15">
        <v>166</v>
      </c>
      <c r="R163" s="5" t="s">
        <v>111</v>
      </c>
      <c r="S163" s="9">
        <v>2619</v>
      </c>
      <c r="T163" s="9">
        <v>374.51</v>
      </c>
      <c r="U163" s="9">
        <f t="shared" ref="U163" si="131">T163*S163</f>
        <v>980841.69</v>
      </c>
      <c r="V163" s="9">
        <f t="shared" ref="V163" si="132">U163*1.12</f>
        <v>1098542.6928000001</v>
      </c>
      <c r="W163" s="2"/>
      <c r="X163" s="2">
        <v>2016</v>
      </c>
      <c r="Y163" s="5"/>
    </row>
    <row r="164" spans="1:25" s="28" customFormat="1" ht="89.25" customHeight="1" outlineLevel="1" x14ac:dyDescent="0.2">
      <c r="A164" s="26"/>
      <c r="B164" s="2" t="s">
        <v>397</v>
      </c>
      <c r="C164" s="5" t="s">
        <v>83</v>
      </c>
      <c r="D164" s="5" t="s">
        <v>398</v>
      </c>
      <c r="E164" s="5" t="s">
        <v>399</v>
      </c>
      <c r="F164" s="5" t="s">
        <v>312</v>
      </c>
      <c r="G164" s="5" t="s">
        <v>400</v>
      </c>
      <c r="H164" s="5" t="s">
        <v>88</v>
      </c>
      <c r="I164" s="27">
        <v>0.5</v>
      </c>
      <c r="J164" s="5">
        <v>710000000</v>
      </c>
      <c r="K164" s="5" t="s">
        <v>89</v>
      </c>
      <c r="L164" s="5" t="s">
        <v>90</v>
      </c>
      <c r="M164" s="5" t="s">
        <v>91</v>
      </c>
      <c r="N164" s="7" t="s">
        <v>92</v>
      </c>
      <c r="O164" s="7" t="s">
        <v>93</v>
      </c>
      <c r="P164" s="7" t="s">
        <v>94</v>
      </c>
      <c r="Q164" s="15">
        <v>166</v>
      </c>
      <c r="R164" s="5" t="s">
        <v>111</v>
      </c>
      <c r="S164" s="9">
        <v>205</v>
      </c>
      <c r="T164" s="9">
        <v>214.21</v>
      </c>
      <c r="U164" s="9">
        <v>0</v>
      </c>
      <c r="V164" s="9">
        <f t="shared" si="130"/>
        <v>0</v>
      </c>
      <c r="W164" s="2" t="s">
        <v>97</v>
      </c>
      <c r="X164" s="2">
        <v>2016</v>
      </c>
      <c r="Y164" s="5" t="s">
        <v>7670</v>
      </c>
    </row>
    <row r="165" spans="1:25" s="28" customFormat="1" ht="89.25" customHeight="1" outlineLevel="1" x14ac:dyDescent="0.25">
      <c r="B165" s="2" t="s">
        <v>7591</v>
      </c>
      <c r="C165" s="5" t="s">
        <v>83</v>
      </c>
      <c r="D165" s="5" t="s">
        <v>398</v>
      </c>
      <c r="E165" s="5" t="s">
        <v>399</v>
      </c>
      <c r="F165" s="5" t="s">
        <v>312</v>
      </c>
      <c r="G165" s="5" t="s">
        <v>400</v>
      </c>
      <c r="H165" s="5" t="s">
        <v>88</v>
      </c>
      <c r="I165" s="27">
        <v>0</v>
      </c>
      <c r="J165" s="5">
        <v>710000000</v>
      </c>
      <c r="K165" s="5" t="s">
        <v>89</v>
      </c>
      <c r="L165" s="5" t="s">
        <v>7470</v>
      </c>
      <c r="M165" s="5" t="s">
        <v>91</v>
      </c>
      <c r="N165" s="7" t="s">
        <v>92</v>
      </c>
      <c r="O165" s="7" t="s">
        <v>93</v>
      </c>
      <c r="P165" s="7" t="s">
        <v>673</v>
      </c>
      <c r="Q165" s="15">
        <v>166</v>
      </c>
      <c r="R165" s="5" t="s">
        <v>111</v>
      </c>
      <c r="S165" s="9">
        <v>205</v>
      </c>
      <c r="T165" s="9">
        <v>214.21</v>
      </c>
      <c r="U165" s="9">
        <f t="shared" ref="U165" si="133">T165*S165</f>
        <v>43913.05</v>
      </c>
      <c r="V165" s="9">
        <f t="shared" ref="V165" si="134">U165*1.12</f>
        <v>49182.616000000009</v>
      </c>
      <c r="W165" s="2"/>
      <c r="X165" s="2">
        <v>2016</v>
      </c>
      <c r="Y165" s="5"/>
    </row>
    <row r="166" spans="1:25" s="28" customFormat="1" ht="89.25" customHeight="1" outlineLevel="1" x14ac:dyDescent="0.2">
      <c r="A166" s="26"/>
      <c r="B166" s="2" t="s">
        <v>401</v>
      </c>
      <c r="C166" s="5" t="s">
        <v>83</v>
      </c>
      <c r="D166" s="5" t="s">
        <v>402</v>
      </c>
      <c r="E166" s="5" t="s">
        <v>403</v>
      </c>
      <c r="F166" s="5" t="s">
        <v>404</v>
      </c>
      <c r="G166" s="5" t="s">
        <v>405</v>
      </c>
      <c r="H166" s="5" t="s">
        <v>88</v>
      </c>
      <c r="I166" s="27">
        <v>0.5</v>
      </c>
      <c r="J166" s="5">
        <v>710000000</v>
      </c>
      <c r="K166" s="5" t="s">
        <v>89</v>
      </c>
      <c r="L166" s="5" t="s">
        <v>90</v>
      </c>
      <c r="M166" s="5" t="s">
        <v>91</v>
      </c>
      <c r="N166" s="7" t="s">
        <v>92</v>
      </c>
      <c r="O166" s="7" t="s">
        <v>93</v>
      </c>
      <c r="P166" s="7" t="s">
        <v>94</v>
      </c>
      <c r="Q166" s="15">
        <v>166</v>
      </c>
      <c r="R166" s="5" t="s">
        <v>111</v>
      </c>
      <c r="S166" s="9">
        <v>976</v>
      </c>
      <c r="T166" s="9">
        <v>139.1</v>
      </c>
      <c r="U166" s="9">
        <v>0</v>
      </c>
      <c r="V166" s="9">
        <f t="shared" si="130"/>
        <v>0</v>
      </c>
      <c r="W166" s="2" t="s">
        <v>97</v>
      </c>
      <c r="X166" s="2">
        <v>2016</v>
      </c>
      <c r="Y166" s="5" t="s">
        <v>7670</v>
      </c>
    </row>
    <row r="167" spans="1:25" s="28" customFormat="1" ht="89.25" customHeight="1" outlineLevel="1" x14ac:dyDescent="0.25">
      <c r="B167" s="2" t="s">
        <v>7592</v>
      </c>
      <c r="C167" s="5" t="s">
        <v>83</v>
      </c>
      <c r="D167" s="5" t="s">
        <v>402</v>
      </c>
      <c r="E167" s="5" t="s">
        <v>403</v>
      </c>
      <c r="F167" s="5" t="s">
        <v>404</v>
      </c>
      <c r="G167" s="5" t="s">
        <v>405</v>
      </c>
      <c r="H167" s="5" t="s">
        <v>88</v>
      </c>
      <c r="I167" s="27">
        <v>0</v>
      </c>
      <c r="J167" s="5">
        <v>710000000</v>
      </c>
      <c r="K167" s="5" t="s">
        <v>89</v>
      </c>
      <c r="L167" s="5" t="s">
        <v>7470</v>
      </c>
      <c r="M167" s="5" t="s">
        <v>91</v>
      </c>
      <c r="N167" s="7" t="s">
        <v>92</v>
      </c>
      <c r="O167" s="7" t="s">
        <v>93</v>
      </c>
      <c r="P167" s="7" t="s">
        <v>673</v>
      </c>
      <c r="Q167" s="15">
        <v>166</v>
      </c>
      <c r="R167" s="5" t="s">
        <v>111</v>
      </c>
      <c r="S167" s="9">
        <v>976</v>
      </c>
      <c r="T167" s="9">
        <v>139.1</v>
      </c>
      <c r="U167" s="9">
        <f t="shared" ref="U167" si="135">T167*S167</f>
        <v>135761.60000000001</v>
      </c>
      <c r="V167" s="9">
        <f t="shared" ref="V167" si="136">U167*1.12</f>
        <v>152052.99200000003</v>
      </c>
      <c r="W167" s="2"/>
      <c r="X167" s="2">
        <v>2016</v>
      </c>
      <c r="Y167" s="5"/>
    </row>
    <row r="168" spans="1:25" s="28" customFormat="1" ht="89.25" customHeight="1" outlineLevel="1" x14ac:dyDescent="0.2">
      <c r="A168" s="26"/>
      <c r="B168" s="2" t="s">
        <v>406</v>
      </c>
      <c r="C168" s="5" t="s">
        <v>83</v>
      </c>
      <c r="D168" s="5" t="s">
        <v>407</v>
      </c>
      <c r="E168" s="5" t="s">
        <v>408</v>
      </c>
      <c r="F168" s="5" t="s">
        <v>409</v>
      </c>
      <c r="G168" s="5" t="s">
        <v>410</v>
      </c>
      <c r="H168" s="5" t="s">
        <v>88</v>
      </c>
      <c r="I168" s="27">
        <v>0.5</v>
      </c>
      <c r="J168" s="5">
        <v>710000000</v>
      </c>
      <c r="K168" s="5" t="s">
        <v>89</v>
      </c>
      <c r="L168" s="5" t="s">
        <v>90</v>
      </c>
      <c r="M168" s="5" t="s">
        <v>91</v>
      </c>
      <c r="N168" s="7" t="s">
        <v>92</v>
      </c>
      <c r="O168" s="7" t="s">
        <v>93</v>
      </c>
      <c r="P168" s="7" t="s">
        <v>94</v>
      </c>
      <c r="Q168" s="15">
        <v>166</v>
      </c>
      <c r="R168" s="5" t="s">
        <v>111</v>
      </c>
      <c r="S168" s="9">
        <v>100</v>
      </c>
      <c r="T168" s="9">
        <v>268.36</v>
      </c>
      <c r="U168" s="9">
        <v>0</v>
      </c>
      <c r="V168" s="9">
        <f t="shared" si="130"/>
        <v>0</v>
      </c>
      <c r="W168" s="2" t="s">
        <v>97</v>
      </c>
      <c r="X168" s="2">
        <v>2016</v>
      </c>
      <c r="Y168" s="5" t="s">
        <v>7670</v>
      </c>
    </row>
    <row r="169" spans="1:25" s="28" customFormat="1" ht="89.25" customHeight="1" outlineLevel="1" x14ac:dyDescent="0.25">
      <c r="B169" s="2" t="s">
        <v>7593</v>
      </c>
      <c r="C169" s="5" t="s">
        <v>83</v>
      </c>
      <c r="D169" s="5" t="s">
        <v>407</v>
      </c>
      <c r="E169" s="5" t="s">
        <v>408</v>
      </c>
      <c r="F169" s="5" t="s">
        <v>409</v>
      </c>
      <c r="G169" s="5" t="s">
        <v>410</v>
      </c>
      <c r="H169" s="5" t="s">
        <v>88</v>
      </c>
      <c r="I169" s="27">
        <v>0</v>
      </c>
      <c r="J169" s="5">
        <v>710000000</v>
      </c>
      <c r="K169" s="5" t="s">
        <v>89</v>
      </c>
      <c r="L169" s="5" t="s">
        <v>7470</v>
      </c>
      <c r="M169" s="5" t="s">
        <v>91</v>
      </c>
      <c r="N169" s="7" t="s">
        <v>92</v>
      </c>
      <c r="O169" s="7" t="s">
        <v>93</v>
      </c>
      <c r="P169" s="7" t="s">
        <v>673</v>
      </c>
      <c r="Q169" s="15">
        <v>166</v>
      </c>
      <c r="R169" s="5" t="s">
        <v>111</v>
      </c>
      <c r="S169" s="9">
        <v>100</v>
      </c>
      <c r="T169" s="9">
        <v>268.36</v>
      </c>
      <c r="U169" s="9">
        <f t="shared" ref="U169" si="137">T169*S169</f>
        <v>26836</v>
      </c>
      <c r="V169" s="9">
        <f t="shared" ref="V169" si="138">U169*1.12</f>
        <v>30056.320000000003</v>
      </c>
      <c r="W169" s="2"/>
      <c r="X169" s="2">
        <v>2016</v>
      </c>
      <c r="Y169" s="5"/>
    </row>
    <row r="170" spans="1:25" s="28" customFormat="1" ht="89.25" customHeight="1" outlineLevel="1" x14ac:dyDescent="0.2">
      <c r="A170" s="26"/>
      <c r="B170" s="2" t="s">
        <v>411</v>
      </c>
      <c r="C170" s="5" t="s">
        <v>83</v>
      </c>
      <c r="D170" s="5" t="s">
        <v>412</v>
      </c>
      <c r="E170" s="5" t="s">
        <v>413</v>
      </c>
      <c r="F170" s="5" t="s">
        <v>414</v>
      </c>
      <c r="G170" s="5" t="s">
        <v>415</v>
      </c>
      <c r="H170" s="5" t="s">
        <v>88</v>
      </c>
      <c r="I170" s="27">
        <v>0.5</v>
      </c>
      <c r="J170" s="5">
        <v>710000000</v>
      </c>
      <c r="K170" s="5" t="s">
        <v>89</v>
      </c>
      <c r="L170" s="5" t="s">
        <v>90</v>
      </c>
      <c r="M170" s="5" t="s">
        <v>91</v>
      </c>
      <c r="N170" s="7" t="s">
        <v>92</v>
      </c>
      <c r="O170" s="7" t="s">
        <v>93</v>
      </c>
      <c r="P170" s="7" t="s">
        <v>94</v>
      </c>
      <c r="Q170" s="15">
        <v>166</v>
      </c>
      <c r="R170" s="5" t="s">
        <v>111</v>
      </c>
      <c r="S170" s="9">
        <v>385</v>
      </c>
      <c r="T170" s="9">
        <v>428</v>
      </c>
      <c r="U170" s="9">
        <v>0</v>
      </c>
      <c r="V170" s="9">
        <f t="shared" si="130"/>
        <v>0</v>
      </c>
      <c r="W170" s="2" t="s">
        <v>97</v>
      </c>
      <c r="X170" s="2">
        <v>2016</v>
      </c>
      <c r="Y170" s="5" t="s">
        <v>7670</v>
      </c>
    </row>
    <row r="171" spans="1:25" s="28" customFormat="1" ht="89.25" customHeight="1" outlineLevel="1" x14ac:dyDescent="0.25">
      <c r="B171" s="2" t="s">
        <v>7594</v>
      </c>
      <c r="C171" s="5" t="s">
        <v>83</v>
      </c>
      <c r="D171" s="5" t="s">
        <v>412</v>
      </c>
      <c r="E171" s="5" t="s">
        <v>413</v>
      </c>
      <c r="F171" s="5" t="s">
        <v>414</v>
      </c>
      <c r="G171" s="5" t="s">
        <v>415</v>
      </c>
      <c r="H171" s="5" t="s">
        <v>88</v>
      </c>
      <c r="I171" s="27">
        <v>0</v>
      </c>
      <c r="J171" s="5">
        <v>710000000</v>
      </c>
      <c r="K171" s="5" t="s">
        <v>89</v>
      </c>
      <c r="L171" s="5" t="s">
        <v>7470</v>
      </c>
      <c r="M171" s="5" t="s">
        <v>91</v>
      </c>
      <c r="N171" s="7" t="s">
        <v>92</v>
      </c>
      <c r="O171" s="7" t="s">
        <v>93</v>
      </c>
      <c r="P171" s="7" t="s">
        <v>673</v>
      </c>
      <c r="Q171" s="15">
        <v>166</v>
      </c>
      <c r="R171" s="5" t="s">
        <v>111</v>
      </c>
      <c r="S171" s="9">
        <v>385</v>
      </c>
      <c r="T171" s="9">
        <v>428</v>
      </c>
      <c r="U171" s="9">
        <f t="shared" ref="U171" si="139">T171*S171</f>
        <v>164780</v>
      </c>
      <c r="V171" s="9">
        <f t="shared" ref="V171" si="140">U171*1.12</f>
        <v>184553.60000000001</v>
      </c>
      <c r="W171" s="2"/>
      <c r="X171" s="2">
        <v>2016</v>
      </c>
      <c r="Y171" s="5"/>
    </row>
    <row r="172" spans="1:25" s="28" customFormat="1" ht="89.25" customHeight="1" outlineLevel="1" x14ac:dyDescent="0.2">
      <c r="A172" s="26"/>
      <c r="B172" s="2" t="s">
        <v>416</v>
      </c>
      <c r="C172" s="5" t="s">
        <v>83</v>
      </c>
      <c r="D172" s="5" t="s">
        <v>417</v>
      </c>
      <c r="E172" s="5" t="s">
        <v>262</v>
      </c>
      <c r="F172" s="5" t="s">
        <v>418</v>
      </c>
      <c r="G172" s="5"/>
      <c r="H172" s="5" t="s">
        <v>88</v>
      </c>
      <c r="I172" s="27">
        <v>0.5</v>
      </c>
      <c r="J172" s="5">
        <v>710000000</v>
      </c>
      <c r="K172" s="5" t="s">
        <v>89</v>
      </c>
      <c r="L172" s="5" t="s">
        <v>90</v>
      </c>
      <c r="M172" s="5" t="s">
        <v>91</v>
      </c>
      <c r="N172" s="7" t="s">
        <v>92</v>
      </c>
      <c r="O172" s="7" t="s">
        <v>93</v>
      </c>
      <c r="P172" s="7" t="s">
        <v>94</v>
      </c>
      <c r="Q172" s="15">
        <v>166</v>
      </c>
      <c r="R172" s="5" t="s">
        <v>111</v>
      </c>
      <c r="S172" s="9">
        <v>305</v>
      </c>
      <c r="T172" s="9">
        <v>374.52</v>
      </c>
      <c r="U172" s="9">
        <v>0</v>
      </c>
      <c r="V172" s="9">
        <f>U172*1.12</f>
        <v>0</v>
      </c>
      <c r="W172" s="2" t="s">
        <v>97</v>
      </c>
      <c r="X172" s="2">
        <v>2016</v>
      </c>
      <c r="Y172" s="5" t="s">
        <v>7670</v>
      </c>
    </row>
    <row r="173" spans="1:25" s="28" customFormat="1" ht="89.25" customHeight="1" outlineLevel="1" x14ac:dyDescent="0.25">
      <c r="B173" s="2" t="s">
        <v>7595</v>
      </c>
      <c r="C173" s="5" t="s">
        <v>83</v>
      </c>
      <c r="D173" s="5" t="s">
        <v>417</v>
      </c>
      <c r="E173" s="5" t="s">
        <v>262</v>
      </c>
      <c r="F173" s="5" t="s">
        <v>418</v>
      </c>
      <c r="G173" s="5"/>
      <c r="H173" s="5" t="s">
        <v>88</v>
      </c>
      <c r="I173" s="27">
        <v>0</v>
      </c>
      <c r="J173" s="5">
        <v>710000000</v>
      </c>
      <c r="K173" s="5" t="s">
        <v>89</v>
      </c>
      <c r="L173" s="5" t="s">
        <v>7470</v>
      </c>
      <c r="M173" s="5" t="s">
        <v>91</v>
      </c>
      <c r="N173" s="7" t="s">
        <v>92</v>
      </c>
      <c r="O173" s="7" t="s">
        <v>93</v>
      </c>
      <c r="P173" s="7" t="s">
        <v>673</v>
      </c>
      <c r="Q173" s="15">
        <v>166</v>
      </c>
      <c r="R173" s="5" t="s">
        <v>111</v>
      </c>
      <c r="S173" s="9">
        <v>305</v>
      </c>
      <c r="T173" s="9">
        <v>374.52</v>
      </c>
      <c r="U173" s="9">
        <f>T173*S173</f>
        <v>114228.59999999999</v>
      </c>
      <c r="V173" s="9">
        <f>U173*1.12</f>
        <v>127936.03200000001</v>
      </c>
      <c r="W173" s="2"/>
      <c r="X173" s="2">
        <v>2016</v>
      </c>
      <c r="Y173" s="5"/>
    </row>
    <row r="174" spans="1:25" s="28" customFormat="1" ht="102" customHeight="1" outlineLevel="1" x14ac:dyDescent="0.2">
      <c r="A174" s="26"/>
      <c r="B174" s="2" t="s">
        <v>419</v>
      </c>
      <c r="C174" s="5" t="s">
        <v>83</v>
      </c>
      <c r="D174" s="5" t="s">
        <v>420</v>
      </c>
      <c r="E174" s="5" t="s">
        <v>421</v>
      </c>
      <c r="F174" s="5" t="s">
        <v>422</v>
      </c>
      <c r="G174" s="5" t="s">
        <v>423</v>
      </c>
      <c r="H174" s="5" t="s">
        <v>88</v>
      </c>
      <c r="I174" s="27">
        <v>0.5</v>
      </c>
      <c r="J174" s="5">
        <v>710000000</v>
      </c>
      <c r="K174" s="5" t="s">
        <v>89</v>
      </c>
      <c r="L174" s="5" t="s">
        <v>90</v>
      </c>
      <c r="M174" s="5" t="s">
        <v>91</v>
      </c>
      <c r="N174" s="7" t="s">
        <v>92</v>
      </c>
      <c r="O174" s="7" t="s">
        <v>93</v>
      </c>
      <c r="P174" s="7" t="s">
        <v>94</v>
      </c>
      <c r="Q174" s="15">
        <v>166</v>
      </c>
      <c r="R174" s="5" t="s">
        <v>111</v>
      </c>
      <c r="S174" s="9">
        <v>365</v>
      </c>
      <c r="T174" s="9">
        <v>588.49</v>
      </c>
      <c r="U174" s="9">
        <v>0</v>
      </c>
      <c r="V174" s="9">
        <f>U174*1.12</f>
        <v>0</v>
      </c>
      <c r="W174" s="2" t="s">
        <v>97</v>
      </c>
      <c r="X174" s="2">
        <v>2016</v>
      </c>
      <c r="Y174" s="5" t="s">
        <v>7670</v>
      </c>
    </row>
    <row r="175" spans="1:25" s="28" customFormat="1" ht="102" customHeight="1" outlineLevel="1" x14ac:dyDescent="0.25">
      <c r="B175" s="2" t="s">
        <v>7596</v>
      </c>
      <c r="C175" s="5" t="s">
        <v>83</v>
      </c>
      <c r="D175" s="5" t="s">
        <v>420</v>
      </c>
      <c r="E175" s="5" t="s">
        <v>421</v>
      </c>
      <c r="F175" s="5" t="s">
        <v>422</v>
      </c>
      <c r="G175" s="5" t="s">
        <v>423</v>
      </c>
      <c r="H175" s="5" t="s">
        <v>88</v>
      </c>
      <c r="I175" s="27">
        <v>0</v>
      </c>
      <c r="J175" s="5">
        <v>710000000</v>
      </c>
      <c r="K175" s="5" t="s">
        <v>89</v>
      </c>
      <c r="L175" s="5" t="s">
        <v>7470</v>
      </c>
      <c r="M175" s="5" t="s">
        <v>91</v>
      </c>
      <c r="N175" s="7" t="s">
        <v>92</v>
      </c>
      <c r="O175" s="7" t="s">
        <v>93</v>
      </c>
      <c r="P175" s="7" t="s">
        <v>673</v>
      </c>
      <c r="Q175" s="15">
        <v>166</v>
      </c>
      <c r="R175" s="5" t="s">
        <v>111</v>
      </c>
      <c r="S175" s="9">
        <v>365</v>
      </c>
      <c r="T175" s="9">
        <v>588.49</v>
      </c>
      <c r="U175" s="9">
        <f>T175*S175</f>
        <v>214798.85</v>
      </c>
      <c r="V175" s="9">
        <f>U175*1.12</f>
        <v>240574.71200000003</v>
      </c>
      <c r="W175" s="2"/>
      <c r="X175" s="2">
        <v>2016</v>
      </c>
      <c r="Y175" s="5"/>
    </row>
    <row r="176" spans="1:25" s="28" customFormat="1" ht="89.25" customHeight="1" outlineLevel="1" x14ac:dyDescent="0.2">
      <c r="A176" s="26"/>
      <c r="B176" s="2" t="s">
        <v>424</v>
      </c>
      <c r="C176" s="5" t="s">
        <v>83</v>
      </c>
      <c r="D176" s="5" t="s">
        <v>425</v>
      </c>
      <c r="E176" s="5" t="s">
        <v>384</v>
      </c>
      <c r="F176" s="5" t="s">
        <v>426</v>
      </c>
      <c r="G176" s="5" t="s">
        <v>427</v>
      </c>
      <c r="H176" s="5" t="s">
        <v>88</v>
      </c>
      <c r="I176" s="27">
        <v>0.5</v>
      </c>
      <c r="J176" s="5">
        <v>710000000</v>
      </c>
      <c r="K176" s="5" t="s">
        <v>89</v>
      </c>
      <c r="L176" s="5" t="s">
        <v>90</v>
      </c>
      <c r="M176" s="5" t="s">
        <v>91</v>
      </c>
      <c r="N176" s="7" t="s">
        <v>92</v>
      </c>
      <c r="O176" s="7" t="s">
        <v>93</v>
      </c>
      <c r="P176" s="7" t="s">
        <v>94</v>
      </c>
      <c r="Q176" s="15">
        <v>166</v>
      </c>
      <c r="R176" s="5" t="s">
        <v>111</v>
      </c>
      <c r="S176" s="9">
        <v>762</v>
      </c>
      <c r="T176" s="9">
        <v>482.59</v>
      </c>
      <c r="U176" s="9">
        <v>0</v>
      </c>
      <c r="V176" s="9">
        <f t="shared" si="130"/>
        <v>0</v>
      </c>
      <c r="W176" s="2" t="s">
        <v>97</v>
      </c>
      <c r="X176" s="2">
        <v>2016</v>
      </c>
      <c r="Y176" s="5" t="s">
        <v>7670</v>
      </c>
    </row>
    <row r="177" spans="1:25" s="28" customFormat="1" ht="89.25" customHeight="1" outlineLevel="1" x14ac:dyDescent="0.25">
      <c r="B177" s="2" t="s">
        <v>7597</v>
      </c>
      <c r="C177" s="5" t="s">
        <v>83</v>
      </c>
      <c r="D177" s="5" t="s">
        <v>425</v>
      </c>
      <c r="E177" s="5" t="s">
        <v>384</v>
      </c>
      <c r="F177" s="5" t="s">
        <v>426</v>
      </c>
      <c r="G177" s="5" t="s">
        <v>427</v>
      </c>
      <c r="H177" s="5" t="s">
        <v>88</v>
      </c>
      <c r="I177" s="27">
        <v>0</v>
      </c>
      <c r="J177" s="5">
        <v>710000000</v>
      </c>
      <c r="K177" s="5" t="s">
        <v>89</v>
      </c>
      <c r="L177" s="5" t="s">
        <v>7470</v>
      </c>
      <c r="M177" s="5" t="s">
        <v>91</v>
      </c>
      <c r="N177" s="7" t="s">
        <v>92</v>
      </c>
      <c r="O177" s="7" t="s">
        <v>93</v>
      </c>
      <c r="P177" s="7" t="s">
        <v>673</v>
      </c>
      <c r="Q177" s="15">
        <v>166</v>
      </c>
      <c r="R177" s="5" t="s">
        <v>111</v>
      </c>
      <c r="S177" s="9">
        <v>762</v>
      </c>
      <c r="T177" s="9">
        <v>482.59</v>
      </c>
      <c r="U177" s="9">
        <f t="shared" ref="U177" si="141">T177*S177</f>
        <v>367733.57999999996</v>
      </c>
      <c r="V177" s="9">
        <f t="shared" ref="V177" si="142">U177*1.12</f>
        <v>411861.60959999997</v>
      </c>
      <c r="W177" s="2"/>
      <c r="X177" s="2">
        <v>2016</v>
      </c>
      <c r="Y177" s="5"/>
    </row>
    <row r="178" spans="1:25" s="28" customFormat="1" ht="89.25" customHeight="1" outlineLevel="1" x14ac:dyDescent="0.2">
      <c r="A178" s="26"/>
      <c r="B178" s="2" t="s">
        <v>428</v>
      </c>
      <c r="C178" s="5" t="s">
        <v>83</v>
      </c>
      <c r="D178" s="5" t="s">
        <v>429</v>
      </c>
      <c r="E178" s="5" t="s">
        <v>430</v>
      </c>
      <c r="F178" s="5" t="s">
        <v>431</v>
      </c>
      <c r="G178" s="5" t="s">
        <v>432</v>
      </c>
      <c r="H178" s="5" t="s">
        <v>88</v>
      </c>
      <c r="I178" s="27">
        <v>0.5</v>
      </c>
      <c r="J178" s="5">
        <v>710000000</v>
      </c>
      <c r="K178" s="5" t="s">
        <v>89</v>
      </c>
      <c r="L178" s="5" t="s">
        <v>90</v>
      </c>
      <c r="M178" s="5" t="s">
        <v>91</v>
      </c>
      <c r="N178" s="7" t="s">
        <v>92</v>
      </c>
      <c r="O178" s="7" t="s">
        <v>93</v>
      </c>
      <c r="P178" s="7" t="s">
        <v>94</v>
      </c>
      <c r="Q178" s="15">
        <v>166</v>
      </c>
      <c r="R178" s="5" t="s">
        <v>111</v>
      </c>
      <c r="S178" s="9">
        <v>21</v>
      </c>
      <c r="T178" s="9">
        <v>114.45</v>
      </c>
      <c r="U178" s="9">
        <v>0</v>
      </c>
      <c r="V178" s="9">
        <f t="shared" si="130"/>
        <v>0</v>
      </c>
      <c r="W178" s="2" t="s">
        <v>97</v>
      </c>
      <c r="X178" s="2">
        <v>2016</v>
      </c>
      <c r="Y178" s="5" t="s">
        <v>7670</v>
      </c>
    </row>
    <row r="179" spans="1:25" s="28" customFormat="1" ht="89.25" customHeight="1" outlineLevel="1" x14ac:dyDescent="0.25">
      <c r="B179" s="2" t="s">
        <v>7598</v>
      </c>
      <c r="C179" s="5" t="s">
        <v>83</v>
      </c>
      <c r="D179" s="5" t="s">
        <v>429</v>
      </c>
      <c r="E179" s="5" t="s">
        <v>430</v>
      </c>
      <c r="F179" s="5" t="s">
        <v>431</v>
      </c>
      <c r="G179" s="5" t="s">
        <v>432</v>
      </c>
      <c r="H179" s="5" t="s">
        <v>88</v>
      </c>
      <c r="I179" s="27">
        <v>0</v>
      </c>
      <c r="J179" s="5">
        <v>710000000</v>
      </c>
      <c r="K179" s="5" t="s">
        <v>89</v>
      </c>
      <c r="L179" s="5" t="s">
        <v>7470</v>
      </c>
      <c r="M179" s="5" t="s">
        <v>91</v>
      </c>
      <c r="N179" s="7" t="s">
        <v>92</v>
      </c>
      <c r="O179" s="7" t="s">
        <v>93</v>
      </c>
      <c r="P179" s="7" t="s">
        <v>673</v>
      </c>
      <c r="Q179" s="15">
        <v>166</v>
      </c>
      <c r="R179" s="5" t="s">
        <v>111</v>
      </c>
      <c r="S179" s="9">
        <v>21</v>
      </c>
      <c r="T179" s="9">
        <v>114.45</v>
      </c>
      <c r="U179" s="9">
        <f t="shared" ref="U179" si="143">T179*S179</f>
        <v>2403.4500000000003</v>
      </c>
      <c r="V179" s="9">
        <f t="shared" ref="V179" si="144">U179*1.12</f>
        <v>2691.8640000000005</v>
      </c>
      <c r="W179" s="2"/>
      <c r="X179" s="2">
        <v>2016</v>
      </c>
      <c r="Y179" s="5"/>
    </row>
    <row r="180" spans="1:25" s="28" customFormat="1" ht="89.25" customHeight="1" outlineLevel="1" x14ac:dyDescent="0.2">
      <c r="A180" s="26"/>
      <c r="B180" s="2" t="s">
        <v>433</v>
      </c>
      <c r="C180" s="5" t="s">
        <v>83</v>
      </c>
      <c r="D180" s="5" t="s">
        <v>434</v>
      </c>
      <c r="E180" s="5" t="s">
        <v>435</v>
      </c>
      <c r="F180" s="5" t="s">
        <v>436</v>
      </c>
      <c r="G180" s="5" t="s">
        <v>437</v>
      </c>
      <c r="H180" s="5" t="s">
        <v>88</v>
      </c>
      <c r="I180" s="27">
        <v>0.5</v>
      </c>
      <c r="J180" s="5">
        <v>710000000</v>
      </c>
      <c r="K180" s="5" t="s">
        <v>89</v>
      </c>
      <c r="L180" s="5" t="s">
        <v>90</v>
      </c>
      <c r="M180" s="5" t="s">
        <v>91</v>
      </c>
      <c r="N180" s="7" t="s">
        <v>92</v>
      </c>
      <c r="O180" s="7" t="s">
        <v>93</v>
      </c>
      <c r="P180" s="7" t="s">
        <v>94</v>
      </c>
      <c r="Q180" s="15">
        <v>166</v>
      </c>
      <c r="R180" s="5" t="s">
        <v>111</v>
      </c>
      <c r="S180" s="9">
        <v>197</v>
      </c>
      <c r="T180" s="9">
        <v>656.66</v>
      </c>
      <c r="U180" s="9">
        <v>0</v>
      </c>
      <c r="V180" s="9">
        <f t="shared" si="130"/>
        <v>0</v>
      </c>
      <c r="W180" s="2" t="s">
        <v>97</v>
      </c>
      <c r="X180" s="2">
        <v>2016</v>
      </c>
      <c r="Y180" s="5" t="s">
        <v>7670</v>
      </c>
    </row>
    <row r="181" spans="1:25" s="28" customFormat="1" ht="89.25" customHeight="1" outlineLevel="1" x14ac:dyDescent="0.25">
      <c r="B181" s="2" t="s">
        <v>7599</v>
      </c>
      <c r="C181" s="5" t="s">
        <v>83</v>
      </c>
      <c r="D181" s="5" t="s">
        <v>434</v>
      </c>
      <c r="E181" s="5" t="s">
        <v>435</v>
      </c>
      <c r="F181" s="5" t="s">
        <v>436</v>
      </c>
      <c r="G181" s="5" t="s">
        <v>437</v>
      </c>
      <c r="H181" s="5" t="s">
        <v>88</v>
      </c>
      <c r="I181" s="27">
        <v>0</v>
      </c>
      <c r="J181" s="5">
        <v>710000000</v>
      </c>
      <c r="K181" s="5" t="s">
        <v>89</v>
      </c>
      <c r="L181" s="5" t="s">
        <v>7470</v>
      </c>
      <c r="M181" s="5" t="s">
        <v>91</v>
      </c>
      <c r="N181" s="7" t="s">
        <v>92</v>
      </c>
      <c r="O181" s="7" t="s">
        <v>93</v>
      </c>
      <c r="P181" s="7" t="s">
        <v>673</v>
      </c>
      <c r="Q181" s="15">
        <v>166</v>
      </c>
      <c r="R181" s="5" t="s">
        <v>111</v>
      </c>
      <c r="S181" s="9">
        <v>197</v>
      </c>
      <c r="T181" s="9">
        <v>656.66</v>
      </c>
      <c r="U181" s="9">
        <f t="shared" ref="U181" si="145">T181*S181</f>
        <v>129362.01999999999</v>
      </c>
      <c r="V181" s="9">
        <f t="shared" ref="V181" si="146">U181*1.12</f>
        <v>144885.46239999999</v>
      </c>
      <c r="W181" s="2"/>
      <c r="X181" s="2">
        <v>2016</v>
      </c>
      <c r="Y181" s="5"/>
    </row>
    <row r="182" spans="1:25" s="28" customFormat="1" ht="89.25" customHeight="1" outlineLevel="1" x14ac:dyDescent="0.2">
      <c r="A182" s="26"/>
      <c r="B182" s="2" t="s">
        <v>438</v>
      </c>
      <c r="C182" s="5" t="s">
        <v>83</v>
      </c>
      <c r="D182" s="5" t="s">
        <v>439</v>
      </c>
      <c r="E182" s="5" t="s">
        <v>440</v>
      </c>
      <c r="F182" s="5" t="s">
        <v>441</v>
      </c>
      <c r="G182" s="5" t="s">
        <v>442</v>
      </c>
      <c r="H182" s="5" t="s">
        <v>88</v>
      </c>
      <c r="I182" s="27">
        <v>0.5</v>
      </c>
      <c r="J182" s="5">
        <v>710000000</v>
      </c>
      <c r="K182" s="5" t="s">
        <v>89</v>
      </c>
      <c r="L182" s="5" t="s">
        <v>90</v>
      </c>
      <c r="M182" s="5" t="s">
        <v>91</v>
      </c>
      <c r="N182" s="7" t="s">
        <v>92</v>
      </c>
      <c r="O182" s="7" t="s">
        <v>93</v>
      </c>
      <c r="P182" s="7" t="s">
        <v>94</v>
      </c>
      <c r="Q182" s="15">
        <v>166</v>
      </c>
      <c r="R182" s="5" t="s">
        <v>111</v>
      </c>
      <c r="S182" s="9">
        <v>23.5</v>
      </c>
      <c r="T182" s="9">
        <v>588.51</v>
      </c>
      <c r="U182" s="9">
        <v>0</v>
      </c>
      <c r="V182" s="9">
        <f t="shared" si="130"/>
        <v>0</v>
      </c>
      <c r="W182" s="2" t="s">
        <v>97</v>
      </c>
      <c r="X182" s="2">
        <v>2016</v>
      </c>
      <c r="Y182" s="5" t="s">
        <v>7670</v>
      </c>
    </row>
    <row r="183" spans="1:25" s="28" customFormat="1" ht="89.25" customHeight="1" outlineLevel="1" x14ac:dyDescent="0.25">
      <c r="B183" s="2" t="s">
        <v>7600</v>
      </c>
      <c r="C183" s="5" t="s">
        <v>83</v>
      </c>
      <c r="D183" s="5" t="s">
        <v>439</v>
      </c>
      <c r="E183" s="5" t="s">
        <v>440</v>
      </c>
      <c r="F183" s="5" t="s">
        <v>441</v>
      </c>
      <c r="G183" s="5" t="s">
        <v>442</v>
      </c>
      <c r="H183" s="5" t="s">
        <v>88</v>
      </c>
      <c r="I183" s="27">
        <v>0</v>
      </c>
      <c r="J183" s="5">
        <v>710000000</v>
      </c>
      <c r="K183" s="5" t="s">
        <v>89</v>
      </c>
      <c r="L183" s="5" t="s">
        <v>7470</v>
      </c>
      <c r="M183" s="5" t="s">
        <v>91</v>
      </c>
      <c r="N183" s="7" t="s">
        <v>92</v>
      </c>
      <c r="O183" s="7" t="s">
        <v>93</v>
      </c>
      <c r="P183" s="7" t="s">
        <v>673</v>
      </c>
      <c r="Q183" s="15">
        <v>166</v>
      </c>
      <c r="R183" s="5" t="s">
        <v>111</v>
      </c>
      <c r="S183" s="9">
        <v>23.5</v>
      </c>
      <c r="T183" s="9">
        <v>588.51</v>
      </c>
      <c r="U183" s="9">
        <f t="shared" ref="U183" si="147">T183*S183</f>
        <v>13829.985000000001</v>
      </c>
      <c r="V183" s="9">
        <f t="shared" ref="V183" si="148">U183*1.12</f>
        <v>15489.583200000003</v>
      </c>
      <c r="W183" s="2"/>
      <c r="X183" s="2">
        <v>2016</v>
      </c>
      <c r="Y183" s="5"/>
    </row>
    <row r="184" spans="1:25" s="28" customFormat="1" ht="89.25" customHeight="1" outlineLevel="1" x14ac:dyDescent="0.2">
      <c r="A184" s="26"/>
      <c r="B184" s="2" t="s">
        <v>443</v>
      </c>
      <c r="C184" s="5" t="s">
        <v>83</v>
      </c>
      <c r="D184" s="5" t="s">
        <v>444</v>
      </c>
      <c r="E184" s="5" t="s">
        <v>445</v>
      </c>
      <c r="F184" s="5" t="s">
        <v>446</v>
      </c>
      <c r="G184" s="5" t="s">
        <v>447</v>
      </c>
      <c r="H184" s="5" t="s">
        <v>88</v>
      </c>
      <c r="I184" s="27">
        <v>0.5</v>
      </c>
      <c r="J184" s="5">
        <v>710000000</v>
      </c>
      <c r="K184" s="5" t="s">
        <v>89</v>
      </c>
      <c r="L184" s="5" t="s">
        <v>90</v>
      </c>
      <c r="M184" s="5" t="s">
        <v>91</v>
      </c>
      <c r="N184" s="7" t="s">
        <v>92</v>
      </c>
      <c r="O184" s="7" t="s">
        <v>93</v>
      </c>
      <c r="P184" s="7" t="s">
        <v>94</v>
      </c>
      <c r="Q184" s="15">
        <v>166</v>
      </c>
      <c r="R184" s="5" t="s">
        <v>111</v>
      </c>
      <c r="S184" s="9">
        <v>15</v>
      </c>
      <c r="T184" s="9">
        <v>2461</v>
      </c>
      <c r="U184" s="9">
        <v>0</v>
      </c>
      <c r="V184" s="9">
        <f t="shared" ref="V184:V193" si="149">U184*1.12</f>
        <v>0</v>
      </c>
      <c r="W184" s="2" t="s">
        <v>97</v>
      </c>
      <c r="X184" s="2">
        <v>2016</v>
      </c>
      <c r="Y184" s="5" t="s">
        <v>7670</v>
      </c>
    </row>
    <row r="185" spans="1:25" s="28" customFormat="1" ht="89.25" customHeight="1" outlineLevel="1" x14ac:dyDescent="0.25">
      <c r="B185" s="2" t="s">
        <v>7601</v>
      </c>
      <c r="C185" s="5" t="s">
        <v>83</v>
      </c>
      <c r="D185" s="5" t="s">
        <v>444</v>
      </c>
      <c r="E185" s="5" t="s">
        <v>445</v>
      </c>
      <c r="F185" s="5" t="s">
        <v>446</v>
      </c>
      <c r="G185" s="5" t="s">
        <v>447</v>
      </c>
      <c r="H185" s="5" t="s">
        <v>88</v>
      </c>
      <c r="I185" s="27">
        <v>0</v>
      </c>
      <c r="J185" s="5">
        <v>710000000</v>
      </c>
      <c r="K185" s="5" t="s">
        <v>89</v>
      </c>
      <c r="L185" s="5" t="s">
        <v>7470</v>
      </c>
      <c r="M185" s="5" t="s">
        <v>91</v>
      </c>
      <c r="N185" s="7" t="s">
        <v>92</v>
      </c>
      <c r="O185" s="7" t="s">
        <v>93</v>
      </c>
      <c r="P185" s="7" t="s">
        <v>673</v>
      </c>
      <c r="Q185" s="15">
        <v>166</v>
      </c>
      <c r="R185" s="5" t="s">
        <v>111</v>
      </c>
      <c r="S185" s="9">
        <v>15</v>
      </c>
      <c r="T185" s="9">
        <v>2461</v>
      </c>
      <c r="U185" s="9">
        <f>T185*S185</f>
        <v>36915</v>
      </c>
      <c r="V185" s="9">
        <f t="shared" si="149"/>
        <v>41344.800000000003</v>
      </c>
      <c r="W185" s="2"/>
      <c r="X185" s="2">
        <v>2016</v>
      </c>
      <c r="Y185" s="5"/>
    </row>
    <row r="186" spans="1:25" s="28" customFormat="1" ht="89.25" customHeight="1" outlineLevel="1" x14ac:dyDescent="0.2">
      <c r="A186" s="26"/>
      <c r="B186" s="2" t="s">
        <v>448</v>
      </c>
      <c r="C186" s="5" t="s">
        <v>83</v>
      </c>
      <c r="D186" s="5" t="s">
        <v>449</v>
      </c>
      <c r="E186" s="5" t="s">
        <v>450</v>
      </c>
      <c r="F186" s="5" t="s">
        <v>451</v>
      </c>
      <c r="G186" s="5" t="s">
        <v>452</v>
      </c>
      <c r="H186" s="5" t="s">
        <v>88</v>
      </c>
      <c r="I186" s="27">
        <v>0.5</v>
      </c>
      <c r="J186" s="5">
        <v>710000000</v>
      </c>
      <c r="K186" s="5" t="s">
        <v>89</v>
      </c>
      <c r="L186" s="5" t="s">
        <v>90</v>
      </c>
      <c r="M186" s="5" t="s">
        <v>91</v>
      </c>
      <c r="N186" s="7" t="s">
        <v>92</v>
      </c>
      <c r="O186" s="7" t="s">
        <v>93</v>
      </c>
      <c r="P186" s="7" t="s">
        <v>94</v>
      </c>
      <c r="Q186" s="15">
        <v>166</v>
      </c>
      <c r="R186" s="5" t="s">
        <v>111</v>
      </c>
      <c r="S186" s="9">
        <v>15</v>
      </c>
      <c r="T186" s="9">
        <v>2354</v>
      </c>
      <c r="U186" s="9">
        <v>0</v>
      </c>
      <c r="V186" s="9">
        <f t="shared" si="149"/>
        <v>0</v>
      </c>
      <c r="W186" s="2" t="s">
        <v>97</v>
      </c>
      <c r="X186" s="2">
        <v>2016</v>
      </c>
      <c r="Y186" s="5" t="s">
        <v>7670</v>
      </c>
    </row>
    <row r="187" spans="1:25" s="28" customFormat="1" ht="89.25" customHeight="1" outlineLevel="1" x14ac:dyDescent="0.25">
      <c r="B187" s="2" t="s">
        <v>7602</v>
      </c>
      <c r="C187" s="5" t="s">
        <v>83</v>
      </c>
      <c r="D187" s="5" t="s">
        <v>449</v>
      </c>
      <c r="E187" s="5" t="s">
        <v>450</v>
      </c>
      <c r="F187" s="5" t="s">
        <v>451</v>
      </c>
      <c r="G187" s="5" t="s">
        <v>452</v>
      </c>
      <c r="H187" s="5" t="s">
        <v>88</v>
      </c>
      <c r="I187" s="27">
        <v>0</v>
      </c>
      <c r="J187" s="5">
        <v>710000000</v>
      </c>
      <c r="K187" s="5" t="s">
        <v>89</v>
      </c>
      <c r="L187" s="5" t="s">
        <v>7470</v>
      </c>
      <c r="M187" s="5" t="s">
        <v>91</v>
      </c>
      <c r="N187" s="7" t="s">
        <v>92</v>
      </c>
      <c r="O187" s="7" t="s">
        <v>93</v>
      </c>
      <c r="P187" s="7" t="s">
        <v>673</v>
      </c>
      <c r="Q187" s="15">
        <v>166</v>
      </c>
      <c r="R187" s="5" t="s">
        <v>111</v>
      </c>
      <c r="S187" s="9">
        <v>15</v>
      </c>
      <c r="T187" s="9">
        <v>2354</v>
      </c>
      <c r="U187" s="9">
        <f>T187*S187</f>
        <v>35310</v>
      </c>
      <c r="V187" s="9">
        <f t="shared" si="149"/>
        <v>39547.200000000004</v>
      </c>
      <c r="W187" s="2"/>
      <c r="X187" s="2">
        <v>2016</v>
      </c>
      <c r="Y187" s="5"/>
    </row>
    <row r="188" spans="1:25" s="28" customFormat="1" ht="89.25" customHeight="1" outlineLevel="1" x14ac:dyDescent="0.2">
      <c r="A188" s="26"/>
      <c r="B188" s="2" t="s">
        <v>453</v>
      </c>
      <c r="C188" s="5" t="s">
        <v>83</v>
      </c>
      <c r="D188" s="5" t="s">
        <v>454</v>
      </c>
      <c r="E188" s="5" t="s">
        <v>455</v>
      </c>
      <c r="F188" s="5" t="s">
        <v>456</v>
      </c>
      <c r="G188" s="5" t="s">
        <v>457</v>
      </c>
      <c r="H188" s="5" t="s">
        <v>88</v>
      </c>
      <c r="I188" s="27">
        <v>0.5</v>
      </c>
      <c r="J188" s="5">
        <v>710000000</v>
      </c>
      <c r="K188" s="5" t="s">
        <v>89</v>
      </c>
      <c r="L188" s="5" t="s">
        <v>90</v>
      </c>
      <c r="M188" s="5" t="s">
        <v>91</v>
      </c>
      <c r="N188" s="7" t="s">
        <v>92</v>
      </c>
      <c r="O188" s="7" t="s">
        <v>93</v>
      </c>
      <c r="P188" s="7" t="s">
        <v>94</v>
      </c>
      <c r="Q188" s="15">
        <v>166</v>
      </c>
      <c r="R188" s="5" t="s">
        <v>111</v>
      </c>
      <c r="S188" s="9">
        <v>15</v>
      </c>
      <c r="T188" s="9">
        <v>3852</v>
      </c>
      <c r="U188" s="9">
        <v>0</v>
      </c>
      <c r="V188" s="9">
        <f t="shared" si="149"/>
        <v>0</v>
      </c>
      <c r="W188" s="2" t="s">
        <v>97</v>
      </c>
      <c r="X188" s="2">
        <v>2016</v>
      </c>
      <c r="Y188" s="5" t="s">
        <v>7670</v>
      </c>
    </row>
    <row r="189" spans="1:25" s="28" customFormat="1" ht="89.25" customHeight="1" outlineLevel="1" x14ac:dyDescent="0.25">
      <c r="B189" s="2" t="s">
        <v>7603</v>
      </c>
      <c r="C189" s="5" t="s">
        <v>83</v>
      </c>
      <c r="D189" s="5" t="s">
        <v>454</v>
      </c>
      <c r="E189" s="5" t="s">
        <v>455</v>
      </c>
      <c r="F189" s="5" t="s">
        <v>456</v>
      </c>
      <c r="G189" s="5" t="s">
        <v>457</v>
      </c>
      <c r="H189" s="5" t="s">
        <v>88</v>
      </c>
      <c r="I189" s="27">
        <v>0</v>
      </c>
      <c r="J189" s="5">
        <v>710000000</v>
      </c>
      <c r="K189" s="5" t="s">
        <v>89</v>
      </c>
      <c r="L189" s="5" t="s">
        <v>7470</v>
      </c>
      <c r="M189" s="5" t="s">
        <v>91</v>
      </c>
      <c r="N189" s="7" t="s">
        <v>92</v>
      </c>
      <c r="O189" s="7" t="s">
        <v>93</v>
      </c>
      <c r="P189" s="7" t="s">
        <v>673</v>
      </c>
      <c r="Q189" s="15">
        <v>166</v>
      </c>
      <c r="R189" s="5" t="s">
        <v>111</v>
      </c>
      <c r="S189" s="9">
        <v>15</v>
      </c>
      <c r="T189" s="9">
        <v>3852</v>
      </c>
      <c r="U189" s="9">
        <f>T189*S189</f>
        <v>57780</v>
      </c>
      <c r="V189" s="9">
        <f t="shared" si="149"/>
        <v>64713.600000000006</v>
      </c>
      <c r="W189" s="2"/>
      <c r="X189" s="2">
        <v>2016</v>
      </c>
      <c r="Y189" s="5"/>
    </row>
    <row r="190" spans="1:25" s="28" customFormat="1" ht="89.25" customHeight="1" outlineLevel="1" x14ac:dyDescent="0.2">
      <c r="A190" s="26"/>
      <c r="B190" s="2" t="s">
        <v>458</v>
      </c>
      <c r="C190" s="5" t="s">
        <v>83</v>
      </c>
      <c r="D190" s="5" t="s">
        <v>459</v>
      </c>
      <c r="E190" s="5" t="s">
        <v>460</v>
      </c>
      <c r="F190" s="5" t="s">
        <v>7693</v>
      </c>
      <c r="G190" s="5" t="s">
        <v>461</v>
      </c>
      <c r="H190" s="5" t="s">
        <v>88</v>
      </c>
      <c r="I190" s="27">
        <v>0.5</v>
      </c>
      <c r="J190" s="5">
        <v>710000000</v>
      </c>
      <c r="K190" s="5" t="s">
        <v>89</v>
      </c>
      <c r="L190" s="5" t="s">
        <v>90</v>
      </c>
      <c r="M190" s="5" t="s">
        <v>91</v>
      </c>
      <c r="N190" s="7" t="s">
        <v>92</v>
      </c>
      <c r="O190" s="7" t="s">
        <v>93</v>
      </c>
      <c r="P190" s="7" t="s">
        <v>94</v>
      </c>
      <c r="Q190" s="15">
        <v>166</v>
      </c>
      <c r="R190" s="5" t="s">
        <v>111</v>
      </c>
      <c r="S190" s="9">
        <v>15</v>
      </c>
      <c r="T190" s="9">
        <v>1911</v>
      </c>
      <c r="U190" s="9">
        <v>0</v>
      </c>
      <c r="V190" s="9">
        <f t="shared" si="149"/>
        <v>0</v>
      </c>
      <c r="W190" s="2" t="s">
        <v>97</v>
      </c>
      <c r="X190" s="2">
        <v>2016</v>
      </c>
      <c r="Y190" s="5" t="s">
        <v>7670</v>
      </c>
    </row>
    <row r="191" spans="1:25" s="28" customFormat="1" ht="89.25" customHeight="1" outlineLevel="1" x14ac:dyDescent="0.25">
      <c r="B191" s="2" t="s">
        <v>7604</v>
      </c>
      <c r="C191" s="5" t="s">
        <v>83</v>
      </c>
      <c r="D191" s="5" t="s">
        <v>459</v>
      </c>
      <c r="E191" s="5" t="s">
        <v>460</v>
      </c>
      <c r="F191" s="5" t="s">
        <v>7693</v>
      </c>
      <c r="G191" s="5" t="s">
        <v>461</v>
      </c>
      <c r="H191" s="5" t="s">
        <v>88</v>
      </c>
      <c r="I191" s="27">
        <v>0</v>
      </c>
      <c r="J191" s="5">
        <v>710000000</v>
      </c>
      <c r="K191" s="5" t="s">
        <v>89</v>
      </c>
      <c r="L191" s="5" t="s">
        <v>7470</v>
      </c>
      <c r="M191" s="5" t="s">
        <v>91</v>
      </c>
      <c r="N191" s="7" t="s">
        <v>92</v>
      </c>
      <c r="O191" s="7" t="s">
        <v>93</v>
      </c>
      <c r="P191" s="7" t="s">
        <v>673</v>
      </c>
      <c r="Q191" s="15">
        <v>166</v>
      </c>
      <c r="R191" s="5" t="s">
        <v>111</v>
      </c>
      <c r="S191" s="9">
        <v>15</v>
      </c>
      <c r="T191" s="9">
        <v>1911</v>
      </c>
      <c r="U191" s="9">
        <f>T191*S191</f>
        <v>28665</v>
      </c>
      <c r="V191" s="9">
        <f t="shared" si="149"/>
        <v>32104.800000000003</v>
      </c>
      <c r="W191" s="2"/>
      <c r="X191" s="2">
        <v>2016</v>
      </c>
      <c r="Y191" s="5"/>
    </row>
    <row r="192" spans="1:25" s="28" customFormat="1" ht="89.25" customHeight="1" outlineLevel="1" x14ac:dyDescent="0.2">
      <c r="A192" s="26"/>
      <c r="B192" s="2" t="s">
        <v>462</v>
      </c>
      <c r="C192" s="5" t="s">
        <v>83</v>
      </c>
      <c r="D192" s="5" t="s">
        <v>463</v>
      </c>
      <c r="E192" s="5" t="s">
        <v>464</v>
      </c>
      <c r="F192" s="5" t="s">
        <v>465</v>
      </c>
      <c r="G192" s="5" t="s">
        <v>466</v>
      </c>
      <c r="H192" s="5" t="s">
        <v>88</v>
      </c>
      <c r="I192" s="27">
        <v>0.5</v>
      </c>
      <c r="J192" s="5">
        <v>710000000</v>
      </c>
      <c r="K192" s="5" t="s">
        <v>89</v>
      </c>
      <c r="L192" s="5" t="s">
        <v>90</v>
      </c>
      <c r="M192" s="5" t="s">
        <v>91</v>
      </c>
      <c r="N192" s="7" t="s">
        <v>92</v>
      </c>
      <c r="O192" s="7" t="s">
        <v>93</v>
      </c>
      <c r="P192" s="7" t="s">
        <v>94</v>
      </c>
      <c r="Q192" s="15">
        <v>166</v>
      </c>
      <c r="R192" s="5" t="s">
        <v>111</v>
      </c>
      <c r="S192" s="9">
        <v>172</v>
      </c>
      <c r="T192" s="9">
        <v>695.5</v>
      </c>
      <c r="U192" s="9">
        <v>0</v>
      </c>
      <c r="V192" s="9">
        <f t="shared" si="149"/>
        <v>0</v>
      </c>
      <c r="W192" s="2" t="s">
        <v>97</v>
      </c>
      <c r="X192" s="2">
        <v>2016</v>
      </c>
      <c r="Y192" s="5" t="s">
        <v>7670</v>
      </c>
    </row>
    <row r="193" spans="1:25" s="28" customFormat="1" ht="89.25" customHeight="1" outlineLevel="1" x14ac:dyDescent="0.25">
      <c r="B193" s="2" t="s">
        <v>7605</v>
      </c>
      <c r="C193" s="5" t="s">
        <v>83</v>
      </c>
      <c r="D193" s="5" t="s">
        <v>463</v>
      </c>
      <c r="E193" s="5" t="s">
        <v>464</v>
      </c>
      <c r="F193" s="5" t="s">
        <v>465</v>
      </c>
      <c r="G193" s="5" t="s">
        <v>466</v>
      </c>
      <c r="H193" s="5" t="s">
        <v>88</v>
      </c>
      <c r="I193" s="27">
        <v>0</v>
      </c>
      <c r="J193" s="5">
        <v>710000000</v>
      </c>
      <c r="K193" s="5" t="s">
        <v>89</v>
      </c>
      <c r="L193" s="5" t="s">
        <v>7470</v>
      </c>
      <c r="M193" s="5" t="s">
        <v>91</v>
      </c>
      <c r="N193" s="7" t="s">
        <v>92</v>
      </c>
      <c r="O193" s="7" t="s">
        <v>93</v>
      </c>
      <c r="P193" s="7" t="s">
        <v>673</v>
      </c>
      <c r="Q193" s="15">
        <v>166</v>
      </c>
      <c r="R193" s="5" t="s">
        <v>111</v>
      </c>
      <c r="S193" s="9">
        <v>172</v>
      </c>
      <c r="T193" s="9">
        <v>695.5</v>
      </c>
      <c r="U193" s="9">
        <f>T193*S193</f>
        <v>119626</v>
      </c>
      <c r="V193" s="9">
        <f t="shared" si="149"/>
        <v>133981.12000000002</v>
      </c>
      <c r="W193" s="2"/>
      <c r="X193" s="2">
        <v>2016</v>
      </c>
      <c r="Y193" s="5"/>
    </row>
    <row r="194" spans="1:25" s="28" customFormat="1" ht="89.25" customHeight="1" outlineLevel="1" x14ac:dyDescent="0.2">
      <c r="A194" s="26"/>
      <c r="B194" s="2" t="s">
        <v>467</v>
      </c>
      <c r="C194" s="5" t="s">
        <v>83</v>
      </c>
      <c r="D194" s="5" t="s">
        <v>468</v>
      </c>
      <c r="E194" s="5" t="s">
        <v>464</v>
      </c>
      <c r="F194" s="5" t="s">
        <v>469</v>
      </c>
      <c r="G194" s="5" t="s">
        <v>466</v>
      </c>
      <c r="H194" s="5" t="s">
        <v>88</v>
      </c>
      <c r="I194" s="27">
        <v>0.5</v>
      </c>
      <c r="J194" s="5">
        <v>710000000</v>
      </c>
      <c r="K194" s="5" t="s">
        <v>89</v>
      </c>
      <c r="L194" s="5" t="s">
        <v>90</v>
      </c>
      <c r="M194" s="5" t="s">
        <v>91</v>
      </c>
      <c r="N194" s="7" t="s">
        <v>92</v>
      </c>
      <c r="O194" s="7" t="s">
        <v>93</v>
      </c>
      <c r="P194" s="7" t="s">
        <v>94</v>
      </c>
      <c r="Q194" s="15">
        <v>166</v>
      </c>
      <c r="R194" s="5" t="s">
        <v>111</v>
      </c>
      <c r="S194" s="9">
        <v>172</v>
      </c>
      <c r="T194" s="9">
        <v>695.5</v>
      </c>
      <c r="U194" s="9">
        <v>0</v>
      </c>
      <c r="V194" s="9">
        <f t="shared" ref="V194" si="150">U194*1.12</f>
        <v>0</v>
      </c>
      <c r="W194" s="2" t="s">
        <v>97</v>
      </c>
      <c r="X194" s="2">
        <v>2016</v>
      </c>
      <c r="Y194" s="5" t="s">
        <v>7670</v>
      </c>
    </row>
    <row r="195" spans="1:25" s="28" customFormat="1" ht="89.25" customHeight="1" outlineLevel="1" x14ac:dyDescent="0.25">
      <c r="B195" s="2" t="s">
        <v>7606</v>
      </c>
      <c r="C195" s="5" t="s">
        <v>83</v>
      </c>
      <c r="D195" s="5" t="s">
        <v>468</v>
      </c>
      <c r="E195" s="5" t="s">
        <v>464</v>
      </c>
      <c r="F195" s="5" t="s">
        <v>469</v>
      </c>
      <c r="G195" s="5" t="s">
        <v>466</v>
      </c>
      <c r="H195" s="5" t="s">
        <v>88</v>
      </c>
      <c r="I195" s="27">
        <v>0</v>
      </c>
      <c r="J195" s="5">
        <v>710000000</v>
      </c>
      <c r="K195" s="5" t="s">
        <v>89</v>
      </c>
      <c r="L195" s="5" t="s">
        <v>7470</v>
      </c>
      <c r="M195" s="5" t="s">
        <v>91</v>
      </c>
      <c r="N195" s="7" t="s">
        <v>92</v>
      </c>
      <c r="O195" s="7" t="s">
        <v>93</v>
      </c>
      <c r="P195" s="7" t="s">
        <v>673</v>
      </c>
      <c r="Q195" s="15">
        <v>166</v>
      </c>
      <c r="R195" s="5" t="s">
        <v>111</v>
      </c>
      <c r="S195" s="9">
        <v>172</v>
      </c>
      <c r="T195" s="9">
        <v>695.5</v>
      </c>
      <c r="U195" s="9">
        <f t="shared" ref="U195" si="151">T195*S195</f>
        <v>119626</v>
      </c>
      <c r="V195" s="9">
        <f t="shared" ref="V195" si="152">U195*1.12</f>
        <v>133981.12000000002</v>
      </c>
      <c r="W195" s="2"/>
      <c r="X195" s="2">
        <v>2016</v>
      </c>
      <c r="Y195" s="5"/>
    </row>
    <row r="196" spans="1:25" s="28" customFormat="1" ht="89.25" customHeight="1" outlineLevel="1" x14ac:dyDescent="0.2">
      <c r="A196" s="26"/>
      <c r="B196" s="2" t="s">
        <v>470</v>
      </c>
      <c r="C196" s="5" t="s">
        <v>83</v>
      </c>
      <c r="D196" s="5" t="s">
        <v>471</v>
      </c>
      <c r="E196" s="5" t="s">
        <v>306</v>
      </c>
      <c r="F196" s="5" t="s">
        <v>472</v>
      </c>
      <c r="G196" s="5" t="s">
        <v>473</v>
      </c>
      <c r="H196" s="5" t="s">
        <v>88</v>
      </c>
      <c r="I196" s="27">
        <v>0.5</v>
      </c>
      <c r="J196" s="5">
        <v>710000000</v>
      </c>
      <c r="K196" s="5" t="s">
        <v>89</v>
      </c>
      <c r="L196" s="5" t="s">
        <v>90</v>
      </c>
      <c r="M196" s="5" t="s">
        <v>91</v>
      </c>
      <c r="N196" s="7" t="s">
        <v>92</v>
      </c>
      <c r="O196" s="7" t="s">
        <v>93</v>
      </c>
      <c r="P196" s="7" t="s">
        <v>94</v>
      </c>
      <c r="Q196" s="15">
        <v>166</v>
      </c>
      <c r="R196" s="5" t="s">
        <v>111</v>
      </c>
      <c r="S196" s="9">
        <v>15</v>
      </c>
      <c r="T196" s="9">
        <v>955.53</v>
      </c>
      <c r="U196" s="9">
        <v>0</v>
      </c>
      <c r="V196" s="9">
        <f t="shared" ref="V196:V203" si="153">U196*1.12</f>
        <v>0</v>
      </c>
      <c r="W196" s="2" t="s">
        <v>97</v>
      </c>
      <c r="X196" s="2">
        <v>2016</v>
      </c>
      <c r="Y196" s="5" t="s">
        <v>7670</v>
      </c>
    </row>
    <row r="197" spans="1:25" s="28" customFormat="1" ht="89.25" customHeight="1" outlineLevel="1" x14ac:dyDescent="0.25">
      <c r="B197" s="2" t="s">
        <v>7607</v>
      </c>
      <c r="C197" s="5" t="s">
        <v>83</v>
      </c>
      <c r="D197" s="5" t="s">
        <v>471</v>
      </c>
      <c r="E197" s="5" t="s">
        <v>306</v>
      </c>
      <c r="F197" s="5" t="s">
        <v>472</v>
      </c>
      <c r="G197" s="5" t="s">
        <v>473</v>
      </c>
      <c r="H197" s="5" t="s">
        <v>88</v>
      </c>
      <c r="I197" s="27">
        <v>0</v>
      </c>
      <c r="J197" s="5">
        <v>710000000</v>
      </c>
      <c r="K197" s="5" t="s">
        <v>89</v>
      </c>
      <c r="L197" s="5" t="s">
        <v>7470</v>
      </c>
      <c r="M197" s="5" t="s">
        <v>91</v>
      </c>
      <c r="N197" s="7" t="s">
        <v>92</v>
      </c>
      <c r="O197" s="7" t="s">
        <v>93</v>
      </c>
      <c r="P197" s="7" t="s">
        <v>673</v>
      </c>
      <c r="Q197" s="15">
        <v>166</v>
      </c>
      <c r="R197" s="5" t="s">
        <v>111</v>
      </c>
      <c r="S197" s="9">
        <v>15</v>
      </c>
      <c r="T197" s="9">
        <v>955.53</v>
      </c>
      <c r="U197" s="9">
        <f>T197*S197</f>
        <v>14332.949999999999</v>
      </c>
      <c r="V197" s="9">
        <f t="shared" si="153"/>
        <v>16052.904</v>
      </c>
      <c r="W197" s="2"/>
      <c r="X197" s="2">
        <v>2016</v>
      </c>
      <c r="Y197" s="5"/>
    </row>
    <row r="198" spans="1:25" s="28" customFormat="1" ht="127.5" customHeight="1" outlineLevel="1" x14ac:dyDescent="0.2">
      <c r="A198" s="26"/>
      <c r="B198" s="2" t="s">
        <v>474</v>
      </c>
      <c r="C198" s="5" t="s">
        <v>83</v>
      </c>
      <c r="D198" s="5" t="s">
        <v>475</v>
      </c>
      <c r="E198" s="5" t="s">
        <v>476</v>
      </c>
      <c r="F198" s="5" t="s">
        <v>472</v>
      </c>
      <c r="G198" s="5" t="s">
        <v>477</v>
      </c>
      <c r="H198" s="5" t="s">
        <v>88</v>
      </c>
      <c r="I198" s="27">
        <v>0.5</v>
      </c>
      <c r="J198" s="5">
        <v>710000000</v>
      </c>
      <c r="K198" s="5" t="s">
        <v>89</v>
      </c>
      <c r="L198" s="5" t="s">
        <v>90</v>
      </c>
      <c r="M198" s="5" t="s">
        <v>91</v>
      </c>
      <c r="N198" s="7" t="s">
        <v>92</v>
      </c>
      <c r="O198" s="7" t="s">
        <v>93</v>
      </c>
      <c r="P198" s="7" t="s">
        <v>94</v>
      </c>
      <c r="Q198" s="15">
        <v>166</v>
      </c>
      <c r="R198" s="5" t="s">
        <v>111</v>
      </c>
      <c r="S198" s="9">
        <v>30</v>
      </c>
      <c r="T198" s="9">
        <v>909.53</v>
      </c>
      <c r="U198" s="9">
        <v>0</v>
      </c>
      <c r="V198" s="9">
        <f t="shared" si="153"/>
        <v>0</v>
      </c>
      <c r="W198" s="2" t="s">
        <v>97</v>
      </c>
      <c r="X198" s="2">
        <v>2016</v>
      </c>
      <c r="Y198" s="5" t="s">
        <v>7670</v>
      </c>
    </row>
    <row r="199" spans="1:25" s="28" customFormat="1" ht="127.5" customHeight="1" outlineLevel="1" x14ac:dyDescent="0.25">
      <c r="B199" s="2" t="s">
        <v>7608</v>
      </c>
      <c r="C199" s="5" t="s">
        <v>83</v>
      </c>
      <c r="D199" s="5" t="s">
        <v>475</v>
      </c>
      <c r="E199" s="5" t="s">
        <v>476</v>
      </c>
      <c r="F199" s="5" t="s">
        <v>472</v>
      </c>
      <c r="G199" s="5" t="s">
        <v>477</v>
      </c>
      <c r="H199" s="5" t="s">
        <v>88</v>
      </c>
      <c r="I199" s="27">
        <v>0</v>
      </c>
      <c r="J199" s="5">
        <v>710000000</v>
      </c>
      <c r="K199" s="5" t="s">
        <v>89</v>
      </c>
      <c r="L199" s="5" t="s">
        <v>7470</v>
      </c>
      <c r="M199" s="5" t="s">
        <v>91</v>
      </c>
      <c r="N199" s="7" t="s">
        <v>92</v>
      </c>
      <c r="O199" s="7" t="s">
        <v>93</v>
      </c>
      <c r="P199" s="7" t="s">
        <v>673</v>
      </c>
      <c r="Q199" s="15">
        <v>166</v>
      </c>
      <c r="R199" s="5" t="s">
        <v>111</v>
      </c>
      <c r="S199" s="9">
        <v>30</v>
      </c>
      <c r="T199" s="9">
        <v>909.53</v>
      </c>
      <c r="U199" s="9">
        <f>T199*S199</f>
        <v>27285.899999999998</v>
      </c>
      <c r="V199" s="9">
        <f t="shared" si="153"/>
        <v>30560.207999999999</v>
      </c>
      <c r="W199" s="2"/>
      <c r="X199" s="2">
        <v>2016</v>
      </c>
      <c r="Y199" s="5"/>
    </row>
    <row r="200" spans="1:25" s="28" customFormat="1" ht="89.25" customHeight="1" outlineLevel="1" x14ac:dyDescent="0.2">
      <c r="A200" s="26"/>
      <c r="B200" s="2" t="s">
        <v>478</v>
      </c>
      <c r="C200" s="5" t="s">
        <v>83</v>
      </c>
      <c r="D200" s="5" t="s">
        <v>479</v>
      </c>
      <c r="E200" s="5" t="s">
        <v>480</v>
      </c>
      <c r="F200" s="5" t="s">
        <v>481</v>
      </c>
      <c r="G200" s="5" t="s">
        <v>482</v>
      </c>
      <c r="H200" s="5" t="s">
        <v>88</v>
      </c>
      <c r="I200" s="27">
        <v>0.5</v>
      </c>
      <c r="J200" s="5">
        <v>710000000</v>
      </c>
      <c r="K200" s="5" t="s">
        <v>89</v>
      </c>
      <c r="L200" s="5" t="s">
        <v>90</v>
      </c>
      <c r="M200" s="5" t="s">
        <v>91</v>
      </c>
      <c r="N200" s="7" t="s">
        <v>92</v>
      </c>
      <c r="O200" s="7" t="s">
        <v>93</v>
      </c>
      <c r="P200" s="7" t="s">
        <v>94</v>
      </c>
      <c r="Q200" s="15">
        <v>166</v>
      </c>
      <c r="R200" s="5" t="s">
        <v>111</v>
      </c>
      <c r="S200" s="9">
        <v>1672</v>
      </c>
      <c r="T200" s="9">
        <v>428.05</v>
      </c>
      <c r="U200" s="9">
        <v>0</v>
      </c>
      <c r="V200" s="9">
        <f t="shared" si="153"/>
        <v>0</v>
      </c>
      <c r="W200" s="2" t="s">
        <v>97</v>
      </c>
      <c r="X200" s="2">
        <v>2016</v>
      </c>
      <c r="Y200" s="5" t="s">
        <v>7670</v>
      </c>
    </row>
    <row r="201" spans="1:25" s="28" customFormat="1" ht="89.25" customHeight="1" outlineLevel="1" x14ac:dyDescent="0.25">
      <c r="B201" s="2" t="s">
        <v>7609</v>
      </c>
      <c r="C201" s="5" t="s">
        <v>83</v>
      </c>
      <c r="D201" s="5" t="s">
        <v>479</v>
      </c>
      <c r="E201" s="5" t="s">
        <v>480</v>
      </c>
      <c r="F201" s="5" t="s">
        <v>481</v>
      </c>
      <c r="G201" s="5" t="s">
        <v>482</v>
      </c>
      <c r="H201" s="5" t="s">
        <v>88</v>
      </c>
      <c r="I201" s="27">
        <v>0</v>
      </c>
      <c r="J201" s="5">
        <v>710000000</v>
      </c>
      <c r="K201" s="5" t="s">
        <v>89</v>
      </c>
      <c r="L201" s="5" t="s">
        <v>7470</v>
      </c>
      <c r="M201" s="5" t="s">
        <v>91</v>
      </c>
      <c r="N201" s="7" t="s">
        <v>92</v>
      </c>
      <c r="O201" s="7" t="s">
        <v>93</v>
      </c>
      <c r="P201" s="7" t="s">
        <v>673</v>
      </c>
      <c r="Q201" s="15">
        <v>166</v>
      </c>
      <c r="R201" s="5" t="s">
        <v>111</v>
      </c>
      <c r="S201" s="9">
        <v>1672</v>
      </c>
      <c r="T201" s="9">
        <v>428.05</v>
      </c>
      <c r="U201" s="9">
        <f>T201*S201</f>
        <v>715699.6</v>
      </c>
      <c r="V201" s="9">
        <f t="shared" si="153"/>
        <v>801583.55200000003</v>
      </c>
      <c r="W201" s="2"/>
      <c r="X201" s="2">
        <v>2016</v>
      </c>
      <c r="Y201" s="5"/>
    </row>
    <row r="202" spans="1:25" s="28" customFormat="1" ht="89.25" customHeight="1" outlineLevel="1" x14ac:dyDescent="0.2">
      <c r="A202" s="26"/>
      <c r="B202" s="2" t="s">
        <v>483</v>
      </c>
      <c r="C202" s="5" t="s">
        <v>83</v>
      </c>
      <c r="D202" s="5" t="s">
        <v>484</v>
      </c>
      <c r="E202" s="5" t="s">
        <v>485</v>
      </c>
      <c r="F202" s="5" t="s">
        <v>486</v>
      </c>
      <c r="G202" s="5" t="s">
        <v>487</v>
      </c>
      <c r="H202" s="5" t="s">
        <v>88</v>
      </c>
      <c r="I202" s="27">
        <v>0.5</v>
      </c>
      <c r="J202" s="5">
        <v>710000000</v>
      </c>
      <c r="K202" s="5" t="s">
        <v>89</v>
      </c>
      <c r="L202" s="5" t="s">
        <v>90</v>
      </c>
      <c r="M202" s="5" t="s">
        <v>91</v>
      </c>
      <c r="N202" s="7" t="s">
        <v>92</v>
      </c>
      <c r="O202" s="7" t="s">
        <v>93</v>
      </c>
      <c r="P202" s="7" t="s">
        <v>94</v>
      </c>
      <c r="Q202" s="15">
        <v>166</v>
      </c>
      <c r="R202" s="5" t="s">
        <v>111</v>
      </c>
      <c r="S202" s="9">
        <v>334</v>
      </c>
      <c r="T202" s="9">
        <v>1070</v>
      </c>
      <c r="U202" s="9">
        <v>0</v>
      </c>
      <c r="V202" s="9">
        <f t="shared" si="153"/>
        <v>0</v>
      </c>
      <c r="W202" s="2" t="s">
        <v>97</v>
      </c>
      <c r="X202" s="2">
        <v>2016</v>
      </c>
      <c r="Y202" s="5" t="s">
        <v>7670</v>
      </c>
    </row>
    <row r="203" spans="1:25" s="28" customFormat="1" ht="89.25" customHeight="1" outlineLevel="1" x14ac:dyDescent="0.25">
      <c r="B203" s="2" t="s">
        <v>7610</v>
      </c>
      <c r="C203" s="5" t="s">
        <v>83</v>
      </c>
      <c r="D203" s="5" t="s">
        <v>484</v>
      </c>
      <c r="E203" s="5" t="s">
        <v>485</v>
      </c>
      <c r="F203" s="5" t="s">
        <v>486</v>
      </c>
      <c r="G203" s="5" t="s">
        <v>487</v>
      </c>
      <c r="H203" s="5" t="s">
        <v>88</v>
      </c>
      <c r="I203" s="27">
        <v>0</v>
      </c>
      <c r="J203" s="5">
        <v>710000000</v>
      </c>
      <c r="K203" s="5" t="s">
        <v>89</v>
      </c>
      <c r="L203" s="5" t="s">
        <v>7470</v>
      </c>
      <c r="M203" s="5" t="s">
        <v>91</v>
      </c>
      <c r="N203" s="7" t="s">
        <v>92</v>
      </c>
      <c r="O203" s="7" t="s">
        <v>93</v>
      </c>
      <c r="P203" s="7" t="s">
        <v>673</v>
      </c>
      <c r="Q203" s="15">
        <v>166</v>
      </c>
      <c r="R203" s="5" t="s">
        <v>111</v>
      </c>
      <c r="S203" s="9">
        <v>334</v>
      </c>
      <c r="T203" s="9">
        <v>1070</v>
      </c>
      <c r="U203" s="9">
        <f>T203*S203</f>
        <v>357380</v>
      </c>
      <c r="V203" s="9">
        <f t="shared" si="153"/>
        <v>400265.60000000003</v>
      </c>
      <c r="W203" s="2"/>
      <c r="X203" s="2">
        <v>2016</v>
      </c>
      <c r="Y203" s="5"/>
    </row>
    <row r="204" spans="1:25" s="28" customFormat="1" ht="89.25" customHeight="1" outlineLevel="1" x14ac:dyDescent="0.2">
      <c r="A204" s="26"/>
      <c r="B204" s="2" t="s">
        <v>488</v>
      </c>
      <c r="C204" s="5" t="s">
        <v>83</v>
      </c>
      <c r="D204" s="5" t="s">
        <v>489</v>
      </c>
      <c r="E204" s="5" t="s">
        <v>490</v>
      </c>
      <c r="F204" s="5" t="s">
        <v>491</v>
      </c>
      <c r="G204" s="5" t="s">
        <v>492</v>
      </c>
      <c r="H204" s="5" t="s">
        <v>88</v>
      </c>
      <c r="I204" s="27">
        <v>0.5</v>
      </c>
      <c r="J204" s="5">
        <v>710000000</v>
      </c>
      <c r="K204" s="5" t="s">
        <v>89</v>
      </c>
      <c r="L204" s="5" t="s">
        <v>90</v>
      </c>
      <c r="M204" s="5" t="s">
        <v>91</v>
      </c>
      <c r="N204" s="7" t="s">
        <v>92</v>
      </c>
      <c r="O204" s="7" t="s">
        <v>93</v>
      </c>
      <c r="P204" s="7" t="s">
        <v>94</v>
      </c>
      <c r="Q204" s="15">
        <v>166</v>
      </c>
      <c r="R204" s="5" t="s">
        <v>111</v>
      </c>
      <c r="S204" s="9">
        <v>40</v>
      </c>
      <c r="T204" s="9">
        <v>716.9</v>
      </c>
      <c r="U204" s="9">
        <v>0</v>
      </c>
      <c r="V204" s="9">
        <f t="shared" si="130"/>
        <v>0</v>
      </c>
      <c r="W204" s="2" t="s">
        <v>97</v>
      </c>
      <c r="X204" s="2">
        <v>2016</v>
      </c>
      <c r="Y204" s="5" t="s">
        <v>7670</v>
      </c>
    </row>
    <row r="205" spans="1:25" s="28" customFormat="1" ht="89.25" customHeight="1" outlineLevel="1" x14ac:dyDescent="0.25">
      <c r="B205" s="2" t="s">
        <v>7611</v>
      </c>
      <c r="C205" s="5" t="s">
        <v>83</v>
      </c>
      <c r="D205" s="5" t="s">
        <v>489</v>
      </c>
      <c r="E205" s="5" t="s">
        <v>490</v>
      </c>
      <c r="F205" s="5" t="s">
        <v>491</v>
      </c>
      <c r="G205" s="5" t="s">
        <v>492</v>
      </c>
      <c r="H205" s="5" t="s">
        <v>88</v>
      </c>
      <c r="I205" s="27">
        <v>0</v>
      </c>
      <c r="J205" s="5">
        <v>710000000</v>
      </c>
      <c r="K205" s="5" t="s">
        <v>89</v>
      </c>
      <c r="L205" s="5" t="s">
        <v>7470</v>
      </c>
      <c r="M205" s="5" t="s">
        <v>91</v>
      </c>
      <c r="N205" s="7" t="s">
        <v>92</v>
      </c>
      <c r="O205" s="7" t="s">
        <v>93</v>
      </c>
      <c r="P205" s="7" t="s">
        <v>673</v>
      </c>
      <c r="Q205" s="15">
        <v>166</v>
      </c>
      <c r="R205" s="5" t="s">
        <v>111</v>
      </c>
      <c r="S205" s="9">
        <v>40</v>
      </c>
      <c r="T205" s="9">
        <v>716.9</v>
      </c>
      <c r="U205" s="9">
        <f t="shared" ref="U205" si="154">T205*S205</f>
        <v>28676</v>
      </c>
      <c r="V205" s="9">
        <f t="shared" ref="V205" si="155">U205*1.12</f>
        <v>32117.120000000003</v>
      </c>
      <c r="W205" s="2"/>
      <c r="X205" s="2">
        <v>2016</v>
      </c>
      <c r="Y205" s="5"/>
    </row>
    <row r="206" spans="1:25" s="28" customFormat="1" ht="89.25" customHeight="1" outlineLevel="1" x14ac:dyDescent="0.2">
      <c r="A206" s="26"/>
      <c r="B206" s="2" t="s">
        <v>493</v>
      </c>
      <c r="C206" s="5" t="s">
        <v>83</v>
      </c>
      <c r="D206" s="5" t="s">
        <v>494</v>
      </c>
      <c r="E206" s="5" t="s">
        <v>490</v>
      </c>
      <c r="F206" s="5" t="s">
        <v>495</v>
      </c>
      <c r="G206" s="5" t="s">
        <v>492</v>
      </c>
      <c r="H206" s="5" t="s">
        <v>88</v>
      </c>
      <c r="I206" s="27">
        <v>0.5</v>
      </c>
      <c r="J206" s="5">
        <v>710000000</v>
      </c>
      <c r="K206" s="5" t="s">
        <v>89</v>
      </c>
      <c r="L206" s="5" t="s">
        <v>90</v>
      </c>
      <c r="M206" s="5" t="s">
        <v>91</v>
      </c>
      <c r="N206" s="7" t="s">
        <v>92</v>
      </c>
      <c r="O206" s="7" t="s">
        <v>93</v>
      </c>
      <c r="P206" s="7" t="s">
        <v>94</v>
      </c>
      <c r="Q206" s="15">
        <v>166</v>
      </c>
      <c r="R206" s="5" t="s">
        <v>111</v>
      </c>
      <c r="S206" s="9">
        <v>40</v>
      </c>
      <c r="T206" s="9">
        <v>716.9</v>
      </c>
      <c r="U206" s="9">
        <v>0</v>
      </c>
      <c r="V206" s="9">
        <f t="shared" si="130"/>
        <v>0</v>
      </c>
      <c r="W206" s="2" t="s">
        <v>97</v>
      </c>
      <c r="X206" s="2">
        <v>2016</v>
      </c>
      <c r="Y206" s="5" t="s">
        <v>7670</v>
      </c>
    </row>
    <row r="207" spans="1:25" s="28" customFormat="1" ht="89.25" customHeight="1" outlineLevel="1" x14ac:dyDescent="0.25">
      <c r="B207" s="2" t="s">
        <v>7612</v>
      </c>
      <c r="C207" s="5" t="s">
        <v>83</v>
      </c>
      <c r="D207" s="5" t="s">
        <v>494</v>
      </c>
      <c r="E207" s="5" t="s">
        <v>490</v>
      </c>
      <c r="F207" s="5" t="s">
        <v>495</v>
      </c>
      <c r="G207" s="5" t="s">
        <v>492</v>
      </c>
      <c r="H207" s="5" t="s">
        <v>88</v>
      </c>
      <c r="I207" s="27">
        <v>0</v>
      </c>
      <c r="J207" s="5">
        <v>710000000</v>
      </c>
      <c r="K207" s="5" t="s">
        <v>89</v>
      </c>
      <c r="L207" s="5" t="s">
        <v>7470</v>
      </c>
      <c r="M207" s="5" t="s">
        <v>91</v>
      </c>
      <c r="N207" s="7" t="s">
        <v>92</v>
      </c>
      <c r="O207" s="7" t="s">
        <v>93</v>
      </c>
      <c r="P207" s="7" t="s">
        <v>673</v>
      </c>
      <c r="Q207" s="15">
        <v>166</v>
      </c>
      <c r="R207" s="5" t="s">
        <v>111</v>
      </c>
      <c r="S207" s="9">
        <v>40</v>
      </c>
      <c r="T207" s="9">
        <v>716.9</v>
      </c>
      <c r="U207" s="9">
        <f t="shared" ref="U207" si="156">T207*S207</f>
        <v>28676</v>
      </c>
      <c r="V207" s="9">
        <f t="shared" ref="V207" si="157">U207*1.12</f>
        <v>32117.120000000003</v>
      </c>
      <c r="W207" s="2"/>
      <c r="X207" s="2">
        <v>2016</v>
      </c>
      <c r="Y207" s="5"/>
    </row>
    <row r="208" spans="1:25" s="28" customFormat="1" ht="89.25" customHeight="1" outlineLevel="1" x14ac:dyDescent="0.2">
      <c r="A208" s="26"/>
      <c r="B208" s="2" t="s">
        <v>496</v>
      </c>
      <c r="C208" s="5" t="s">
        <v>83</v>
      </c>
      <c r="D208" s="5" t="s">
        <v>497</v>
      </c>
      <c r="E208" s="5" t="s">
        <v>498</v>
      </c>
      <c r="F208" s="5" t="s">
        <v>499</v>
      </c>
      <c r="G208" s="5" t="s">
        <v>500</v>
      </c>
      <c r="H208" s="5" t="s">
        <v>88</v>
      </c>
      <c r="I208" s="27">
        <v>0.5</v>
      </c>
      <c r="J208" s="5">
        <v>710000000</v>
      </c>
      <c r="K208" s="5" t="s">
        <v>89</v>
      </c>
      <c r="L208" s="5" t="s">
        <v>90</v>
      </c>
      <c r="M208" s="5" t="s">
        <v>91</v>
      </c>
      <c r="N208" s="7" t="s">
        <v>92</v>
      </c>
      <c r="O208" s="7" t="s">
        <v>93</v>
      </c>
      <c r="P208" s="7" t="s">
        <v>94</v>
      </c>
      <c r="Q208" s="15">
        <v>166</v>
      </c>
      <c r="R208" s="5" t="s">
        <v>111</v>
      </c>
      <c r="S208" s="9">
        <v>84</v>
      </c>
      <c r="T208" s="9">
        <v>372.1</v>
      </c>
      <c r="U208" s="9">
        <v>0</v>
      </c>
      <c r="V208" s="9">
        <f t="shared" ref="V208:V217" si="158">U208*1.12</f>
        <v>0</v>
      </c>
      <c r="W208" s="2" t="s">
        <v>97</v>
      </c>
      <c r="X208" s="2">
        <v>2016</v>
      </c>
      <c r="Y208" s="5" t="s">
        <v>7670</v>
      </c>
    </row>
    <row r="209" spans="1:25" s="28" customFormat="1" ht="89.25" customHeight="1" outlineLevel="1" x14ac:dyDescent="0.25">
      <c r="B209" s="2" t="s">
        <v>7613</v>
      </c>
      <c r="C209" s="5" t="s">
        <v>83</v>
      </c>
      <c r="D209" s="5" t="s">
        <v>497</v>
      </c>
      <c r="E209" s="5" t="s">
        <v>498</v>
      </c>
      <c r="F209" s="5" t="s">
        <v>499</v>
      </c>
      <c r="G209" s="5" t="s">
        <v>500</v>
      </c>
      <c r="H209" s="5" t="s">
        <v>88</v>
      </c>
      <c r="I209" s="27">
        <v>0</v>
      </c>
      <c r="J209" s="5">
        <v>710000000</v>
      </c>
      <c r="K209" s="5" t="s">
        <v>89</v>
      </c>
      <c r="L209" s="5" t="s">
        <v>7470</v>
      </c>
      <c r="M209" s="5" t="s">
        <v>91</v>
      </c>
      <c r="N209" s="7" t="s">
        <v>92</v>
      </c>
      <c r="O209" s="7" t="s">
        <v>93</v>
      </c>
      <c r="P209" s="7" t="s">
        <v>673</v>
      </c>
      <c r="Q209" s="15">
        <v>166</v>
      </c>
      <c r="R209" s="5" t="s">
        <v>111</v>
      </c>
      <c r="S209" s="9">
        <v>84</v>
      </c>
      <c r="T209" s="9">
        <v>372.1</v>
      </c>
      <c r="U209" s="9">
        <f>T209*S209</f>
        <v>31256.400000000001</v>
      </c>
      <c r="V209" s="9">
        <f t="shared" si="158"/>
        <v>35007.168000000005</v>
      </c>
      <c r="W209" s="2"/>
      <c r="X209" s="2">
        <v>2016</v>
      </c>
      <c r="Y209" s="5"/>
    </row>
    <row r="210" spans="1:25" s="28" customFormat="1" ht="89.25" customHeight="1" outlineLevel="1" x14ac:dyDescent="0.2">
      <c r="A210" s="26"/>
      <c r="B210" s="2" t="s">
        <v>501</v>
      </c>
      <c r="C210" s="5" t="s">
        <v>83</v>
      </c>
      <c r="D210" s="5" t="s">
        <v>497</v>
      </c>
      <c r="E210" s="5" t="s">
        <v>498</v>
      </c>
      <c r="F210" s="5" t="s">
        <v>499</v>
      </c>
      <c r="G210" s="5" t="s">
        <v>502</v>
      </c>
      <c r="H210" s="5" t="s">
        <v>88</v>
      </c>
      <c r="I210" s="27">
        <v>0.5</v>
      </c>
      <c r="J210" s="5">
        <v>710000000</v>
      </c>
      <c r="K210" s="5" t="s">
        <v>89</v>
      </c>
      <c r="L210" s="5" t="s">
        <v>90</v>
      </c>
      <c r="M210" s="5" t="s">
        <v>91</v>
      </c>
      <c r="N210" s="7" t="s">
        <v>92</v>
      </c>
      <c r="O210" s="7" t="s">
        <v>93</v>
      </c>
      <c r="P210" s="7" t="s">
        <v>94</v>
      </c>
      <c r="Q210" s="15">
        <v>166</v>
      </c>
      <c r="R210" s="5" t="s">
        <v>111</v>
      </c>
      <c r="S210" s="9">
        <v>84</v>
      </c>
      <c r="T210" s="9">
        <v>372.1</v>
      </c>
      <c r="U210" s="9">
        <v>0</v>
      </c>
      <c r="V210" s="9">
        <f t="shared" si="158"/>
        <v>0</v>
      </c>
      <c r="W210" s="2" t="s">
        <v>97</v>
      </c>
      <c r="X210" s="2">
        <v>2016</v>
      </c>
      <c r="Y210" s="5" t="s">
        <v>7670</v>
      </c>
    </row>
    <row r="211" spans="1:25" s="28" customFormat="1" ht="89.25" customHeight="1" outlineLevel="1" x14ac:dyDescent="0.25">
      <c r="B211" s="2" t="s">
        <v>7614</v>
      </c>
      <c r="C211" s="5" t="s">
        <v>83</v>
      </c>
      <c r="D211" s="5" t="s">
        <v>497</v>
      </c>
      <c r="E211" s="5" t="s">
        <v>498</v>
      </c>
      <c r="F211" s="5" t="s">
        <v>499</v>
      </c>
      <c r="G211" s="5" t="s">
        <v>502</v>
      </c>
      <c r="H211" s="5" t="s">
        <v>88</v>
      </c>
      <c r="I211" s="27">
        <v>0</v>
      </c>
      <c r="J211" s="5">
        <v>710000000</v>
      </c>
      <c r="K211" s="5" t="s">
        <v>89</v>
      </c>
      <c r="L211" s="5" t="s">
        <v>7470</v>
      </c>
      <c r="M211" s="5" t="s">
        <v>91</v>
      </c>
      <c r="N211" s="7" t="s">
        <v>92</v>
      </c>
      <c r="O211" s="7" t="s">
        <v>93</v>
      </c>
      <c r="P211" s="7" t="s">
        <v>673</v>
      </c>
      <c r="Q211" s="15">
        <v>166</v>
      </c>
      <c r="R211" s="5" t="s">
        <v>111</v>
      </c>
      <c r="S211" s="9">
        <v>84</v>
      </c>
      <c r="T211" s="9">
        <v>372.1</v>
      </c>
      <c r="U211" s="9">
        <f>T211*S211</f>
        <v>31256.400000000001</v>
      </c>
      <c r="V211" s="9">
        <f t="shared" si="158"/>
        <v>35007.168000000005</v>
      </c>
      <c r="W211" s="2"/>
      <c r="X211" s="2">
        <v>2016</v>
      </c>
      <c r="Y211" s="5"/>
    </row>
    <row r="212" spans="1:25" s="28" customFormat="1" ht="89.25" customHeight="1" outlineLevel="1" x14ac:dyDescent="0.2">
      <c r="A212" s="26"/>
      <c r="B212" s="2" t="s">
        <v>503</v>
      </c>
      <c r="C212" s="5" t="s">
        <v>83</v>
      </c>
      <c r="D212" s="5" t="s">
        <v>504</v>
      </c>
      <c r="E212" s="5" t="s">
        <v>505</v>
      </c>
      <c r="F212" s="5" t="s">
        <v>506</v>
      </c>
      <c r="G212" s="5" t="s">
        <v>507</v>
      </c>
      <c r="H212" s="5" t="s">
        <v>88</v>
      </c>
      <c r="I212" s="27">
        <v>0.5</v>
      </c>
      <c r="J212" s="5">
        <v>710000000</v>
      </c>
      <c r="K212" s="5" t="s">
        <v>89</v>
      </c>
      <c r="L212" s="5" t="s">
        <v>90</v>
      </c>
      <c r="M212" s="5" t="s">
        <v>91</v>
      </c>
      <c r="N212" s="7" t="s">
        <v>92</v>
      </c>
      <c r="O212" s="7" t="s">
        <v>93</v>
      </c>
      <c r="P212" s="7" t="s">
        <v>94</v>
      </c>
      <c r="Q212" s="15">
        <v>166</v>
      </c>
      <c r="R212" s="5" t="s">
        <v>111</v>
      </c>
      <c r="S212" s="9">
        <v>407</v>
      </c>
      <c r="T212" s="9">
        <v>1070</v>
      </c>
      <c r="U212" s="9">
        <v>0</v>
      </c>
      <c r="V212" s="9">
        <f t="shared" si="158"/>
        <v>0</v>
      </c>
      <c r="W212" s="2" t="s">
        <v>97</v>
      </c>
      <c r="X212" s="2">
        <v>2016</v>
      </c>
      <c r="Y212" s="5" t="s">
        <v>7670</v>
      </c>
    </row>
    <row r="213" spans="1:25" s="28" customFormat="1" ht="89.25" customHeight="1" outlineLevel="1" x14ac:dyDescent="0.25">
      <c r="B213" s="2" t="s">
        <v>7615</v>
      </c>
      <c r="C213" s="5" t="s">
        <v>83</v>
      </c>
      <c r="D213" s="5" t="s">
        <v>504</v>
      </c>
      <c r="E213" s="5" t="s">
        <v>505</v>
      </c>
      <c r="F213" s="5" t="s">
        <v>506</v>
      </c>
      <c r="G213" s="5" t="s">
        <v>507</v>
      </c>
      <c r="H213" s="5" t="s">
        <v>88</v>
      </c>
      <c r="I213" s="27">
        <v>0</v>
      </c>
      <c r="J213" s="5">
        <v>710000000</v>
      </c>
      <c r="K213" s="5" t="s">
        <v>89</v>
      </c>
      <c r="L213" s="5" t="s">
        <v>7470</v>
      </c>
      <c r="M213" s="5" t="s">
        <v>91</v>
      </c>
      <c r="N213" s="7" t="s">
        <v>92</v>
      </c>
      <c r="O213" s="7" t="s">
        <v>93</v>
      </c>
      <c r="P213" s="7" t="s">
        <v>673</v>
      </c>
      <c r="Q213" s="15">
        <v>166</v>
      </c>
      <c r="R213" s="5" t="s">
        <v>111</v>
      </c>
      <c r="S213" s="9">
        <v>407</v>
      </c>
      <c r="T213" s="9">
        <v>1070</v>
      </c>
      <c r="U213" s="9">
        <f>T213*S213</f>
        <v>435490</v>
      </c>
      <c r="V213" s="9">
        <f t="shared" si="158"/>
        <v>487748.80000000005</v>
      </c>
      <c r="W213" s="2"/>
      <c r="X213" s="2">
        <v>2016</v>
      </c>
      <c r="Y213" s="5"/>
    </row>
    <row r="214" spans="1:25" s="28" customFormat="1" ht="89.25" customHeight="1" outlineLevel="1" x14ac:dyDescent="0.2">
      <c r="A214" s="26"/>
      <c r="B214" s="2" t="s">
        <v>508</v>
      </c>
      <c r="C214" s="5" t="s">
        <v>83</v>
      </c>
      <c r="D214" s="5" t="s">
        <v>509</v>
      </c>
      <c r="E214" s="5" t="s">
        <v>510</v>
      </c>
      <c r="F214" s="5" t="s">
        <v>511</v>
      </c>
      <c r="G214" s="5" t="s">
        <v>512</v>
      </c>
      <c r="H214" s="5" t="s">
        <v>88</v>
      </c>
      <c r="I214" s="27">
        <v>0.5</v>
      </c>
      <c r="J214" s="5">
        <v>710000000</v>
      </c>
      <c r="K214" s="5" t="s">
        <v>89</v>
      </c>
      <c r="L214" s="5" t="s">
        <v>90</v>
      </c>
      <c r="M214" s="5" t="s">
        <v>91</v>
      </c>
      <c r="N214" s="7" t="s">
        <v>92</v>
      </c>
      <c r="O214" s="7" t="s">
        <v>93</v>
      </c>
      <c r="P214" s="7" t="s">
        <v>94</v>
      </c>
      <c r="Q214" s="15">
        <v>166</v>
      </c>
      <c r="R214" s="5" t="s">
        <v>111</v>
      </c>
      <c r="S214" s="9">
        <v>14</v>
      </c>
      <c r="T214" s="9">
        <v>374.7</v>
      </c>
      <c r="U214" s="9">
        <v>0</v>
      </c>
      <c r="V214" s="9">
        <f t="shared" si="158"/>
        <v>0</v>
      </c>
      <c r="W214" s="2" t="s">
        <v>97</v>
      </c>
      <c r="X214" s="2">
        <v>2016</v>
      </c>
      <c r="Y214" s="5" t="s">
        <v>7670</v>
      </c>
    </row>
    <row r="215" spans="1:25" s="28" customFormat="1" ht="89.25" customHeight="1" outlineLevel="1" x14ac:dyDescent="0.25">
      <c r="B215" s="2" t="s">
        <v>7616</v>
      </c>
      <c r="C215" s="5" t="s">
        <v>83</v>
      </c>
      <c r="D215" s="5" t="s">
        <v>509</v>
      </c>
      <c r="E215" s="5" t="s">
        <v>510</v>
      </c>
      <c r="F215" s="5" t="s">
        <v>511</v>
      </c>
      <c r="G215" s="5" t="s">
        <v>512</v>
      </c>
      <c r="H215" s="5" t="s">
        <v>88</v>
      </c>
      <c r="I215" s="27">
        <v>0</v>
      </c>
      <c r="J215" s="5">
        <v>710000000</v>
      </c>
      <c r="K215" s="5" t="s">
        <v>89</v>
      </c>
      <c r="L215" s="5" t="s">
        <v>7470</v>
      </c>
      <c r="M215" s="5" t="s">
        <v>91</v>
      </c>
      <c r="N215" s="7" t="s">
        <v>92</v>
      </c>
      <c r="O215" s="7" t="s">
        <v>93</v>
      </c>
      <c r="P215" s="7" t="s">
        <v>673</v>
      </c>
      <c r="Q215" s="15">
        <v>166</v>
      </c>
      <c r="R215" s="5" t="s">
        <v>111</v>
      </c>
      <c r="S215" s="9">
        <v>14</v>
      </c>
      <c r="T215" s="9">
        <v>374.7</v>
      </c>
      <c r="U215" s="9">
        <f>T215*S215</f>
        <v>5245.8</v>
      </c>
      <c r="V215" s="9">
        <f t="shared" si="158"/>
        <v>5875.2960000000012</v>
      </c>
      <c r="W215" s="2"/>
      <c r="X215" s="2">
        <v>2016</v>
      </c>
      <c r="Y215" s="5"/>
    </row>
    <row r="216" spans="1:25" s="28" customFormat="1" ht="89.25" customHeight="1" outlineLevel="1" x14ac:dyDescent="0.2">
      <c r="A216" s="26"/>
      <c r="B216" s="2" t="s">
        <v>513</v>
      </c>
      <c r="C216" s="5" t="s">
        <v>83</v>
      </c>
      <c r="D216" s="5" t="s">
        <v>514</v>
      </c>
      <c r="E216" s="5" t="s">
        <v>515</v>
      </c>
      <c r="F216" s="5" t="s">
        <v>7694</v>
      </c>
      <c r="G216" s="5" t="s">
        <v>516</v>
      </c>
      <c r="H216" s="5" t="s">
        <v>88</v>
      </c>
      <c r="I216" s="27">
        <v>0.5</v>
      </c>
      <c r="J216" s="5">
        <v>710000000</v>
      </c>
      <c r="K216" s="5" t="s">
        <v>89</v>
      </c>
      <c r="L216" s="5" t="s">
        <v>90</v>
      </c>
      <c r="M216" s="5" t="s">
        <v>91</v>
      </c>
      <c r="N216" s="7" t="s">
        <v>92</v>
      </c>
      <c r="O216" s="7" t="s">
        <v>93</v>
      </c>
      <c r="P216" s="7" t="s">
        <v>94</v>
      </c>
      <c r="Q216" s="15">
        <v>166</v>
      </c>
      <c r="R216" s="5" t="s">
        <v>111</v>
      </c>
      <c r="S216" s="9">
        <v>395</v>
      </c>
      <c r="T216" s="9">
        <v>535</v>
      </c>
      <c r="U216" s="9">
        <v>0</v>
      </c>
      <c r="V216" s="9">
        <f t="shared" si="158"/>
        <v>0</v>
      </c>
      <c r="W216" s="2" t="s">
        <v>97</v>
      </c>
      <c r="X216" s="2">
        <v>2016</v>
      </c>
      <c r="Y216" s="5" t="s">
        <v>7670</v>
      </c>
    </row>
    <row r="217" spans="1:25" s="28" customFormat="1" ht="89.25" customHeight="1" outlineLevel="1" x14ac:dyDescent="0.25">
      <c r="B217" s="2" t="s">
        <v>7617</v>
      </c>
      <c r="C217" s="5" t="s">
        <v>83</v>
      </c>
      <c r="D217" s="5" t="s">
        <v>514</v>
      </c>
      <c r="E217" s="5" t="s">
        <v>515</v>
      </c>
      <c r="F217" s="5" t="s">
        <v>7694</v>
      </c>
      <c r="G217" s="5" t="s">
        <v>516</v>
      </c>
      <c r="H217" s="5" t="s">
        <v>88</v>
      </c>
      <c r="I217" s="27">
        <v>0</v>
      </c>
      <c r="J217" s="5">
        <v>710000000</v>
      </c>
      <c r="K217" s="5" t="s">
        <v>89</v>
      </c>
      <c r="L217" s="5" t="s">
        <v>7470</v>
      </c>
      <c r="M217" s="5" t="s">
        <v>91</v>
      </c>
      <c r="N217" s="7" t="s">
        <v>92</v>
      </c>
      <c r="O217" s="7" t="s">
        <v>93</v>
      </c>
      <c r="P217" s="7" t="s">
        <v>673</v>
      </c>
      <c r="Q217" s="15">
        <v>166</v>
      </c>
      <c r="R217" s="5" t="s">
        <v>111</v>
      </c>
      <c r="S217" s="9">
        <v>395</v>
      </c>
      <c r="T217" s="9">
        <v>535</v>
      </c>
      <c r="U217" s="9">
        <f>T217*S217</f>
        <v>211325</v>
      </c>
      <c r="V217" s="9">
        <f t="shared" si="158"/>
        <v>236684.00000000003</v>
      </c>
      <c r="W217" s="2"/>
      <c r="X217" s="2">
        <v>2016</v>
      </c>
      <c r="Y217" s="5"/>
    </row>
    <row r="218" spans="1:25" s="28" customFormat="1" ht="89.25" customHeight="1" outlineLevel="1" x14ac:dyDescent="0.2">
      <c r="A218" s="26"/>
      <c r="B218" s="2" t="s">
        <v>517</v>
      </c>
      <c r="C218" s="5" t="s">
        <v>83</v>
      </c>
      <c r="D218" s="5" t="s">
        <v>518</v>
      </c>
      <c r="E218" s="5" t="s">
        <v>519</v>
      </c>
      <c r="F218" s="5" t="s">
        <v>520</v>
      </c>
      <c r="G218" s="5" t="s">
        <v>521</v>
      </c>
      <c r="H218" s="5" t="s">
        <v>88</v>
      </c>
      <c r="I218" s="27">
        <v>0.5</v>
      </c>
      <c r="J218" s="5">
        <v>710000000</v>
      </c>
      <c r="K218" s="5" t="s">
        <v>89</v>
      </c>
      <c r="L218" s="5" t="s">
        <v>90</v>
      </c>
      <c r="M218" s="5" t="s">
        <v>91</v>
      </c>
      <c r="N218" s="7" t="s">
        <v>92</v>
      </c>
      <c r="O218" s="7" t="s">
        <v>93</v>
      </c>
      <c r="P218" s="7" t="s">
        <v>94</v>
      </c>
      <c r="Q218" s="15" t="s">
        <v>522</v>
      </c>
      <c r="R218" s="5" t="s">
        <v>523</v>
      </c>
      <c r="S218" s="9">
        <v>372</v>
      </c>
      <c r="T218" s="9">
        <v>855.37</v>
      </c>
      <c r="U218" s="9">
        <v>0</v>
      </c>
      <c r="V218" s="9">
        <f t="shared" si="130"/>
        <v>0</v>
      </c>
      <c r="W218" s="2" t="s">
        <v>97</v>
      </c>
      <c r="X218" s="2">
        <v>2016</v>
      </c>
      <c r="Y218" s="5" t="s">
        <v>7670</v>
      </c>
    </row>
    <row r="219" spans="1:25" s="28" customFormat="1" ht="89.25" customHeight="1" outlineLevel="1" x14ac:dyDescent="0.25">
      <c r="B219" s="2" t="s">
        <v>7618</v>
      </c>
      <c r="C219" s="5" t="s">
        <v>83</v>
      </c>
      <c r="D219" s="5" t="s">
        <v>518</v>
      </c>
      <c r="E219" s="5" t="s">
        <v>519</v>
      </c>
      <c r="F219" s="5" t="s">
        <v>520</v>
      </c>
      <c r="G219" s="5" t="s">
        <v>521</v>
      </c>
      <c r="H219" s="5" t="s">
        <v>88</v>
      </c>
      <c r="I219" s="27">
        <v>0</v>
      </c>
      <c r="J219" s="5">
        <v>710000000</v>
      </c>
      <c r="K219" s="5" t="s">
        <v>89</v>
      </c>
      <c r="L219" s="5" t="s">
        <v>7470</v>
      </c>
      <c r="M219" s="5" t="s">
        <v>91</v>
      </c>
      <c r="N219" s="7" t="s">
        <v>92</v>
      </c>
      <c r="O219" s="7" t="s">
        <v>93</v>
      </c>
      <c r="P219" s="7" t="s">
        <v>673</v>
      </c>
      <c r="Q219" s="15" t="s">
        <v>522</v>
      </c>
      <c r="R219" s="5" t="s">
        <v>523</v>
      </c>
      <c r="S219" s="9">
        <v>372</v>
      </c>
      <c r="T219" s="9">
        <v>855.37</v>
      </c>
      <c r="U219" s="9">
        <f t="shared" ref="U219" si="159">T219*S219</f>
        <v>318197.64</v>
      </c>
      <c r="V219" s="9">
        <f t="shared" ref="V219" si="160">U219*1.12</f>
        <v>356381.35680000007</v>
      </c>
      <c r="W219" s="2"/>
      <c r="X219" s="2">
        <v>2016</v>
      </c>
      <c r="Y219" s="5"/>
    </row>
    <row r="220" spans="1:25" s="28" customFormat="1" ht="89.25" customHeight="1" outlineLevel="1" x14ac:dyDescent="0.2">
      <c r="A220" s="26"/>
      <c r="B220" s="2" t="s">
        <v>524</v>
      </c>
      <c r="C220" s="5" t="s">
        <v>83</v>
      </c>
      <c r="D220" s="5" t="s">
        <v>525</v>
      </c>
      <c r="E220" s="5" t="s">
        <v>526</v>
      </c>
      <c r="F220" s="5" t="s">
        <v>527</v>
      </c>
      <c r="G220" s="5" t="s">
        <v>528</v>
      </c>
      <c r="H220" s="5" t="s">
        <v>88</v>
      </c>
      <c r="I220" s="27">
        <v>0.5</v>
      </c>
      <c r="J220" s="5">
        <v>710000000</v>
      </c>
      <c r="K220" s="5" t="s">
        <v>89</v>
      </c>
      <c r="L220" s="5" t="s">
        <v>90</v>
      </c>
      <c r="M220" s="5" t="s">
        <v>91</v>
      </c>
      <c r="N220" s="7" t="s">
        <v>92</v>
      </c>
      <c r="O220" s="7" t="s">
        <v>93</v>
      </c>
      <c r="P220" s="7" t="s">
        <v>94</v>
      </c>
      <c r="Q220" s="15">
        <v>166</v>
      </c>
      <c r="R220" s="5" t="s">
        <v>111</v>
      </c>
      <c r="S220" s="9">
        <v>405</v>
      </c>
      <c r="T220" s="9">
        <v>1058.45</v>
      </c>
      <c r="U220" s="9">
        <v>0</v>
      </c>
      <c r="V220" s="9">
        <f>U220*1.12</f>
        <v>0</v>
      </c>
      <c r="W220" s="2" t="s">
        <v>97</v>
      </c>
      <c r="X220" s="2">
        <v>2016</v>
      </c>
      <c r="Y220" s="5" t="s">
        <v>7670</v>
      </c>
    </row>
    <row r="221" spans="1:25" s="28" customFormat="1" ht="89.25" customHeight="1" outlineLevel="1" x14ac:dyDescent="0.25">
      <c r="B221" s="2" t="s">
        <v>7619</v>
      </c>
      <c r="C221" s="5" t="s">
        <v>83</v>
      </c>
      <c r="D221" s="5" t="s">
        <v>525</v>
      </c>
      <c r="E221" s="5" t="s">
        <v>526</v>
      </c>
      <c r="F221" s="5" t="s">
        <v>527</v>
      </c>
      <c r="G221" s="5" t="s">
        <v>528</v>
      </c>
      <c r="H221" s="5" t="s">
        <v>88</v>
      </c>
      <c r="I221" s="27">
        <v>0</v>
      </c>
      <c r="J221" s="5">
        <v>710000000</v>
      </c>
      <c r="K221" s="5" t="s">
        <v>89</v>
      </c>
      <c r="L221" s="5" t="s">
        <v>7470</v>
      </c>
      <c r="M221" s="5" t="s">
        <v>91</v>
      </c>
      <c r="N221" s="7" t="s">
        <v>92</v>
      </c>
      <c r="O221" s="7" t="s">
        <v>93</v>
      </c>
      <c r="P221" s="7" t="s">
        <v>673</v>
      </c>
      <c r="Q221" s="15">
        <v>166</v>
      </c>
      <c r="R221" s="5" t="s">
        <v>111</v>
      </c>
      <c r="S221" s="9">
        <v>405</v>
      </c>
      <c r="T221" s="9">
        <v>1058.45</v>
      </c>
      <c r="U221" s="9">
        <f>T221*S221</f>
        <v>428672.25</v>
      </c>
      <c r="V221" s="9">
        <f>U221*1.12</f>
        <v>480112.92000000004</v>
      </c>
      <c r="W221" s="2"/>
      <c r="X221" s="2">
        <v>2016</v>
      </c>
      <c r="Y221" s="5"/>
    </row>
    <row r="222" spans="1:25" s="28" customFormat="1" ht="89.25" customHeight="1" outlineLevel="1" x14ac:dyDescent="0.2">
      <c r="A222" s="26"/>
      <c r="B222" s="2" t="s">
        <v>529</v>
      </c>
      <c r="C222" s="5" t="s">
        <v>83</v>
      </c>
      <c r="D222" s="5" t="s">
        <v>530</v>
      </c>
      <c r="E222" s="5" t="s">
        <v>531</v>
      </c>
      <c r="F222" s="5" t="s">
        <v>532</v>
      </c>
      <c r="G222" s="5" t="s">
        <v>533</v>
      </c>
      <c r="H222" s="5" t="s">
        <v>88</v>
      </c>
      <c r="I222" s="27">
        <v>0.5</v>
      </c>
      <c r="J222" s="5">
        <v>710000000</v>
      </c>
      <c r="K222" s="5" t="s">
        <v>89</v>
      </c>
      <c r="L222" s="5" t="s">
        <v>90</v>
      </c>
      <c r="M222" s="5" t="s">
        <v>91</v>
      </c>
      <c r="N222" s="7" t="s">
        <v>92</v>
      </c>
      <c r="O222" s="7" t="s">
        <v>93</v>
      </c>
      <c r="P222" s="7" t="s">
        <v>94</v>
      </c>
      <c r="Q222" s="15">
        <v>166</v>
      </c>
      <c r="R222" s="5" t="s">
        <v>111</v>
      </c>
      <c r="S222" s="9">
        <v>8140</v>
      </c>
      <c r="T222" s="9">
        <v>192.6</v>
      </c>
      <c r="U222" s="9">
        <v>0</v>
      </c>
      <c r="V222" s="9">
        <f t="shared" ref="V222:V334" si="161">U222*1.12</f>
        <v>0</v>
      </c>
      <c r="W222" s="2" t="s">
        <v>97</v>
      </c>
      <c r="X222" s="2">
        <v>2016</v>
      </c>
      <c r="Y222" s="5" t="s">
        <v>7670</v>
      </c>
    </row>
    <row r="223" spans="1:25" s="28" customFormat="1" ht="89.25" customHeight="1" outlineLevel="1" x14ac:dyDescent="0.25">
      <c r="B223" s="2" t="s">
        <v>7620</v>
      </c>
      <c r="C223" s="5" t="s">
        <v>83</v>
      </c>
      <c r="D223" s="5" t="s">
        <v>530</v>
      </c>
      <c r="E223" s="5" t="s">
        <v>531</v>
      </c>
      <c r="F223" s="5" t="s">
        <v>532</v>
      </c>
      <c r="G223" s="5" t="s">
        <v>533</v>
      </c>
      <c r="H223" s="5" t="s">
        <v>88</v>
      </c>
      <c r="I223" s="27">
        <v>0</v>
      </c>
      <c r="J223" s="5">
        <v>710000000</v>
      </c>
      <c r="K223" s="5" t="s">
        <v>89</v>
      </c>
      <c r="L223" s="5" t="s">
        <v>7470</v>
      </c>
      <c r="M223" s="5" t="s">
        <v>91</v>
      </c>
      <c r="N223" s="7" t="s">
        <v>92</v>
      </c>
      <c r="O223" s="7" t="s">
        <v>93</v>
      </c>
      <c r="P223" s="7" t="s">
        <v>673</v>
      </c>
      <c r="Q223" s="15">
        <v>166</v>
      </c>
      <c r="R223" s="5" t="s">
        <v>111</v>
      </c>
      <c r="S223" s="9">
        <v>8140</v>
      </c>
      <c r="T223" s="9">
        <v>192.6</v>
      </c>
      <c r="U223" s="9">
        <f t="shared" ref="U223" si="162">T223*S223</f>
        <v>1567764</v>
      </c>
      <c r="V223" s="9">
        <f t="shared" ref="V223" si="163">U223*1.12</f>
        <v>1755895.6800000002</v>
      </c>
      <c r="W223" s="2"/>
      <c r="X223" s="2">
        <v>2016</v>
      </c>
      <c r="Y223" s="5"/>
    </row>
    <row r="224" spans="1:25" s="28" customFormat="1" ht="89.25" customHeight="1" outlineLevel="1" x14ac:dyDescent="0.2">
      <c r="A224" s="26"/>
      <c r="B224" s="2" t="s">
        <v>534</v>
      </c>
      <c r="C224" s="5" t="s">
        <v>83</v>
      </c>
      <c r="D224" s="5" t="s">
        <v>535</v>
      </c>
      <c r="E224" s="5" t="s">
        <v>536</v>
      </c>
      <c r="F224" s="5" t="s">
        <v>537</v>
      </c>
      <c r="G224" s="5" t="s">
        <v>538</v>
      </c>
      <c r="H224" s="5" t="s">
        <v>88</v>
      </c>
      <c r="I224" s="27">
        <v>0.5</v>
      </c>
      <c r="J224" s="5">
        <v>710000000</v>
      </c>
      <c r="K224" s="5" t="s">
        <v>89</v>
      </c>
      <c r="L224" s="5" t="s">
        <v>90</v>
      </c>
      <c r="M224" s="5" t="s">
        <v>91</v>
      </c>
      <c r="N224" s="7" t="s">
        <v>92</v>
      </c>
      <c r="O224" s="7" t="s">
        <v>93</v>
      </c>
      <c r="P224" s="7" t="s">
        <v>94</v>
      </c>
      <c r="Q224" s="15">
        <v>166</v>
      </c>
      <c r="R224" s="5" t="s">
        <v>111</v>
      </c>
      <c r="S224" s="9">
        <v>17</v>
      </c>
      <c r="T224" s="9">
        <v>191.46</v>
      </c>
      <c r="U224" s="9">
        <v>0</v>
      </c>
      <c r="V224" s="9">
        <f t="shared" si="161"/>
        <v>0</v>
      </c>
      <c r="W224" s="2" t="s">
        <v>97</v>
      </c>
      <c r="X224" s="2">
        <v>2016</v>
      </c>
      <c r="Y224" s="5" t="s">
        <v>7670</v>
      </c>
    </row>
    <row r="225" spans="1:25" s="28" customFormat="1" ht="89.25" customHeight="1" outlineLevel="1" x14ac:dyDescent="0.25">
      <c r="B225" s="2" t="s">
        <v>7621</v>
      </c>
      <c r="C225" s="5" t="s">
        <v>83</v>
      </c>
      <c r="D225" s="5" t="s">
        <v>535</v>
      </c>
      <c r="E225" s="5" t="s">
        <v>536</v>
      </c>
      <c r="F225" s="5" t="s">
        <v>537</v>
      </c>
      <c r="G225" s="5" t="s">
        <v>538</v>
      </c>
      <c r="H225" s="5" t="s">
        <v>88</v>
      </c>
      <c r="I225" s="27">
        <v>0</v>
      </c>
      <c r="J225" s="5">
        <v>710000000</v>
      </c>
      <c r="K225" s="5" t="s">
        <v>89</v>
      </c>
      <c r="L225" s="5" t="s">
        <v>7470</v>
      </c>
      <c r="M225" s="5" t="s">
        <v>91</v>
      </c>
      <c r="N225" s="7" t="s">
        <v>92</v>
      </c>
      <c r="O225" s="7" t="s">
        <v>93</v>
      </c>
      <c r="P225" s="7" t="s">
        <v>673</v>
      </c>
      <c r="Q225" s="15">
        <v>166</v>
      </c>
      <c r="R225" s="5" t="s">
        <v>111</v>
      </c>
      <c r="S225" s="9">
        <v>17</v>
      </c>
      <c r="T225" s="9">
        <v>191.46</v>
      </c>
      <c r="U225" s="9">
        <f t="shared" ref="U225" si="164">T225*S225</f>
        <v>3254.82</v>
      </c>
      <c r="V225" s="9">
        <f t="shared" ref="V225" si="165">U225*1.12</f>
        <v>3645.3984000000005</v>
      </c>
      <c r="W225" s="2"/>
      <c r="X225" s="2">
        <v>2016</v>
      </c>
      <c r="Y225" s="5"/>
    </row>
    <row r="226" spans="1:25" s="28" customFormat="1" ht="89.25" customHeight="1" outlineLevel="1" x14ac:dyDescent="0.2">
      <c r="A226" s="26"/>
      <c r="B226" s="2" t="s">
        <v>539</v>
      </c>
      <c r="C226" s="5" t="s">
        <v>83</v>
      </c>
      <c r="D226" s="5" t="s">
        <v>540</v>
      </c>
      <c r="E226" s="5" t="s">
        <v>541</v>
      </c>
      <c r="F226" s="5" t="s">
        <v>542</v>
      </c>
      <c r="G226" s="5" t="s">
        <v>543</v>
      </c>
      <c r="H226" s="5" t="s">
        <v>88</v>
      </c>
      <c r="I226" s="27">
        <v>0.5</v>
      </c>
      <c r="J226" s="5">
        <v>710000000</v>
      </c>
      <c r="K226" s="5" t="s">
        <v>89</v>
      </c>
      <c r="L226" s="5" t="s">
        <v>90</v>
      </c>
      <c r="M226" s="5" t="s">
        <v>91</v>
      </c>
      <c r="N226" s="7" t="s">
        <v>92</v>
      </c>
      <c r="O226" s="7" t="s">
        <v>93</v>
      </c>
      <c r="P226" s="7" t="s">
        <v>94</v>
      </c>
      <c r="Q226" s="15" t="s">
        <v>544</v>
      </c>
      <c r="R226" s="5" t="s">
        <v>111</v>
      </c>
      <c r="S226" s="9">
        <v>209</v>
      </c>
      <c r="T226" s="9">
        <v>1281.55</v>
      </c>
      <c r="U226" s="9">
        <v>0</v>
      </c>
      <c r="V226" s="9">
        <f>U226*1.12</f>
        <v>0</v>
      </c>
      <c r="W226" s="2" t="s">
        <v>97</v>
      </c>
      <c r="X226" s="2">
        <v>2016</v>
      </c>
      <c r="Y226" s="5" t="s">
        <v>7670</v>
      </c>
    </row>
    <row r="227" spans="1:25" s="28" customFormat="1" ht="89.25" customHeight="1" outlineLevel="1" x14ac:dyDescent="0.25">
      <c r="B227" s="2" t="s">
        <v>7622</v>
      </c>
      <c r="C227" s="5" t="s">
        <v>83</v>
      </c>
      <c r="D227" s="5" t="s">
        <v>540</v>
      </c>
      <c r="E227" s="5" t="s">
        <v>541</v>
      </c>
      <c r="F227" s="5" t="s">
        <v>542</v>
      </c>
      <c r="G227" s="5" t="s">
        <v>543</v>
      </c>
      <c r="H227" s="5" t="s">
        <v>88</v>
      </c>
      <c r="I227" s="27">
        <v>0</v>
      </c>
      <c r="J227" s="5">
        <v>710000000</v>
      </c>
      <c r="K227" s="5" t="s">
        <v>89</v>
      </c>
      <c r="L227" s="5" t="s">
        <v>7470</v>
      </c>
      <c r="M227" s="5" t="s">
        <v>91</v>
      </c>
      <c r="N227" s="7" t="s">
        <v>92</v>
      </c>
      <c r="O227" s="7" t="s">
        <v>93</v>
      </c>
      <c r="P227" s="7" t="s">
        <v>673</v>
      </c>
      <c r="Q227" s="15" t="s">
        <v>544</v>
      </c>
      <c r="R227" s="5" t="s">
        <v>111</v>
      </c>
      <c r="S227" s="9">
        <v>209</v>
      </c>
      <c r="T227" s="9">
        <v>1281.55</v>
      </c>
      <c r="U227" s="9">
        <f>T227*S227</f>
        <v>267843.95</v>
      </c>
      <c r="V227" s="9">
        <f>U227*1.12</f>
        <v>299985.22400000005</v>
      </c>
      <c r="W227" s="2"/>
      <c r="X227" s="2">
        <v>2016</v>
      </c>
      <c r="Y227" s="5"/>
    </row>
    <row r="228" spans="1:25" s="28" customFormat="1" ht="89.25" customHeight="1" outlineLevel="1" x14ac:dyDescent="0.2">
      <c r="A228" s="26"/>
      <c r="B228" s="2" t="s">
        <v>545</v>
      </c>
      <c r="C228" s="5" t="s">
        <v>83</v>
      </c>
      <c r="D228" s="5" t="s">
        <v>546</v>
      </c>
      <c r="E228" s="5" t="s">
        <v>547</v>
      </c>
      <c r="F228" s="5" t="s">
        <v>548</v>
      </c>
      <c r="G228" s="5" t="s">
        <v>549</v>
      </c>
      <c r="H228" s="5" t="s">
        <v>88</v>
      </c>
      <c r="I228" s="27">
        <v>0.5</v>
      </c>
      <c r="J228" s="5">
        <v>710000000</v>
      </c>
      <c r="K228" s="5" t="s">
        <v>89</v>
      </c>
      <c r="L228" s="5" t="s">
        <v>90</v>
      </c>
      <c r="M228" s="5" t="s">
        <v>91</v>
      </c>
      <c r="N228" s="7" t="s">
        <v>92</v>
      </c>
      <c r="O228" s="7" t="s">
        <v>93</v>
      </c>
      <c r="P228" s="7" t="s">
        <v>94</v>
      </c>
      <c r="Q228" s="15">
        <v>166</v>
      </c>
      <c r="R228" s="5" t="s">
        <v>111</v>
      </c>
      <c r="S228" s="9">
        <v>542.5</v>
      </c>
      <c r="T228" s="9">
        <v>962.91</v>
      </c>
      <c r="U228" s="9">
        <v>0</v>
      </c>
      <c r="V228" s="9">
        <f t="shared" ref="V228:V234" si="166">U228*1.12</f>
        <v>0</v>
      </c>
      <c r="W228" s="2" t="s">
        <v>97</v>
      </c>
      <c r="X228" s="2">
        <v>2016</v>
      </c>
      <c r="Y228" s="5" t="s">
        <v>7670</v>
      </c>
    </row>
    <row r="229" spans="1:25" s="28" customFormat="1" ht="89.25" customHeight="1" outlineLevel="1" x14ac:dyDescent="0.25">
      <c r="B229" s="2" t="s">
        <v>7623</v>
      </c>
      <c r="C229" s="5" t="s">
        <v>83</v>
      </c>
      <c r="D229" s="5" t="s">
        <v>546</v>
      </c>
      <c r="E229" s="5" t="s">
        <v>547</v>
      </c>
      <c r="F229" s="5" t="s">
        <v>548</v>
      </c>
      <c r="G229" s="5" t="s">
        <v>549</v>
      </c>
      <c r="H229" s="5" t="s">
        <v>88</v>
      </c>
      <c r="I229" s="27">
        <v>0</v>
      </c>
      <c r="J229" s="5">
        <v>710000000</v>
      </c>
      <c r="K229" s="5" t="s">
        <v>89</v>
      </c>
      <c r="L229" s="5" t="s">
        <v>7470</v>
      </c>
      <c r="M229" s="5" t="s">
        <v>91</v>
      </c>
      <c r="N229" s="7" t="s">
        <v>92</v>
      </c>
      <c r="O229" s="7" t="s">
        <v>93</v>
      </c>
      <c r="P229" s="7" t="s">
        <v>673</v>
      </c>
      <c r="Q229" s="15">
        <v>166</v>
      </c>
      <c r="R229" s="5" t="s">
        <v>111</v>
      </c>
      <c r="S229" s="9">
        <v>542.5</v>
      </c>
      <c r="T229" s="9">
        <v>962.91</v>
      </c>
      <c r="U229" s="9">
        <f t="shared" ref="U229" si="167">T229*S229</f>
        <v>522378.67499999999</v>
      </c>
      <c r="V229" s="9">
        <f t="shared" ref="V229" si="168">U229*1.12</f>
        <v>585064.11600000004</v>
      </c>
      <c r="W229" s="2"/>
      <c r="X229" s="2">
        <v>2016</v>
      </c>
      <c r="Y229" s="5"/>
    </row>
    <row r="230" spans="1:25" s="28" customFormat="1" ht="89.25" customHeight="1" outlineLevel="1" x14ac:dyDescent="0.2">
      <c r="A230" s="26"/>
      <c r="B230" s="2" t="s">
        <v>550</v>
      </c>
      <c r="C230" s="5" t="s">
        <v>83</v>
      </c>
      <c r="D230" s="5" t="s">
        <v>551</v>
      </c>
      <c r="E230" s="5" t="s">
        <v>552</v>
      </c>
      <c r="F230" s="5" t="s">
        <v>312</v>
      </c>
      <c r="G230" s="5" t="s">
        <v>553</v>
      </c>
      <c r="H230" s="5" t="s">
        <v>88</v>
      </c>
      <c r="I230" s="27">
        <v>0.5</v>
      </c>
      <c r="J230" s="5">
        <v>710000000</v>
      </c>
      <c r="K230" s="5" t="s">
        <v>89</v>
      </c>
      <c r="L230" s="5" t="s">
        <v>90</v>
      </c>
      <c r="M230" s="5" t="s">
        <v>91</v>
      </c>
      <c r="N230" s="7" t="s">
        <v>92</v>
      </c>
      <c r="O230" s="7" t="s">
        <v>93</v>
      </c>
      <c r="P230" s="7" t="s">
        <v>94</v>
      </c>
      <c r="Q230" s="15">
        <v>166</v>
      </c>
      <c r="R230" s="5" t="s">
        <v>111</v>
      </c>
      <c r="S230" s="9">
        <v>542.5</v>
      </c>
      <c r="T230" s="9">
        <v>962.91</v>
      </c>
      <c r="U230" s="9">
        <v>0</v>
      </c>
      <c r="V230" s="9">
        <f t="shared" si="166"/>
        <v>0</v>
      </c>
      <c r="W230" s="2" t="s">
        <v>97</v>
      </c>
      <c r="X230" s="2">
        <v>2016</v>
      </c>
      <c r="Y230" s="5" t="s">
        <v>7670</v>
      </c>
    </row>
    <row r="231" spans="1:25" s="28" customFormat="1" ht="89.25" customHeight="1" outlineLevel="1" x14ac:dyDescent="0.25">
      <c r="B231" s="2" t="s">
        <v>7624</v>
      </c>
      <c r="C231" s="5" t="s">
        <v>83</v>
      </c>
      <c r="D231" s="5" t="s">
        <v>551</v>
      </c>
      <c r="E231" s="5" t="s">
        <v>552</v>
      </c>
      <c r="F231" s="5" t="s">
        <v>312</v>
      </c>
      <c r="G231" s="5" t="s">
        <v>553</v>
      </c>
      <c r="H231" s="5" t="s">
        <v>88</v>
      </c>
      <c r="I231" s="27">
        <v>0</v>
      </c>
      <c r="J231" s="5">
        <v>710000000</v>
      </c>
      <c r="K231" s="5" t="s">
        <v>89</v>
      </c>
      <c r="L231" s="5" t="s">
        <v>7470</v>
      </c>
      <c r="M231" s="5" t="s">
        <v>91</v>
      </c>
      <c r="N231" s="7" t="s">
        <v>92</v>
      </c>
      <c r="O231" s="7" t="s">
        <v>93</v>
      </c>
      <c r="P231" s="7" t="s">
        <v>673</v>
      </c>
      <c r="Q231" s="15">
        <v>166</v>
      </c>
      <c r="R231" s="5" t="s">
        <v>111</v>
      </c>
      <c r="S231" s="9">
        <v>542.5</v>
      </c>
      <c r="T231" s="9">
        <v>962.91</v>
      </c>
      <c r="U231" s="9">
        <f t="shared" ref="U231" si="169">T231*S231</f>
        <v>522378.67499999999</v>
      </c>
      <c r="V231" s="9">
        <f t="shared" ref="V231" si="170">U231*1.12</f>
        <v>585064.11600000004</v>
      </c>
      <c r="W231" s="2"/>
      <c r="X231" s="2">
        <v>2016</v>
      </c>
      <c r="Y231" s="5"/>
    </row>
    <row r="232" spans="1:25" s="28" customFormat="1" ht="89.25" customHeight="1" outlineLevel="1" x14ac:dyDescent="0.2">
      <c r="A232" s="26"/>
      <c r="B232" s="2" t="s">
        <v>554</v>
      </c>
      <c r="C232" s="5" t="s">
        <v>83</v>
      </c>
      <c r="D232" s="5" t="s">
        <v>555</v>
      </c>
      <c r="E232" s="5" t="s">
        <v>556</v>
      </c>
      <c r="F232" s="5" t="s">
        <v>451</v>
      </c>
      <c r="G232" s="5" t="s">
        <v>557</v>
      </c>
      <c r="H232" s="5" t="s">
        <v>88</v>
      </c>
      <c r="I232" s="27">
        <v>0.5</v>
      </c>
      <c r="J232" s="5">
        <v>710000000</v>
      </c>
      <c r="K232" s="5" t="s">
        <v>89</v>
      </c>
      <c r="L232" s="5" t="s">
        <v>90</v>
      </c>
      <c r="M232" s="5" t="s">
        <v>91</v>
      </c>
      <c r="N232" s="7" t="s">
        <v>92</v>
      </c>
      <c r="O232" s="7" t="s">
        <v>93</v>
      </c>
      <c r="P232" s="7" t="s">
        <v>94</v>
      </c>
      <c r="Q232" s="15">
        <v>166</v>
      </c>
      <c r="R232" s="5" t="s">
        <v>111</v>
      </c>
      <c r="S232" s="9">
        <v>542.5</v>
      </c>
      <c r="T232" s="9">
        <v>962.91</v>
      </c>
      <c r="U232" s="9">
        <v>0</v>
      </c>
      <c r="V232" s="9">
        <f t="shared" si="166"/>
        <v>0</v>
      </c>
      <c r="W232" s="2" t="s">
        <v>97</v>
      </c>
      <c r="X232" s="2">
        <v>2016</v>
      </c>
      <c r="Y232" s="5" t="s">
        <v>7670</v>
      </c>
    </row>
    <row r="233" spans="1:25" s="28" customFormat="1" ht="89.25" customHeight="1" outlineLevel="1" x14ac:dyDescent="0.25">
      <c r="B233" s="2" t="s">
        <v>7625</v>
      </c>
      <c r="C233" s="5" t="s">
        <v>83</v>
      </c>
      <c r="D233" s="5" t="s">
        <v>555</v>
      </c>
      <c r="E233" s="5" t="s">
        <v>556</v>
      </c>
      <c r="F233" s="5" t="s">
        <v>451</v>
      </c>
      <c r="G233" s="5" t="s">
        <v>557</v>
      </c>
      <c r="H233" s="5" t="s">
        <v>88</v>
      </c>
      <c r="I233" s="27">
        <v>0</v>
      </c>
      <c r="J233" s="5">
        <v>710000000</v>
      </c>
      <c r="K233" s="5" t="s">
        <v>89</v>
      </c>
      <c r="L233" s="5" t="s">
        <v>90</v>
      </c>
      <c r="M233" s="5" t="s">
        <v>91</v>
      </c>
      <c r="N233" s="7" t="s">
        <v>92</v>
      </c>
      <c r="O233" s="7" t="s">
        <v>93</v>
      </c>
      <c r="P233" s="7" t="s">
        <v>673</v>
      </c>
      <c r="Q233" s="15">
        <v>166</v>
      </c>
      <c r="R233" s="5" t="s">
        <v>111</v>
      </c>
      <c r="S233" s="9">
        <v>542.5</v>
      </c>
      <c r="T233" s="9">
        <v>962.91</v>
      </c>
      <c r="U233" s="9">
        <f t="shared" ref="U233" si="171">T233*S233</f>
        <v>522378.67499999999</v>
      </c>
      <c r="V233" s="9">
        <f t="shared" ref="V233" si="172">U233*1.12</f>
        <v>585064.11600000004</v>
      </c>
      <c r="W233" s="2"/>
      <c r="X233" s="2">
        <v>2016</v>
      </c>
      <c r="Y233" s="5"/>
    </row>
    <row r="234" spans="1:25" s="28" customFormat="1" ht="89.25" customHeight="1" outlineLevel="1" x14ac:dyDescent="0.2">
      <c r="A234" s="26"/>
      <c r="B234" s="2" t="s">
        <v>558</v>
      </c>
      <c r="C234" s="5" t="s">
        <v>83</v>
      </c>
      <c r="D234" s="5" t="s">
        <v>555</v>
      </c>
      <c r="E234" s="5" t="s">
        <v>556</v>
      </c>
      <c r="F234" s="5" t="s">
        <v>451</v>
      </c>
      <c r="G234" s="5" t="s">
        <v>559</v>
      </c>
      <c r="H234" s="5" t="s">
        <v>88</v>
      </c>
      <c r="I234" s="27">
        <v>0.5</v>
      </c>
      <c r="J234" s="5">
        <v>710000000</v>
      </c>
      <c r="K234" s="5" t="s">
        <v>89</v>
      </c>
      <c r="L234" s="5" t="s">
        <v>90</v>
      </c>
      <c r="M234" s="5" t="s">
        <v>91</v>
      </c>
      <c r="N234" s="7" t="s">
        <v>92</v>
      </c>
      <c r="O234" s="7" t="s">
        <v>93</v>
      </c>
      <c r="P234" s="7" t="s">
        <v>94</v>
      </c>
      <c r="Q234" s="15">
        <v>166</v>
      </c>
      <c r="R234" s="5" t="s">
        <v>111</v>
      </c>
      <c r="S234" s="9">
        <v>542.5</v>
      </c>
      <c r="T234" s="9">
        <v>962.91</v>
      </c>
      <c r="U234" s="9">
        <v>0</v>
      </c>
      <c r="V234" s="9">
        <f t="shared" si="166"/>
        <v>0</v>
      </c>
      <c r="W234" s="2" t="s">
        <v>97</v>
      </c>
      <c r="X234" s="2">
        <v>2016</v>
      </c>
      <c r="Y234" s="5" t="s">
        <v>7670</v>
      </c>
    </row>
    <row r="235" spans="1:25" s="28" customFormat="1" ht="89.25" customHeight="1" outlineLevel="1" x14ac:dyDescent="0.25">
      <c r="B235" s="2" t="s">
        <v>7626</v>
      </c>
      <c r="C235" s="5" t="s">
        <v>83</v>
      </c>
      <c r="D235" s="5" t="s">
        <v>555</v>
      </c>
      <c r="E235" s="5" t="s">
        <v>556</v>
      </c>
      <c r="F235" s="5" t="s">
        <v>451</v>
      </c>
      <c r="G235" s="5" t="s">
        <v>559</v>
      </c>
      <c r="H235" s="5" t="s">
        <v>88</v>
      </c>
      <c r="I235" s="27">
        <v>0</v>
      </c>
      <c r="J235" s="5">
        <v>710000000</v>
      </c>
      <c r="K235" s="5" t="s">
        <v>89</v>
      </c>
      <c r="L235" s="5" t="s">
        <v>7470</v>
      </c>
      <c r="M235" s="5" t="s">
        <v>91</v>
      </c>
      <c r="N235" s="7" t="s">
        <v>92</v>
      </c>
      <c r="O235" s="7" t="s">
        <v>93</v>
      </c>
      <c r="P235" s="7" t="s">
        <v>673</v>
      </c>
      <c r="Q235" s="15">
        <v>166</v>
      </c>
      <c r="R235" s="5" t="s">
        <v>111</v>
      </c>
      <c r="S235" s="9">
        <v>542.5</v>
      </c>
      <c r="T235" s="9">
        <v>962.91</v>
      </c>
      <c r="U235" s="9">
        <f t="shared" ref="U235" si="173">T235*S235</f>
        <v>522378.67499999999</v>
      </c>
      <c r="V235" s="9">
        <f t="shared" ref="V235" si="174">U235*1.12</f>
        <v>585064.11600000004</v>
      </c>
      <c r="W235" s="2"/>
      <c r="X235" s="2">
        <v>2016</v>
      </c>
      <c r="Y235" s="5"/>
    </row>
    <row r="236" spans="1:25" s="28" customFormat="1" ht="89.25" customHeight="1" outlineLevel="1" x14ac:dyDescent="0.2">
      <c r="A236" s="26"/>
      <c r="B236" s="2" t="s">
        <v>560</v>
      </c>
      <c r="C236" s="5" t="s">
        <v>83</v>
      </c>
      <c r="D236" s="5" t="s">
        <v>561</v>
      </c>
      <c r="E236" s="5" t="s">
        <v>562</v>
      </c>
      <c r="F236" s="5" t="s">
        <v>563</v>
      </c>
      <c r="G236" s="5" t="s">
        <v>564</v>
      </c>
      <c r="H236" s="5" t="s">
        <v>88</v>
      </c>
      <c r="I236" s="27">
        <v>0.5</v>
      </c>
      <c r="J236" s="5">
        <v>710000000</v>
      </c>
      <c r="K236" s="5" t="s">
        <v>89</v>
      </c>
      <c r="L236" s="5" t="s">
        <v>90</v>
      </c>
      <c r="M236" s="5" t="s">
        <v>91</v>
      </c>
      <c r="N236" s="7" t="s">
        <v>92</v>
      </c>
      <c r="O236" s="7" t="s">
        <v>93</v>
      </c>
      <c r="P236" s="7" t="s">
        <v>94</v>
      </c>
      <c r="Q236" s="15" t="s">
        <v>228</v>
      </c>
      <c r="R236" s="5" t="s">
        <v>229</v>
      </c>
      <c r="S236" s="9">
        <v>244</v>
      </c>
      <c r="T236" s="9">
        <v>267.08999999999997</v>
      </c>
      <c r="U236" s="9">
        <v>0</v>
      </c>
      <c r="V236" s="9">
        <f t="shared" ref="V236:V243" si="175">U236*1.12</f>
        <v>0</v>
      </c>
      <c r="W236" s="2" t="s">
        <v>97</v>
      </c>
      <c r="X236" s="2">
        <v>2016</v>
      </c>
      <c r="Y236" s="5" t="s">
        <v>7670</v>
      </c>
    </row>
    <row r="237" spans="1:25" s="28" customFormat="1" ht="89.25" customHeight="1" outlineLevel="1" x14ac:dyDescent="0.25">
      <c r="B237" s="2" t="s">
        <v>7627</v>
      </c>
      <c r="C237" s="5" t="s">
        <v>83</v>
      </c>
      <c r="D237" s="5" t="s">
        <v>561</v>
      </c>
      <c r="E237" s="5" t="s">
        <v>562</v>
      </c>
      <c r="F237" s="5" t="s">
        <v>563</v>
      </c>
      <c r="G237" s="5" t="s">
        <v>564</v>
      </c>
      <c r="H237" s="5" t="s">
        <v>88</v>
      </c>
      <c r="I237" s="27">
        <v>0</v>
      </c>
      <c r="J237" s="5">
        <v>710000000</v>
      </c>
      <c r="K237" s="5" t="s">
        <v>89</v>
      </c>
      <c r="L237" s="5" t="s">
        <v>7470</v>
      </c>
      <c r="M237" s="5" t="s">
        <v>91</v>
      </c>
      <c r="N237" s="7" t="s">
        <v>92</v>
      </c>
      <c r="O237" s="7" t="s">
        <v>93</v>
      </c>
      <c r="P237" s="7" t="s">
        <v>673</v>
      </c>
      <c r="Q237" s="15" t="s">
        <v>228</v>
      </c>
      <c r="R237" s="5" t="s">
        <v>229</v>
      </c>
      <c r="S237" s="9">
        <v>244</v>
      </c>
      <c r="T237" s="9">
        <v>267.08999999999997</v>
      </c>
      <c r="U237" s="9">
        <f>T237*S237</f>
        <v>65169.959999999992</v>
      </c>
      <c r="V237" s="9">
        <f t="shared" si="175"/>
        <v>72990.355199999991</v>
      </c>
      <c r="W237" s="2"/>
      <c r="X237" s="2">
        <v>2016</v>
      </c>
      <c r="Y237" s="5"/>
    </row>
    <row r="238" spans="1:25" s="28" customFormat="1" ht="89.25" customHeight="1" outlineLevel="1" x14ac:dyDescent="0.2">
      <c r="A238" s="26"/>
      <c r="B238" s="2" t="s">
        <v>565</v>
      </c>
      <c r="C238" s="5" t="s">
        <v>83</v>
      </c>
      <c r="D238" s="5" t="s">
        <v>566</v>
      </c>
      <c r="E238" s="5" t="s">
        <v>121</v>
      </c>
      <c r="F238" s="5" t="s">
        <v>567</v>
      </c>
      <c r="G238" s="5" t="s">
        <v>568</v>
      </c>
      <c r="H238" s="5" t="s">
        <v>88</v>
      </c>
      <c r="I238" s="27">
        <v>0.5</v>
      </c>
      <c r="J238" s="5">
        <v>710000000</v>
      </c>
      <c r="K238" s="5" t="s">
        <v>89</v>
      </c>
      <c r="L238" s="5" t="s">
        <v>90</v>
      </c>
      <c r="M238" s="5" t="s">
        <v>91</v>
      </c>
      <c r="N238" s="7" t="s">
        <v>92</v>
      </c>
      <c r="O238" s="7" t="s">
        <v>93</v>
      </c>
      <c r="P238" s="7" t="s">
        <v>94</v>
      </c>
      <c r="Q238" s="15" t="s">
        <v>95</v>
      </c>
      <c r="R238" s="5" t="s">
        <v>96</v>
      </c>
      <c r="S238" s="9">
        <v>3977</v>
      </c>
      <c r="T238" s="9">
        <v>342.37</v>
      </c>
      <c r="U238" s="9">
        <v>0</v>
      </c>
      <c r="V238" s="9">
        <f t="shared" si="175"/>
        <v>0</v>
      </c>
      <c r="W238" s="2" t="s">
        <v>97</v>
      </c>
      <c r="X238" s="2">
        <v>2016</v>
      </c>
      <c r="Y238" s="5" t="s">
        <v>7670</v>
      </c>
    </row>
    <row r="239" spans="1:25" s="28" customFormat="1" ht="89.25" customHeight="1" outlineLevel="1" x14ac:dyDescent="0.25">
      <c r="B239" s="2" t="s">
        <v>7628</v>
      </c>
      <c r="C239" s="5" t="s">
        <v>83</v>
      </c>
      <c r="D239" s="5" t="s">
        <v>566</v>
      </c>
      <c r="E239" s="5" t="s">
        <v>121</v>
      </c>
      <c r="F239" s="5" t="s">
        <v>567</v>
      </c>
      <c r="G239" s="5" t="s">
        <v>568</v>
      </c>
      <c r="H239" s="5" t="s">
        <v>88</v>
      </c>
      <c r="I239" s="27">
        <v>0</v>
      </c>
      <c r="J239" s="5">
        <v>710000000</v>
      </c>
      <c r="K239" s="5" t="s">
        <v>89</v>
      </c>
      <c r="L239" s="5" t="s">
        <v>7470</v>
      </c>
      <c r="M239" s="5" t="s">
        <v>91</v>
      </c>
      <c r="N239" s="7" t="s">
        <v>92</v>
      </c>
      <c r="O239" s="7" t="s">
        <v>93</v>
      </c>
      <c r="P239" s="7" t="s">
        <v>673</v>
      </c>
      <c r="Q239" s="15" t="s">
        <v>95</v>
      </c>
      <c r="R239" s="5" t="s">
        <v>96</v>
      </c>
      <c r="S239" s="9">
        <v>3977</v>
      </c>
      <c r="T239" s="9">
        <v>342.37</v>
      </c>
      <c r="U239" s="9">
        <f>T239*S239</f>
        <v>1361605.49</v>
      </c>
      <c r="V239" s="9">
        <f t="shared" si="175"/>
        <v>1524998.1488000001</v>
      </c>
      <c r="W239" s="2"/>
      <c r="X239" s="2">
        <v>2016</v>
      </c>
      <c r="Y239" s="5"/>
    </row>
    <row r="240" spans="1:25" s="28" customFormat="1" ht="89.25" customHeight="1" outlineLevel="1" x14ac:dyDescent="0.2">
      <c r="A240" s="26"/>
      <c r="B240" s="2" t="s">
        <v>569</v>
      </c>
      <c r="C240" s="5" t="s">
        <v>83</v>
      </c>
      <c r="D240" s="5" t="s">
        <v>570</v>
      </c>
      <c r="E240" s="5" t="s">
        <v>571</v>
      </c>
      <c r="F240" s="5" t="s">
        <v>572</v>
      </c>
      <c r="G240" s="5" t="s">
        <v>573</v>
      </c>
      <c r="H240" s="5" t="s">
        <v>88</v>
      </c>
      <c r="I240" s="27">
        <v>0.5</v>
      </c>
      <c r="J240" s="5">
        <v>710000000</v>
      </c>
      <c r="K240" s="5" t="s">
        <v>89</v>
      </c>
      <c r="L240" s="5" t="s">
        <v>90</v>
      </c>
      <c r="M240" s="5" t="s">
        <v>91</v>
      </c>
      <c r="N240" s="7" t="s">
        <v>92</v>
      </c>
      <c r="O240" s="7" t="s">
        <v>93</v>
      </c>
      <c r="P240" s="7" t="s">
        <v>94</v>
      </c>
      <c r="Q240" s="15">
        <v>166</v>
      </c>
      <c r="R240" s="5" t="s">
        <v>111</v>
      </c>
      <c r="S240" s="9">
        <v>686</v>
      </c>
      <c r="T240" s="9">
        <v>342.33</v>
      </c>
      <c r="U240" s="9">
        <v>0</v>
      </c>
      <c r="V240" s="9">
        <f t="shared" si="175"/>
        <v>0</v>
      </c>
      <c r="W240" s="2" t="s">
        <v>97</v>
      </c>
      <c r="X240" s="2">
        <v>2016</v>
      </c>
      <c r="Y240" s="5" t="s">
        <v>7670</v>
      </c>
    </row>
    <row r="241" spans="1:25" s="28" customFormat="1" ht="89.25" customHeight="1" outlineLevel="1" x14ac:dyDescent="0.25">
      <c r="B241" s="2" t="s">
        <v>7629</v>
      </c>
      <c r="C241" s="5" t="s">
        <v>83</v>
      </c>
      <c r="D241" s="5" t="s">
        <v>570</v>
      </c>
      <c r="E241" s="5" t="s">
        <v>571</v>
      </c>
      <c r="F241" s="5" t="s">
        <v>572</v>
      </c>
      <c r="G241" s="5" t="s">
        <v>573</v>
      </c>
      <c r="H241" s="5" t="s">
        <v>88</v>
      </c>
      <c r="I241" s="27">
        <v>0</v>
      </c>
      <c r="J241" s="5">
        <v>710000000</v>
      </c>
      <c r="K241" s="5" t="s">
        <v>89</v>
      </c>
      <c r="L241" s="5" t="s">
        <v>7470</v>
      </c>
      <c r="M241" s="5" t="s">
        <v>91</v>
      </c>
      <c r="N241" s="7" t="s">
        <v>92</v>
      </c>
      <c r="O241" s="7" t="s">
        <v>93</v>
      </c>
      <c r="P241" s="7" t="s">
        <v>673</v>
      </c>
      <c r="Q241" s="15">
        <v>166</v>
      </c>
      <c r="R241" s="5" t="s">
        <v>111</v>
      </c>
      <c r="S241" s="9">
        <v>686</v>
      </c>
      <c r="T241" s="9">
        <v>342.33</v>
      </c>
      <c r="U241" s="9">
        <f>T241*S241</f>
        <v>234838.37999999998</v>
      </c>
      <c r="V241" s="9">
        <f t="shared" si="175"/>
        <v>263018.98560000001</v>
      </c>
      <c r="W241" s="2"/>
      <c r="X241" s="2">
        <v>2016</v>
      </c>
      <c r="Y241" s="5"/>
    </row>
    <row r="242" spans="1:25" s="28" customFormat="1" ht="89.25" customHeight="1" outlineLevel="1" x14ac:dyDescent="0.2">
      <c r="A242" s="26"/>
      <c r="B242" s="2" t="s">
        <v>574</v>
      </c>
      <c r="C242" s="5" t="s">
        <v>83</v>
      </c>
      <c r="D242" s="5" t="s">
        <v>575</v>
      </c>
      <c r="E242" s="5" t="s">
        <v>576</v>
      </c>
      <c r="F242" s="5" t="s">
        <v>577</v>
      </c>
      <c r="G242" s="5" t="s">
        <v>578</v>
      </c>
      <c r="H242" s="5" t="s">
        <v>88</v>
      </c>
      <c r="I242" s="27">
        <v>0.5</v>
      </c>
      <c r="J242" s="5">
        <v>710000000</v>
      </c>
      <c r="K242" s="5" t="s">
        <v>89</v>
      </c>
      <c r="L242" s="5" t="s">
        <v>90</v>
      </c>
      <c r="M242" s="5" t="s">
        <v>91</v>
      </c>
      <c r="N242" s="7" t="s">
        <v>92</v>
      </c>
      <c r="O242" s="7" t="s">
        <v>93</v>
      </c>
      <c r="P242" s="7" t="s">
        <v>94</v>
      </c>
      <c r="Q242" s="15">
        <v>166</v>
      </c>
      <c r="R242" s="5" t="s">
        <v>111</v>
      </c>
      <c r="S242" s="9">
        <v>5514</v>
      </c>
      <c r="T242" s="9">
        <v>337.03</v>
      </c>
      <c r="U242" s="9">
        <v>0</v>
      </c>
      <c r="V242" s="9">
        <f t="shared" si="175"/>
        <v>0</v>
      </c>
      <c r="W242" s="2" t="s">
        <v>97</v>
      </c>
      <c r="X242" s="2">
        <v>2016</v>
      </c>
      <c r="Y242" s="5" t="s">
        <v>7670</v>
      </c>
    </row>
    <row r="243" spans="1:25" s="28" customFormat="1" ht="89.25" customHeight="1" outlineLevel="1" x14ac:dyDescent="0.25">
      <c r="B243" s="2" t="s">
        <v>7630</v>
      </c>
      <c r="C243" s="5" t="s">
        <v>83</v>
      </c>
      <c r="D243" s="5" t="s">
        <v>575</v>
      </c>
      <c r="E243" s="5" t="s">
        <v>576</v>
      </c>
      <c r="F243" s="5" t="s">
        <v>577</v>
      </c>
      <c r="G243" s="5" t="s">
        <v>578</v>
      </c>
      <c r="H243" s="5" t="s">
        <v>88</v>
      </c>
      <c r="I243" s="27">
        <v>0</v>
      </c>
      <c r="J243" s="5">
        <v>710000000</v>
      </c>
      <c r="K243" s="5" t="s">
        <v>89</v>
      </c>
      <c r="L243" s="5" t="s">
        <v>7470</v>
      </c>
      <c r="M243" s="5" t="s">
        <v>91</v>
      </c>
      <c r="N243" s="7" t="s">
        <v>92</v>
      </c>
      <c r="O243" s="7" t="s">
        <v>93</v>
      </c>
      <c r="P243" s="7" t="s">
        <v>673</v>
      </c>
      <c r="Q243" s="15">
        <v>166</v>
      </c>
      <c r="R243" s="5" t="s">
        <v>111</v>
      </c>
      <c r="S243" s="9">
        <v>5514</v>
      </c>
      <c r="T243" s="9">
        <v>337.03</v>
      </c>
      <c r="U243" s="9">
        <f>T243*S243</f>
        <v>1858383.42</v>
      </c>
      <c r="V243" s="9">
        <f t="shared" si="175"/>
        <v>2081389.4304000002</v>
      </c>
      <c r="W243" s="2"/>
      <c r="X243" s="2">
        <v>2016</v>
      </c>
      <c r="Y243" s="5"/>
    </row>
    <row r="244" spans="1:25" s="28" customFormat="1" ht="89.25" customHeight="1" outlineLevel="1" x14ac:dyDescent="0.2">
      <c r="A244" s="26"/>
      <c r="B244" s="2" t="s">
        <v>579</v>
      </c>
      <c r="C244" s="5" t="s">
        <v>83</v>
      </c>
      <c r="D244" s="5" t="s">
        <v>580</v>
      </c>
      <c r="E244" s="5" t="s">
        <v>581</v>
      </c>
      <c r="F244" s="5" t="s">
        <v>582</v>
      </c>
      <c r="G244" s="5" t="s">
        <v>583</v>
      </c>
      <c r="H244" s="5" t="s">
        <v>88</v>
      </c>
      <c r="I244" s="27">
        <v>0.5</v>
      </c>
      <c r="J244" s="5">
        <v>710000000</v>
      </c>
      <c r="K244" s="5" t="s">
        <v>89</v>
      </c>
      <c r="L244" s="5" t="s">
        <v>90</v>
      </c>
      <c r="M244" s="5" t="s">
        <v>91</v>
      </c>
      <c r="N244" s="7" t="s">
        <v>92</v>
      </c>
      <c r="O244" s="7" t="s">
        <v>93</v>
      </c>
      <c r="P244" s="7" t="s">
        <v>94</v>
      </c>
      <c r="Q244" s="15" t="s">
        <v>584</v>
      </c>
      <c r="R244" s="5" t="s">
        <v>585</v>
      </c>
      <c r="S244" s="9">
        <v>35</v>
      </c>
      <c r="T244" s="9">
        <v>193.5</v>
      </c>
      <c r="U244" s="9">
        <v>0</v>
      </c>
      <c r="V244" s="9">
        <f t="shared" si="161"/>
        <v>0</v>
      </c>
      <c r="W244" s="2" t="s">
        <v>97</v>
      </c>
      <c r="X244" s="2">
        <v>2016</v>
      </c>
      <c r="Y244" s="5" t="s">
        <v>7670</v>
      </c>
    </row>
    <row r="245" spans="1:25" s="28" customFormat="1" ht="89.25" customHeight="1" outlineLevel="1" x14ac:dyDescent="0.25">
      <c r="B245" s="2" t="s">
        <v>7631</v>
      </c>
      <c r="C245" s="5" t="s">
        <v>83</v>
      </c>
      <c r="D245" s="5" t="s">
        <v>580</v>
      </c>
      <c r="E245" s="5" t="s">
        <v>581</v>
      </c>
      <c r="F245" s="5" t="s">
        <v>582</v>
      </c>
      <c r="G245" s="5" t="s">
        <v>583</v>
      </c>
      <c r="H245" s="5" t="s">
        <v>88</v>
      </c>
      <c r="I245" s="27">
        <v>0</v>
      </c>
      <c r="J245" s="5">
        <v>710000000</v>
      </c>
      <c r="K245" s="5" t="s">
        <v>89</v>
      </c>
      <c r="L245" s="5" t="s">
        <v>7470</v>
      </c>
      <c r="M245" s="5" t="s">
        <v>91</v>
      </c>
      <c r="N245" s="7" t="s">
        <v>92</v>
      </c>
      <c r="O245" s="7" t="s">
        <v>93</v>
      </c>
      <c r="P245" s="7" t="s">
        <v>673</v>
      </c>
      <c r="Q245" s="15" t="s">
        <v>584</v>
      </c>
      <c r="R245" s="5" t="s">
        <v>585</v>
      </c>
      <c r="S245" s="9">
        <v>35</v>
      </c>
      <c r="T245" s="9">
        <v>193.5</v>
      </c>
      <c r="U245" s="9">
        <f t="shared" ref="U245" si="176">T245*S245</f>
        <v>6772.5</v>
      </c>
      <c r="V245" s="9">
        <f t="shared" ref="V245" si="177">U245*1.12</f>
        <v>7585.2000000000007</v>
      </c>
      <c r="W245" s="2"/>
      <c r="X245" s="2">
        <v>2016</v>
      </c>
      <c r="Y245" s="5"/>
    </row>
    <row r="246" spans="1:25" s="28" customFormat="1" ht="89.25" customHeight="1" outlineLevel="1" x14ac:dyDescent="0.2">
      <c r="A246" s="26"/>
      <c r="B246" s="2" t="s">
        <v>586</v>
      </c>
      <c r="C246" s="5" t="s">
        <v>83</v>
      </c>
      <c r="D246" s="5" t="s">
        <v>587</v>
      </c>
      <c r="E246" s="5" t="s">
        <v>588</v>
      </c>
      <c r="F246" s="5" t="s">
        <v>589</v>
      </c>
      <c r="G246" s="5" t="s">
        <v>590</v>
      </c>
      <c r="H246" s="5" t="s">
        <v>88</v>
      </c>
      <c r="I246" s="27">
        <v>0.5</v>
      </c>
      <c r="J246" s="5">
        <v>710000000</v>
      </c>
      <c r="K246" s="5" t="s">
        <v>89</v>
      </c>
      <c r="L246" s="5" t="s">
        <v>90</v>
      </c>
      <c r="M246" s="5" t="s">
        <v>91</v>
      </c>
      <c r="N246" s="7" t="s">
        <v>92</v>
      </c>
      <c r="O246" s="7" t="s">
        <v>93</v>
      </c>
      <c r="P246" s="7" t="s">
        <v>94</v>
      </c>
      <c r="Q246" s="15">
        <v>166</v>
      </c>
      <c r="R246" s="5" t="s">
        <v>111</v>
      </c>
      <c r="S246" s="9">
        <v>830</v>
      </c>
      <c r="T246" s="9">
        <v>48.13</v>
      </c>
      <c r="U246" s="9">
        <v>0</v>
      </c>
      <c r="V246" s="9">
        <f t="shared" si="161"/>
        <v>0</v>
      </c>
      <c r="W246" s="2" t="s">
        <v>97</v>
      </c>
      <c r="X246" s="2">
        <v>2016</v>
      </c>
      <c r="Y246" s="5" t="s">
        <v>7670</v>
      </c>
    </row>
    <row r="247" spans="1:25" s="28" customFormat="1" ht="89.25" customHeight="1" outlineLevel="1" x14ac:dyDescent="0.25">
      <c r="B247" s="2" t="s">
        <v>7632</v>
      </c>
      <c r="C247" s="5" t="s">
        <v>83</v>
      </c>
      <c r="D247" s="5" t="s">
        <v>587</v>
      </c>
      <c r="E247" s="5" t="s">
        <v>588</v>
      </c>
      <c r="F247" s="5" t="s">
        <v>589</v>
      </c>
      <c r="G247" s="5" t="s">
        <v>590</v>
      </c>
      <c r="H247" s="5" t="s">
        <v>88</v>
      </c>
      <c r="I247" s="27">
        <v>0</v>
      </c>
      <c r="J247" s="5">
        <v>710000000</v>
      </c>
      <c r="K247" s="5" t="s">
        <v>89</v>
      </c>
      <c r="L247" s="5" t="s">
        <v>7470</v>
      </c>
      <c r="M247" s="5" t="s">
        <v>91</v>
      </c>
      <c r="N247" s="7" t="s">
        <v>92</v>
      </c>
      <c r="O247" s="7" t="s">
        <v>93</v>
      </c>
      <c r="P247" s="7" t="s">
        <v>673</v>
      </c>
      <c r="Q247" s="15">
        <v>166</v>
      </c>
      <c r="R247" s="5" t="s">
        <v>111</v>
      </c>
      <c r="S247" s="9">
        <v>830</v>
      </c>
      <c r="T247" s="9">
        <v>48.13</v>
      </c>
      <c r="U247" s="9">
        <f t="shared" ref="U247" si="178">T247*S247</f>
        <v>39947.9</v>
      </c>
      <c r="V247" s="9">
        <f t="shared" ref="V247" si="179">U247*1.12</f>
        <v>44741.648000000008</v>
      </c>
      <c r="W247" s="2"/>
      <c r="X247" s="2">
        <v>2016</v>
      </c>
      <c r="Y247" s="5"/>
    </row>
    <row r="248" spans="1:25" s="28" customFormat="1" ht="89.25" customHeight="1" outlineLevel="1" x14ac:dyDescent="0.2">
      <c r="A248" s="26"/>
      <c r="B248" s="2" t="s">
        <v>591</v>
      </c>
      <c r="C248" s="5" t="s">
        <v>83</v>
      </c>
      <c r="D248" s="5" t="s">
        <v>592</v>
      </c>
      <c r="E248" s="5" t="s">
        <v>593</v>
      </c>
      <c r="F248" s="5" t="s">
        <v>594</v>
      </c>
      <c r="G248" s="5" t="s">
        <v>595</v>
      </c>
      <c r="H248" s="5" t="s">
        <v>88</v>
      </c>
      <c r="I248" s="27">
        <v>0.5</v>
      </c>
      <c r="J248" s="5">
        <v>710000000</v>
      </c>
      <c r="K248" s="5" t="s">
        <v>89</v>
      </c>
      <c r="L248" s="5" t="s">
        <v>90</v>
      </c>
      <c r="M248" s="5" t="s">
        <v>91</v>
      </c>
      <c r="N248" s="7" t="s">
        <v>92</v>
      </c>
      <c r="O248" s="7" t="s">
        <v>93</v>
      </c>
      <c r="P248" s="7" t="s">
        <v>94</v>
      </c>
      <c r="Q248" s="15">
        <v>166</v>
      </c>
      <c r="R248" s="5" t="s">
        <v>111</v>
      </c>
      <c r="S248" s="9">
        <v>722</v>
      </c>
      <c r="T248" s="9">
        <v>396.13</v>
      </c>
      <c r="U248" s="9">
        <v>0</v>
      </c>
      <c r="V248" s="9">
        <f t="shared" si="161"/>
        <v>0</v>
      </c>
      <c r="W248" s="2" t="s">
        <v>97</v>
      </c>
      <c r="X248" s="2">
        <v>2016</v>
      </c>
      <c r="Y248" s="5" t="s">
        <v>7670</v>
      </c>
    </row>
    <row r="249" spans="1:25" s="28" customFormat="1" ht="89.25" customHeight="1" outlineLevel="1" x14ac:dyDescent="0.25">
      <c r="B249" s="2" t="s">
        <v>7633</v>
      </c>
      <c r="C249" s="5" t="s">
        <v>83</v>
      </c>
      <c r="D249" s="5" t="s">
        <v>592</v>
      </c>
      <c r="E249" s="5" t="s">
        <v>593</v>
      </c>
      <c r="F249" s="5" t="s">
        <v>594</v>
      </c>
      <c r="G249" s="5" t="s">
        <v>595</v>
      </c>
      <c r="H249" s="5" t="s">
        <v>88</v>
      </c>
      <c r="I249" s="27">
        <v>0</v>
      </c>
      <c r="J249" s="5">
        <v>710000000</v>
      </c>
      <c r="K249" s="5" t="s">
        <v>89</v>
      </c>
      <c r="L249" s="5" t="s">
        <v>7470</v>
      </c>
      <c r="M249" s="5" t="s">
        <v>91</v>
      </c>
      <c r="N249" s="7" t="s">
        <v>92</v>
      </c>
      <c r="O249" s="7" t="s">
        <v>93</v>
      </c>
      <c r="P249" s="7" t="s">
        <v>673</v>
      </c>
      <c r="Q249" s="15">
        <v>166</v>
      </c>
      <c r="R249" s="5" t="s">
        <v>111</v>
      </c>
      <c r="S249" s="9">
        <v>722</v>
      </c>
      <c r="T249" s="9">
        <v>396.13</v>
      </c>
      <c r="U249" s="9">
        <f t="shared" ref="U249" si="180">T249*S249</f>
        <v>286005.86</v>
      </c>
      <c r="V249" s="9">
        <f t="shared" ref="V249" si="181">U249*1.12</f>
        <v>320326.56320000003</v>
      </c>
      <c r="W249" s="2"/>
      <c r="X249" s="2">
        <v>2016</v>
      </c>
      <c r="Y249" s="5"/>
    </row>
    <row r="250" spans="1:25" s="28" customFormat="1" ht="89.25" customHeight="1" outlineLevel="1" x14ac:dyDescent="0.2">
      <c r="A250" s="26"/>
      <c r="B250" s="2" t="s">
        <v>596</v>
      </c>
      <c r="C250" s="5" t="s">
        <v>83</v>
      </c>
      <c r="D250" s="5" t="s">
        <v>597</v>
      </c>
      <c r="E250" s="5" t="s">
        <v>598</v>
      </c>
      <c r="F250" s="5" t="s">
        <v>599</v>
      </c>
      <c r="G250" s="5" t="s">
        <v>600</v>
      </c>
      <c r="H250" s="5" t="s">
        <v>88</v>
      </c>
      <c r="I250" s="27">
        <v>0.5</v>
      </c>
      <c r="J250" s="5">
        <v>710000000</v>
      </c>
      <c r="K250" s="5" t="s">
        <v>89</v>
      </c>
      <c r="L250" s="5" t="s">
        <v>90</v>
      </c>
      <c r="M250" s="5" t="s">
        <v>91</v>
      </c>
      <c r="N250" s="7" t="s">
        <v>92</v>
      </c>
      <c r="O250" s="7" t="s">
        <v>93</v>
      </c>
      <c r="P250" s="7" t="s">
        <v>94</v>
      </c>
      <c r="Q250" s="15" t="s">
        <v>228</v>
      </c>
      <c r="R250" s="5" t="s">
        <v>229</v>
      </c>
      <c r="S250" s="9">
        <v>227</v>
      </c>
      <c r="T250" s="9">
        <v>305</v>
      </c>
      <c r="U250" s="9">
        <v>0</v>
      </c>
      <c r="V250" s="9">
        <f t="shared" ref="V250:V257" si="182">U250*1.12</f>
        <v>0</v>
      </c>
      <c r="W250" s="2" t="s">
        <v>97</v>
      </c>
      <c r="X250" s="2">
        <v>2016</v>
      </c>
      <c r="Y250" s="5" t="s">
        <v>7670</v>
      </c>
    </row>
    <row r="251" spans="1:25" s="28" customFormat="1" ht="89.25" customHeight="1" outlineLevel="1" x14ac:dyDescent="0.25">
      <c r="B251" s="2" t="s">
        <v>7634</v>
      </c>
      <c r="C251" s="5" t="s">
        <v>83</v>
      </c>
      <c r="D251" s="5" t="s">
        <v>597</v>
      </c>
      <c r="E251" s="5" t="s">
        <v>598</v>
      </c>
      <c r="F251" s="5" t="s">
        <v>599</v>
      </c>
      <c r="G251" s="5" t="s">
        <v>600</v>
      </c>
      <c r="H251" s="5" t="s">
        <v>88</v>
      </c>
      <c r="I251" s="27">
        <v>0</v>
      </c>
      <c r="J251" s="5">
        <v>710000000</v>
      </c>
      <c r="K251" s="5" t="s">
        <v>89</v>
      </c>
      <c r="L251" s="5" t="s">
        <v>7470</v>
      </c>
      <c r="M251" s="5" t="s">
        <v>91</v>
      </c>
      <c r="N251" s="7" t="s">
        <v>92</v>
      </c>
      <c r="O251" s="7" t="s">
        <v>93</v>
      </c>
      <c r="P251" s="7" t="s">
        <v>673</v>
      </c>
      <c r="Q251" s="15" t="s">
        <v>228</v>
      </c>
      <c r="R251" s="5" t="s">
        <v>229</v>
      </c>
      <c r="S251" s="9">
        <v>227</v>
      </c>
      <c r="T251" s="9">
        <v>305</v>
      </c>
      <c r="U251" s="9">
        <f>T251*S251</f>
        <v>69235</v>
      </c>
      <c r="V251" s="9">
        <f t="shared" si="182"/>
        <v>77543.200000000012</v>
      </c>
      <c r="W251" s="2"/>
      <c r="X251" s="2">
        <v>2016</v>
      </c>
      <c r="Y251" s="5"/>
    </row>
    <row r="252" spans="1:25" s="28" customFormat="1" ht="89.25" customHeight="1" outlineLevel="1" x14ac:dyDescent="0.2">
      <c r="A252" s="26"/>
      <c r="B252" s="2" t="s">
        <v>601</v>
      </c>
      <c r="C252" s="5" t="s">
        <v>83</v>
      </c>
      <c r="D252" s="5" t="s">
        <v>597</v>
      </c>
      <c r="E252" s="5" t="s">
        <v>598</v>
      </c>
      <c r="F252" s="5" t="s">
        <v>599</v>
      </c>
      <c r="G252" s="5" t="s">
        <v>602</v>
      </c>
      <c r="H252" s="5" t="s">
        <v>88</v>
      </c>
      <c r="I252" s="27">
        <v>0.5</v>
      </c>
      <c r="J252" s="5">
        <v>710000000</v>
      </c>
      <c r="K252" s="5" t="s">
        <v>89</v>
      </c>
      <c r="L252" s="5" t="s">
        <v>90</v>
      </c>
      <c r="M252" s="5" t="s">
        <v>91</v>
      </c>
      <c r="N252" s="7" t="s">
        <v>92</v>
      </c>
      <c r="O252" s="7" t="s">
        <v>93</v>
      </c>
      <c r="P252" s="7" t="s">
        <v>94</v>
      </c>
      <c r="Q252" s="15" t="s">
        <v>228</v>
      </c>
      <c r="R252" s="5" t="s">
        <v>229</v>
      </c>
      <c r="S252" s="9">
        <v>18209</v>
      </c>
      <c r="T252" s="9">
        <v>48.22</v>
      </c>
      <c r="U252" s="9">
        <v>0</v>
      </c>
      <c r="V252" s="9">
        <f t="shared" si="182"/>
        <v>0</v>
      </c>
      <c r="W252" s="2" t="s">
        <v>97</v>
      </c>
      <c r="X252" s="2">
        <v>2016</v>
      </c>
      <c r="Y252" s="5" t="s">
        <v>7670</v>
      </c>
    </row>
    <row r="253" spans="1:25" s="28" customFormat="1" ht="89.25" customHeight="1" outlineLevel="1" x14ac:dyDescent="0.25">
      <c r="B253" s="2" t="s">
        <v>7635</v>
      </c>
      <c r="C253" s="5" t="s">
        <v>83</v>
      </c>
      <c r="D253" s="5" t="s">
        <v>597</v>
      </c>
      <c r="E253" s="5" t="s">
        <v>598</v>
      </c>
      <c r="F253" s="5" t="s">
        <v>599</v>
      </c>
      <c r="G253" s="5" t="s">
        <v>602</v>
      </c>
      <c r="H253" s="5" t="s">
        <v>88</v>
      </c>
      <c r="I253" s="27">
        <v>0</v>
      </c>
      <c r="J253" s="5">
        <v>710000000</v>
      </c>
      <c r="K253" s="5" t="s">
        <v>89</v>
      </c>
      <c r="L253" s="5" t="s">
        <v>7470</v>
      </c>
      <c r="M253" s="5" t="s">
        <v>91</v>
      </c>
      <c r="N253" s="7" t="s">
        <v>92</v>
      </c>
      <c r="O253" s="7" t="s">
        <v>93</v>
      </c>
      <c r="P253" s="7" t="s">
        <v>673</v>
      </c>
      <c r="Q253" s="15" t="s">
        <v>228</v>
      </c>
      <c r="R253" s="5" t="s">
        <v>229</v>
      </c>
      <c r="S253" s="9">
        <v>18209</v>
      </c>
      <c r="T253" s="9">
        <v>48.22</v>
      </c>
      <c r="U253" s="9">
        <f>T253*S253</f>
        <v>878037.98</v>
      </c>
      <c r="V253" s="9">
        <f t="shared" si="182"/>
        <v>983402.53760000004</v>
      </c>
      <c r="W253" s="2"/>
      <c r="X253" s="2">
        <v>2016</v>
      </c>
      <c r="Y253" s="5"/>
    </row>
    <row r="254" spans="1:25" s="28" customFormat="1" ht="89.25" customHeight="1" outlineLevel="1" x14ac:dyDescent="0.2">
      <c r="A254" s="26"/>
      <c r="B254" s="2" t="s">
        <v>603</v>
      </c>
      <c r="C254" s="5" t="s">
        <v>83</v>
      </c>
      <c r="D254" s="5" t="s">
        <v>597</v>
      </c>
      <c r="E254" s="5" t="s">
        <v>598</v>
      </c>
      <c r="F254" s="5" t="s">
        <v>599</v>
      </c>
      <c r="G254" s="5" t="s">
        <v>604</v>
      </c>
      <c r="H254" s="5" t="s">
        <v>88</v>
      </c>
      <c r="I254" s="27">
        <v>0.5</v>
      </c>
      <c r="J254" s="5">
        <v>710000000</v>
      </c>
      <c r="K254" s="5" t="s">
        <v>89</v>
      </c>
      <c r="L254" s="5" t="s">
        <v>90</v>
      </c>
      <c r="M254" s="5" t="s">
        <v>91</v>
      </c>
      <c r="N254" s="7" t="s">
        <v>92</v>
      </c>
      <c r="O254" s="7" t="s">
        <v>93</v>
      </c>
      <c r="P254" s="7" t="s">
        <v>94</v>
      </c>
      <c r="Q254" s="15" t="s">
        <v>228</v>
      </c>
      <c r="R254" s="5" t="s">
        <v>229</v>
      </c>
      <c r="S254" s="9">
        <v>2187</v>
      </c>
      <c r="T254" s="9">
        <v>401.4</v>
      </c>
      <c r="U254" s="9">
        <v>0</v>
      </c>
      <c r="V254" s="9">
        <f t="shared" si="182"/>
        <v>0</v>
      </c>
      <c r="W254" s="2" t="s">
        <v>97</v>
      </c>
      <c r="X254" s="2">
        <v>2016</v>
      </c>
      <c r="Y254" s="5" t="s">
        <v>7670</v>
      </c>
    </row>
    <row r="255" spans="1:25" s="28" customFormat="1" ht="89.25" customHeight="1" outlineLevel="1" x14ac:dyDescent="0.25">
      <c r="B255" s="2" t="s">
        <v>7636</v>
      </c>
      <c r="C255" s="5" t="s">
        <v>83</v>
      </c>
      <c r="D255" s="5" t="s">
        <v>597</v>
      </c>
      <c r="E255" s="5" t="s">
        <v>598</v>
      </c>
      <c r="F255" s="5" t="s">
        <v>599</v>
      </c>
      <c r="G255" s="5" t="s">
        <v>604</v>
      </c>
      <c r="H255" s="5" t="s">
        <v>88</v>
      </c>
      <c r="I255" s="27">
        <v>0</v>
      </c>
      <c r="J255" s="5">
        <v>710000000</v>
      </c>
      <c r="K255" s="5" t="s">
        <v>89</v>
      </c>
      <c r="L255" s="5" t="s">
        <v>7470</v>
      </c>
      <c r="M255" s="5" t="s">
        <v>91</v>
      </c>
      <c r="N255" s="7" t="s">
        <v>92</v>
      </c>
      <c r="O255" s="7" t="s">
        <v>93</v>
      </c>
      <c r="P255" s="7" t="s">
        <v>673</v>
      </c>
      <c r="Q255" s="15" t="s">
        <v>228</v>
      </c>
      <c r="R255" s="5" t="s">
        <v>229</v>
      </c>
      <c r="S255" s="9">
        <v>2187</v>
      </c>
      <c r="T255" s="9">
        <v>401.4</v>
      </c>
      <c r="U255" s="9">
        <f>T255*S255</f>
        <v>877861.79999999993</v>
      </c>
      <c r="V255" s="9">
        <f t="shared" si="182"/>
        <v>983205.21600000001</v>
      </c>
      <c r="W255" s="2"/>
      <c r="X255" s="2">
        <v>2016</v>
      </c>
      <c r="Y255" s="5"/>
    </row>
    <row r="256" spans="1:25" s="28" customFormat="1" ht="89.25" customHeight="1" outlineLevel="1" x14ac:dyDescent="0.2">
      <c r="A256" s="26"/>
      <c r="B256" s="2" t="s">
        <v>605</v>
      </c>
      <c r="C256" s="5" t="s">
        <v>83</v>
      </c>
      <c r="D256" s="5" t="s">
        <v>597</v>
      </c>
      <c r="E256" s="5" t="s">
        <v>598</v>
      </c>
      <c r="F256" s="5" t="s">
        <v>599</v>
      </c>
      <c r="G256" s="5" t="s">
        <v>606</v>
      </c>
      <c r="H256" s="5" t="s">
        <v>88</v>
      </c>
      <c r="I256" s="27">
        <v>0.5</v>
      </c>
      <c r="J256" s="5">
        <v>710000000</v>
      </c>
      <c r="K256" s="5" t="s">
        <v>89</v>
      </c>
      <c r="L256" s="5" t="s">
        <v>90</v>
      </c>
      <c r="M256" s="5" t="s">
        <v>91</v>
      </c>
      <c r="N256" s="7" t="s">
        <v>92</v>
      </c>
      <c r="O256" s="7" t="s">
        <v>93</v>
      </c>
      <c r="P256" s="7" t="s">
        <v>94</v>
      </c>
      <c r="Q256" s="15" t="s">
        <v>228</v>
      </c>
      <c r="R256" s="5" t="s">
        <v>229</v>
      </c>
      <c r="S256" s="9">
        <v>392</v>
      </c>
      <c r="T256" s="9">
        <v>425.58</v>
      </c>
      <c r="U256" s="9">
        <v>0</v>
      </c>
      <c r="V256" s="9">
        <f t="shared" si="182"/>
        <v>0</v>
      </c>
      <c r="W256" s="2" t="s">
        <v>97</v>
      </c>
      <c r="X256" s="2">
        <v>2016</v>
      </c>
      <c r="Y256" s="5" t="s">
        <v>7670</v>
      </c>
    </row>
    <row r="257" spans="1:25" s="28" customFormat="1" ht="89.25" customHeight="1" outlineLevel="1" x14ac:dyDescent="0.25">
      <c r="B257" s="2" t="s">
        <v>7637</v>
      </c>
      <c r="C257" s="5" t="s">
        <v>83</v>
      </c>
      <c r="D257" s="5" t="s">
        <v>597</v>
      </c>
      <c r="E257" s="5" t="s">
        <v>598</v>
      </c>
      <c r="F257" s="5" t="s">
        <v>599</v>
      </c>
      <c r="G257" s="5" t="s">
        <v>606</v>
      </c>
      <c r="H257" s="5" t="s">
        <v>88</v>
      </c>
      <c r="I257" s="27">
        <v>0</v>
      </c>
      <c r="J257" s="5">
        <v>710000000</v>
      </c>
      <c r="K257" s="5" t="s">
        <v>89</v>
      </c>
      <c r="L257" s="5" t="s">
        <v>7470</v>
      </c>
      <c r="M257" s="5" t="s">
        <v>91</v>
      </c>
      <c r="N257" s="7" t="s">
        <v>92</v>
      </c>
      <c r="O257" s="7" t="s">
        <v>93</v>
      </c>
      <c r="P257" s="7" t="s">
        <v>673</v>
      </c>
      <c r="Q257" s="15" t="s">
        <v>228</v>
      </c>
      <c r="R257" s="5" t="s">
        <v>229</v>
      </c>
      <c r="S257" s="9">
        <v>392</v>
      </c>
      <c r="T257" s="9">
        <v>425.58</v>
      </c>
      <c r="U257" s="9">
        <f>T257*S257</f>
        <v>166827.35999999999</v>
      </c>
      <c r="V257" s="9">
        <f t="shared" si="182"/>
        <v>186846.64319999999</v>
      </c>
      <c r="W257" s="2"/>
      <c r="X257" s="2">
        <v>2016</v>
      </c>
      <c r="Y257" s="5"/>
    </row>
    <row r="258" spans="1:25" s="28" customFormat="1" ht="89.25" customHeight="1" outlineLevel="1" x14ac:dyDescent="0.2">
      <c r="A258" s="26"/>
      <c r="B258" s="2" t="s">
        <v>607</v>
      </c>
      <c r="C258" s="5" t="s">
        <v>83</v>
      </c>
      <c r="D258" s="5" t="s">
        <v>608</v>
      </c>
      <c r="E258" s="5" t="s">
        <v>609</v>
      </c>
      <c r="F258" s="5" t="s">
        <v>610</v>
      </c>
      <c r="G258" s="5" t="s">
        <v>611</v>
      </c>
      <c r="H258" s="5" t="s">
        <v>88</v>
      </c>
      <c r="I258" s="27">
        <v>0.5</v>
      </c>
      <c r="J258" s="5">
        <v>710000000</v>
      </c>
      <c r="K258" s="5" t="s">
        <v>89</v>
      </c>
      <c r="L258" s="5" t="s">
        <v>90</v>
      </c>
      <c r="M258" s="5" t="s">
        <v>91</v>
      </c>
      <c r="N258" s="7" t="s">
        <v>92</v>
      </c>
      <c r="O258" s="7" t="s">
        <v>93</v>
      </c>
      <c r="P258" s="7" t="s">
        <v>94</v>
      </c>
      <c r="Q258" s="15" t="s">
        <v>95</v>
      </c>
      <c r="R258" s="5" t="s">
        <v>96</v>
      </c>
      <c r="S258" s="9">
        <v>13</v>
      </c>
      <c r="T258" s="9">
        <v>431.85</v>
      </c>
      <c r="U258" s="9">
        <v>0</v>
      </c>
      <c r="V258" s="9">
        <f t="shared" si="161"/>
        <v>0</v>
      </c>
      <c r="W258" s="2" t="s">
        <v>97</v>
      </c>
      <c r="X258" s="2">
        <v>2016</v>
      </c>
      <c r="Y258" s="5" t="s">
        <v>7670</v>
      </c>
    </row>
    <row r="259" spans="1:25" s="28" customFormat="1" ht="89.25" customHeight="1" outlineLevel="1" x14ac:dyDescent="0.25">
      <c r="B259" s="2" t="s">
        <v>7638</v>
      </c>
      <c r="C259" s="5" t="s">
        <v>83</v>
      </c>
      <c r="D259" s="5" t="s">
        <v>608</v>
      </c>
      <c r="E259" s="5" t="s">
        <v>609</v>
      </c>
      <c r="F259" s="5" t="s">
        <v>610</v>
      </c>
      <c r="G259" s="5" t="s">
        <v>611</v>
      </c>
      <c r="H259" s="5" t="s">
        <v>88</v>
      </c>
      <c r="I259" s="27">
        <v>0</v>
      </c>
      <c r="J259" s="5">
        <v>710000000</v>
      </c>
      <c r="K259" s="5" t="s">
        <v>89</v>
      </c>
      <c r="L259" s="5" t="s">
        <v>7470</v>
      </c>
      <c r="M259" s="5" t="s">
        <v>91</v>
      </c>
      <c r="N259" s="7" t="s">
        <v>92</v>
      </c>
      <c r="O259" s="7" t="s">
        <v>93</v>
      </c>
      <c r="P259" s="7" t="s">
        <v>673</v>
      </c>
      <c r="Q259" s="15" t="s">
        <v>95</v>
      </c>
      <c r="R259" s="5" t="s">
        <v>96</v>
      </c>
      <c r="S259" s="9">
        <v>13</v>
      </c>
      <c r="T259" s="9">
        <v>431.85</v>
      </c>
      <c r="U259" s="9">
        <f t="shared" ref="U259" si="183">T259*S259</f>
        <v>5614.05</v>
      </c>
      <c r="V259" s="9">
        <f t="shared" ref="V259" si="184">U259*1.12</f>
        <v>6287.7360000000008</v>
      </c>
      <c r="W259" s="2"/>
      <c r="X259" s="2">
        <v>2016</v>
      </c>
      <c r="Y259" s="5"/>
    </row>
    <row r="260" spans="1:25" s="28" customFormat="1" ht="89.25" customHeight="1" outlineLevel="1" x14ac:dyDescent="0.2">
      <c r="A260" s="26"/>
      <c r="B260" s="2" t="s">
        <v>612</v>
      </c>
      <c r="C260" s="5" t="s">
        <v>83</v>
      </c>
      <c r="D260" s="5" t="s">
        <v>613</v>
      </c>
      <c r="E260" s="5" t="s">
        <v>614</v>
      </c>
      <c r="F260" s="5" t="s">
        <v>615</v>
      </c>
      <c r="G260" s="5" t="s">
        <v>616</v>
      </c>
      <c r="H260" s="5" t="s">
        <v>88</v>
      </c>
      <c r="I260" s="27">
        <v>0.5</v>
      </c>
      <c r="J260" s="5">
        <v>710000000</v>
      </c>
      <c r="K260" s="5" t="s">
        <v>89</v>
      </c>
      <c r="L260" s="5" t="s">
        <v>90</v>
      </c>
      <c r="M260" s="5" t="s">
        <v>91</v>
      </c>
      <c r="N260" s="7" t="s">
        <v>92</v>
      </c>
      <c r="O260" s="7" t="s">
        <v>93</v>
      </c>
      <c r="P260" s="7" t="s">
        <v>94</v>
      </c>
      <c r="Q260" s="15" t="s">
        <v>584</v>
      </c>
      <c r="R260" s="5" t="s">
        <v>585</v>
      </c>
      <c r="S260" s="9">
        <v>32745</v>
      </c>
      <c r="T260" s="9">
        <v>64.2</v>
      </c>
      <c r="U260" s="9">
        <v>0</v>
      </c>
      <c r="V260" s="9">
        <f>U260*1.12</f>
        <v>0</v>
      </c>
      <c r="W260" s="2" t="s">
        <v>97</v>
      </c>
      <c r="X260" s="2">
        <v>2016</v>
      </c>
      <c r="Y260" s="5">
        <v>11</v>
      </c>
    </row>
    <row r="261" spans="1:25" s="28" customFormat="1" ht="89.25" customHeight="1" outlineLevel="1" x14ac:dyDescent="0.2">
      <c r="A261" s="26"/>
      <c r="B261" s="2" t="s">
        <v>9344</v>
      </c>
      <c r="C261" s="5" t="s">
        <v>83</v>
      </c>
      <c r="D261" s="5" t="s">
        <v>613</v>
      </c>
      <c r="E261" s="5" t="s">
        <v>614</v>
      </c>
      <c r="F261" s="5" t="s">
        <v>615</v>
      </c>
      <c r="G261" s="5" t="s">
        <v>616</v>
      </c>
      <c r="H261" s="5" t="s">
        <v>88</v>
      </c>
      <c r="I261" s="27">
        <v>0.5</v>
      </c>
      <c r="J261" s="5">
        <v>710000000</v>
      </c>
      <c r="K261" s="5" t="s">
        <v>89</v>
      </c>
      <c r="L261" s="5" t="s">
        <v>7470</v>
      </c>
      <c r="M261" s="5" t="s">
        <v>91</v>
      </c>
      <c r="N261" s="7" t="s">
        <v>92</v>
      </c>
      <c r="O261" s="7" t="s">
        <v>93</v>
      </c>
      <c r="P261" s="7" t="s">
        <v>94</v>
      </c>
      <c r="Q261" s="15" t="s">
        <v>584</v>
      </c>
      <c r="R261" s="5" t="s">
        <v>585</v>
      </c>
      <c r="S261" s="9">
        <v>32745</v>
      </c>
      <c r="T261" s="9">
        <v>64.2</v>
      </c>
      <c r="U261" s="9">
        <v>0</v>
      </c>
      <c r="V261" s="9">
        <f>U261*1.12</f>
        <v>0</v>
      </c>
      <c r="W261" s="2" t="s">
        <v>97</v>
      </c>
      <c r="X261" s="2">
        <v>2016</v>
      </c>
      <c r="Y261" s="5" t="s">
        <v>2338</v>
      </c>
    </row>
    <row r="262" spans="1:25" s="28" customFormat="1" ht="89.25" customHeight="1" outlineLevel="1" x14ac:dyDescent="0.25">
      <c r="B262" s="2" t="s">
        <v>9345</v>
      </c>
      <c r="C262" s="5" t="s">
        <v>83</v>
      </c>
      <c r="D262" s="5" t="s">
        <v>613</v>
      </c>
      <c r="E262" s="5" t="s">
        <v>614</v>
      </c>
      <c r="F262" s="5" t="s">
        <v>615</v>
      </c>
      <c r="G262" s="5" t="s">
        <v>616</v>
      </c>
      <c r="H262" s="5" t="s">
        <v>88</v>
      </c>
      <c r="I262" s="27">
        <v>0.5</v>
      </c>
      <c r="J262" s="5">
        <v>710000000</v>
      </c>
      <c r="K262" s="5" t="s">
        <v>89</v>
      </c>
      <c r="L262" s="5" t="s">
        <v>7470</v>
      </c>
      <c r="M262" s="5" t="s">
        <v>91</v>
      </c>
      <c r="N262" s="7" t="s">
        <v>92</v>
      </c>
      <c r="O262" s="7" t="s">
        <v>93</v>
      </c>
      <c r="P262" s="7" t="s">
        <v>94</v>
      </c>
      <c r="Q262" s="15" t="s">
        <v>584</v>
      </c>
      <c r="R262" s="5" t="s">
        <v>585</v>
      </c>
      <c r="S262" s="9">
        <f>32745+15051</f>
        <v>47796</v>
      </c>
      <c r="T262" s="9">
        <v>64.2</v>
      </c>
      <c r="U262" s="9">
        <f>T262*S262</f>
        <v>3068503.2</v>
      </c>
      <c r="V262" s="9">
        <f>U262*1.12</f>
        <v>3436723.5840000007</v>
      </c>
      <c r="W262" s="2" t="s">
        <v>97</v>
      </c>
      <c r="X262" s="2">
        <v>2016</v>
      </c>
      <c r="Y262" s="5"/>
    </row>
    <row r="263" spans="1:25" s="28" customFormat="1" ht="89.25" customHeight="1" outlineLevel="1" x14ac:dyDescent="0.2">
      <c r="A263" s="26"/>
      <c r="B263" s="2" t="s">
        <v>617</v>
      </c>
      <c r="C263" s="5" t="s">
        <v>83</v>
      </c>
      <c r="D263" s="5" t="s">
        <v>618</v>
      </c>
      <c r="E263" s="5" t="s">
        <v>614</v>
      </c>
      <c r="F263" s="5" t="s">
        <v>619</v>
      </c>
      <c r="G263" s="5" t="s">
        <v>620</v>
      </c>
      <c r="H263" s="5" t="s">
        <v>88</v>
      </c>
      <c r="I263" s="27">
        <v>0.5</v>
      </c>
      <c r="J263" s="5">
        <v>710000000</v>
      </c>
      <c r="K263" s="5" t="s">
        <v>89</v>
      </c>
      <c r="L263" s="5" t="s">
        <v>90</v>
      </c>
      <c r="M263" s="5" t="s">
        <v>91</v>
      </c>
      <c r="N263" s="7" t="s">
        <v>92</v>
      </c>
      <c r="O263" s="7" t="s">
        <v>93</v>
      </c>
      <c r="P263" s="7" t="s">
        <v>94</v>
      </c>
      <c r="Q263" s="15" t="s">
        <v>584</v>
      </c>
      <c r="R263" s="5" t="s">
        <v>585</v>
      </c>
      <c r="S263" s="9">
        <v>2000</v>
      </c>
      <c r="T263" s="9">
        <v>139.1</v>
      </c>
      <c r="U263" s="9">
        <v>0</v>
      </c>
      <c r="V263" s="9">
        <f>U263*1.12</f>
        <v>0</v>
      </c>
      <c r="W263" s="2" t="s">
        <v>97</v>
      </c>
      <c r="X263" s="2">
        <v>2016</v>
      </c>
      <c r="Y263" s="5">
        <v>11</v>
      </c>
    </row>
    <row r="264" spans="1:25" s="28" customFormat="1" ht="89.25" customHeight="1" outlineLevel="1" x14ac:dyDescent="0.25">
      <c r="B264" s="2" t="s">
        <v>7639</v>
      </c>
      <c r="C264" s="5" t="s">
        <v>83</v>
      </c>
      <c r="D264" s="5" t="s">
        <v>618</v>
      </c>
      <c r="E264" s="5" t="s">
        <v>614</v>
      </c>
      <c r="F264" s="5" t="s">
        <v>619</v>
      </c>
      <c r="G264" s="5" t="s">
        <v>620</v>
      </c>
      <c r="H264" s="5" t="s">
        <v>88</v>
      </c>
      <c r="I264" s="27">
        <v>0.5</v>
      </c>
      <c r="J264" s="5">
        <v>710000000</v>
      </c>
      <c r="K264" s="5" t="s">
        <v>89</v>
      </c>
      <c r="L264" s="5" t="s">
        <v>7470</v>
      </c>
      <c r="M264" s="5" t="s">
        <v>91</v>
      </c>
      <c r="N264" s="7" t="s">
        <v>92</v>
      </c>
      <c r="O264" s="7" t="s">
        <v>93</v>
      </c>
      <c r="P264" s="7" t="s">
        <v>94</v>
      </c>
      <c r="Q264" s="15" t="s">
        <v>584</v>
      </c>
      <c r="R264" s="5" t="s">
        <v>585</v>
      </c>
      <c r="S264" s="9">
        <v>2000</v>
      </c>
      <c r="T264" s="9">
        <v>139.1</v>
      </c>
      <c r="U264" s="9">
        <f>T264*S264</f>
        <v>278200</v>
      </c>
      <c r="V264" s="9">
        <f>U264*1.12</f>
        <v>311584.00000000006</v>
      </c>
      <c r="W264" s="2" t="s">
        <v>97</v>
      </c>
      <c r="X264" s="2">
        <v>2016</v>
      </c>
      <c r="Y264" s="5"/>
    </row>
    <row r="265" spans="1:25" s="28" customFormat="1" ht="89.25" customHeight="1" outlineLevel="1" x14ac:dyDescent="0.2">
      <c r="A265" s="26"/>
      <c r="B265" s="2" t="s">
        <v>621</v>
      </c>
      <c r="C265" s="5" t="s">
        <v>83</v>
      </c>
      <c r="D265" s="5" t="s">
        <v>622</v>
      </c>
      <c r="E265" s="5" t="s">
        <v>614</v>
      </c>
      <c r="F265" s="5" t="s">
        <v>623</v>
      </c>
      <c r="G265" s="5" t="s">
        <v>624</v>
      </c>
      <c r="H265" s="5" t="s">
        <v>88</v>
      </c>
      <c r="I265" s="27">
        <v>0.5</v>
      </c>
      <c r="J265" s="5">
        <v>710000000</v>
      </c>
      <c r="K265" s="5" t="s">
        <v>89</v>
      </c>
      <c r="L265" s="5" t="s">
        <v>90</v>
      </c>
      <c r="M265" s="5" t="s">
        <v>91</v>
      </c>
      <c r="N265" s="7" t="s">
        <v>92</v>
      </c>
      <c r="O265" s="7" t="s">
        <v>93</v>
      </c>
      <c r="P265" s="7" t="s">
        <v>94</v>
      </c>
      <c r="Q265" s="15" t="s">
        <v>584</v>
      </c>
      <c r="R265" s="5" t="s">
        <v>585</v>
      </c>
      <c r="S265" s="9">
        <v>90</v>
      </c>
      <c r="T265" s="9">
        <v>449.4</v>
      </c>
      <c r="U265" s="9">
        <v>0</v>
      </c>
      <c r="V265" s="9">
        <f t="shared" si="161"/>
        <v>0</v>
      </c>
      <c r="W265" s="2" t="s">
        <v>97</v>
      </c>
      <c r="X265" s="2">
        <v>2016</v>
      </c>
      <c r="Y265" s="5" t="s">
        <v>7670</v>
      </c>
    </row>
    <row r="266" spans="1:25" s="28" customFormat="1" ht="89.25" customHeight="1" outlineLevel="1" x14ac:dyDescent="0.25">
      <c r="B266" s="2" t="s">
        <v>7640</v>
      </c>
      <c r="C266" s="5" t="s">
        <v>83</v>
      </c>
      <c r="D266" s="5" t="s">
        <v>622</v>
      </c>
      <c r="E266" s="5" t="s">
        <v>614</v>
      </c>
      <c r="F266" s="5" t="s">
        <v>623</v>
      </c>
      <c r="G266" s="5" t="s">
        <v>624</v>
      </c>
      <c r="H266" s="5" t="s">
        <v>88</v>
      </c>
      <c r="I266" s="27">
        <v>0</v>
      </c>
      <c r="J266" s="5">
        <v>710000000</v>
      </c>
      <c r="K266" s="5" t="s">
        <v>89</v>
      </c>
      <c r="L266" s="5" t="s">
        <v>7470</v>
      </c>
      <c r="M266" s="5" t="s">
        <v>91</v>
      </c>
      <c r="N266" s="7" t="s">
        <v>92</v>
      </c>
      <c r="O266" s="7" t="s">
        <v>93</v>
      </c>
      <c r="P266" s="7" t="s">
        <v>673</v>
      </c>
      <c r="Q266" s="15" t="s">
        <v>584</v>
      </c>
      <c r="R266" s="5" t="s">
        <v>585</v>
      </c>
      <c r="S266" s="9">
        <v>90</v>
      </c>
      <c r="T266" s="9">
        <v>449.4</v>
      </c>
      <c r="U266" s="9">
        <f t="shared" ref="U266" si="185">T266*S266</f>
        <v>40446</v>
      </c>
      <c r="V266" s="9">
        <f t="shared" ref="V266" si="186">U266*1.12</f>
        <v>45299.520000000004</v>
      </c>
      <c r="W266" s="2"/>
      <c r="X266" s="2">
        <v>2016</v>
      </c>
      <c r="Y266" s="5"/>
    </row>
    <row r="267" spans="1:25" s="28" customFormat="1" ht="89.25" customHeight="1" outlineLevel="1" x14ac:dyDescent="0.2">
      <c r="A267" s="26"/>
      <c r="B267" s="2" t="s">
        <v>625</v>
      </c>
      <c r="C267" s="5" t="s">
        <v>83</v>
      </c>
      <c r="D267" s="5" t="s">
        <v>626</v>
      </c>
      <c r="E267" s="5" t="s">
        <v>627</v>
      </c>
      <c r="F267" s="5" t="s">
        <v>628</v>
      </c>
      <c r="G267" s="5" t="s">
        <v>629</v>
      </c>
      <c r="H267" s="5" t="s">
        <v>88</v>
      </c>
      <c r="I267" s="27">
        <v>0.5</v>
      </c>
      <c r="J267" s="5">
        <v>710000000</v>
      </c>
      <c r="K267" s="5" t="s">
        <v>89</v>
      </c>
      <c r="L267" s="5" t="s">
        <v>90</v>
      </c>
      <c r="M267" s="5" t="s">
        <v>91</v>
      </c>
      <c r="N267" s="7" t="s">
        <v>92</v>
      </c>
      <c r="O267" s="7" t="s">
        <v>93</v>
      </c>
      <c r="P267" s="7" t="s">
        <v>94</v>
      </c>
      <c r="Q267" s="15" t="s">
        <v>584</v>
      </c>
      <c r="R267" s="5" t="s">
        <v>585</v>
      </c>
      <c r="S267" s="9">
        <v>112</v>
      </c>
      <c r="T267" s="9">
        <v>120.37</v>
      </c>
      <c r="U267" s="9">
        <v>0</v>
      </c>
      <c r="V267" s="9">
        <f t="shared" si="161"/>
        <v>0</v>
      </c>
      <c r="W267" s="2" t="s">
        <v>97</v>
      </c>
      <c r="X267" s="2">
        <v>2016</v>
      </c>
      <c r="Y267" s="5" t="s">
        <v>7670</v>
      </c>
    </row>
    <row r="268" spans="1:25" s="28" customFormat="1" ht="89.25" customHeight="1" outlineLevel="1" x14ac:dyDescent="0.25">
      <c r="B268" s="2" t="s">
        <v>7641</v>
      </c>
      <c r="C268" s="5" t="s">
        <v>83</v>
      </c>
      <c r="D268" s="5" t="s">
        <v>626</v>
      </c>
      <c r="E268" s="5" t="s">
        <v>627</v>
      </c>
      <c r="F268" s="5" t="s">
        <v>628</v>
      </c>
      <c r="G268" s="5" t="s">
        <v>629</v>
      </c>
      <c r="H268" s="5" t="s">
        <v>88</v>
      </c>
      <c r="I268" s="27">
        <v>0</v>
      </c>
      <c r="J268" s="5">
        <v>710000000</v>
      </c>
      <c r="K268" s="5" t="s">
        <v>89</v>
      </c>
      <c r="L268" s="5" t="s">
        <v>7470</v>
      </c>
      <c r="M268" s="5" t="s">
        <v>91</v>
      </c>
      <c r="N268" s="7" t="s">
        <v>92</v>
      </c>
      <c r="O268" s="7" t="s">
        <v>93</v>
      </c>
      <c r="P268" s="7" t="s">
        <v>673</v>
      </c>
      <c r="Q268" s="15" t="s">
        <v>584</v>
      </c>
      <c r="R268" s="5" t="s">
        <v>585</v>
      </c>
      <c r="S268" s="9">
        <v>112</v>
      </c>
      <c r="T268" s="9">
        <v>120.37</v>
      </c>
      <c r="U268" s="9">
        <f t="shared" ref="U268" si="187">T268*S268</f>
        <v>13481.44</v>
      </c>
      <c r="V268" s="9">
        <f t="shared" ref="V268" si="188">U268*1.12</f>
        <v>15099.212800000001</v>
      </c>
      <c r="W268" s="2"/>
      <c r="X268" s="2">
        <v>2016</v>
      </c>
      <c r="Y268" s="5"/>
    </row>
    <row r="269" spans="1:25" s="28" customFormat="1" ht="89.25" customHeight="1" outlineLevel="1" x14ac:dyDescent="0.2">
      <c r="A269" s="26"/>
      <c r="B269" s="2" t="s">
        <v>630</v>
      </c>
      <c r="C269" s="5" t="s">
        <v>83</v>
      </c>
      <c r="D269" s="5" t="s">
        <v>631</v>
      </c>
      <c r="E269" s="5" t="s">
        <v>632</v>
      </c>
      <c r="F269" s="5" t="s">
        <v>7695</v>
      </c>
      <c r="G269" s="5" t="s">
        <v>633</v>
      </c>
      <c r="H269" s="5" t="s">
        <v>88</v>
      </c>
      <c r="I269" s="27">
        <v>0.5</v>
      </c>
      <c r="J269" s="5">
        <v>710000000</v>
      </c>
      <c r="K269" s="5" t="s">
        <v>89</v>
      </c>
      <c r="L269" s="5" t="s">
        <v>90</v>
      </c>
      <c r="M269" s="5" t="s">
        <v>91</v>
      </c>
      <c r="N269" s="7" t="s">
        <v>92</v>
      </c>
      <c r="O269" s="7" t="s">
        <v>93</v>
      </c>
      <c r="P269" s="7" t="s">
        <v>94</v>
      </c>
      <c r="Q269" s="15" t="s">
        <v>95</v>
      </c>
      <c r="R269" s="5" t="s">
        <v>96</v>
      </c>
      <c r="S269" s="9">
        <v>5730</v>
      </c>
      <c r="T269" s="9">
        <v>74.900000000000006</v>
      </c>
      <c r="U269" s="9">
        <v>0</v>
      </c>
      <c r="V269" s="9">
        <f t="shared" si="161"/>
        <v>0</v>
      </c>
      <c r="W269" s="2" t="s">
        <v>97</v>
      </c>
      <c r="X269" s="2">
        <v>2016</v>
      </c>
      <c r="Y269" s="5" t="s">
        <v>7670</v>
      </c>
    </row>
    <row r="270" spans="1:25" s="28" customFormat="1" ht="89.25" customHeight="1" outlineLevel="1" x14ac:dyDescent="0.25">
      <c r="B270" s="2" t="s">
        <v>7642</v>
      </c>
      <c r="C270" s="5" t="s">
        <v>83</v>
      </c>
      <c r="D270" s="5" t="s">
        <v>631</v>
      </c>
      <c r="E270" s="5" t="s">
        <v>632</v>
      </c>
      <c r="F270" s="5" t="s">
        <v>7695</v>
      </c>
      <c r="G270" s="5" t="s">
        <v>633</v>
      </c>
      <c r="H270" s="5" t="s">
        <v>88</v>
      </c>
      <c r="I270" s="27">
        <v>0</v>
      </c>
      <c r="J270" s="5">
        <v>710000000</v>
      </c>
      <c r="K270" s="5" t="s">
        <v>89</v>
      </c>
      <c r="L270" s="5" t="s">
        <v>7470</v>
      </c>
      <c r="M270" s="5" t="s">
        <v>91</v>
      </c>
      <c r="N270" s="7" t="s">
        <v>92</v>
      </c>
      <c r="O270" s="7" t="s">
        <v>93</v>
      </c>
      <c r="P270" s="7" t="s">
        <v>673</v>
      </c>
      <c r="Q270" s="15" t="s">
        <v>95</v>
      </c>
      <c r="R270" s="5" t="s">
        <v>96</v>
      </c>
      <c r="S270" s="9">
        <v>5730</v>
      </c>
      <c r="T270" s="9">
        <v>74.900000000000006</v>
      </c>
      <c r="U270" s="9">
        <f t="shared" ref="U270" si="189">T270*S270</f>
        <v>429177.00000000006</v>
      </c>
      <c r="V270" s="9">
        <f t="shared" ref="V270" si="190">U270*1.12</f>
        <v>480678.24000000011</v>
      </c>
      <c r="W270" s="2"/>
      <c r="X270" s="2">
        <v>2016</v>
      </c>
      <c r="Y270" s="5"/>
    </row>
    <row r="271" spans="1:25" s="28" customFormat="1" ht="89.25" customHeight="1" outlineLevel="1" x14ac:dyDescent="0.2">
      <c r="A271" s="26"/>
      <c r="B271" s="2" t="s">
        <v>634</v>
      </c>
      <c r="C271" s="5" t="s">
        <v>83</v>
      </c>
      <c r="D271" s="5" t="s">
        <v>631</v>
      </c>
      <c r="E271" s="5" t="s">
        <v>632</v>
      </c>
      <c r="F271" s="5" t="s">
        <v>7695</v>
      </c>
      <c r="G271" s="5" t="s">
        <v>635</v>
      </c>
      <c r="H271" s="5" t="s">
        <v>88</v>
      </c>
      <c r="I271" s="27">
        <v>0.5</v>
      </c>
      <c r="J271" s="5">
        <v>710000000</v>
      </c>
      <c r="K271" s="5" t="s">
        <v>89</v>
      </c>
      <c r="L271" s="5" t="s">
        <v>90</v>
      </c>
      <c r="M271" s="5" t="s">
        <v>91</v>
      </c>
      <c r="N271" s="7" t="s">
        <v>92</v>
      </c>
      <c r="O271" s="7" t="s">
        <v>93</v>
      </c>
      <c r="P271" s="7" t="s">
        <v>94</v>
      </c>
      <c r="Q271" s="15" t="s">
        <v>95</v>
      </c>
      <c r="R271" s="5" t="s">
        <v>96</v>
      </c>
      <c r="S271" s="9">
        <v>250</v>
      </c>
      <c r="T271" s="9">
        <v>267.5</v>
      </c>
      <c r="U271" s="9">
        <v>0</v>
      </c>
      <c r="V271" s="9">
        <f t="shared" si="161"/>
        <v>0</v>
      </c>
      <c r="W271" s="2" t="s">
        <v>97</v>
      </c>
      <c r="X271" s="2">
        <v>2016</v>
      </c>
      <c r="Y271" s="5" t="s">
        <v>7670</v>
      </c>
    </row>
    <row r="272" spans="1:25" s="28" customFormat="1" ht="89.25" customHeight="1" outlineLevel="1" x14ac:dyDescent="0.25">
      <c r="B272" s="2" t="s">
        <v>7643</v>
      </c>
      <c r="C272" s="5" t="s">
        <v>83</v>
      </c>
      <c r="D272" s="5" t="s">
        <v>631</v>
      </c>
      <c r="E272" s="5" t="s">
        <v>632</v>
      </c>
      <c r="F272" s="5" t="s">
        <v>7695</v>
      </c>
      <c r="G272" s="5" t="s">
        <v>635</v>
      </c>
      <c r="H272" s="5" t="s">
        <v>88</v>
      </c>
      <c r="I272" s="27">
        <v>0</v>
      </c>
      <c r="J272" s="5">
        <v>710000000</v>
      </c>
      <c r="K272" s="5" t="s">
        <v>89</v>
      </c>
      <c r="L272" s="5" t="s">
        <v>7470</v>
      </c>
      <c r="M272" s="5" t="s">
        <v>91</v>
      </c>
      <c r="N272" s="7" t="s">
        <v>92</v>
      </c>
      <c r="O272" s="7" t="s">
        <v>93</v>
      </c>
      <c r="P272" s="7" t="s">
        <v>673</v>
      </c>
      <c r="Q272" s="15" t="s">
        <v>95</v>
      </c>
      <c r="R272" s="5" t="s">
        <v>96</v>
      </c>
      <c r="S272" s="9">
        <v>250</v>
      </c>
      <c r="T272" s="9">
        <v>267.5</v>
      </c>
      <c r="U272" s="9">
        <f t="shared" ref="U272" si="191">T272*S272</f>
        <v>66875</v>
      </c>
      <c r="V272" s="9">
        <f t="shared" ref="V272" si="192">U272*1.12</f>
        <v>74900</v>
      </c>
      <c r="W272" s="2"/>
      <c r="X272" s="2">
        <v>2016</v>
      </c>
      <c r="Y272" s="5"/>
    </row>
    <row r="273" spans="1:25" s="28" customFormat="1" ht="89.25" customHeight="1" outlineLevel="1" x14ac:dyDescent="0.2">
      <c r="A273" s="26"/>
      <c r="B273" s="2" t="s">
        <v>636</v>
      </c>
      <c r="C273" s="5" t="s">
        <v>83</v>
      </c>
      <c r="D273" s="5" t="s">
        <v>637</v>
      </c>
      <c r="E273" s="5" t="s">
        <v>638</v>
      </c>
      <c r="F273" s="5" t="s">
        <v>639</v>
      </c>
      <c r="G273" s="5"/>
      <c r="H273" s="5" t="s">
        <v>88</v>
      </c>
      <c r="I273" s="27">
        <v>0.5</v>
      </c>
      <c r="J273" s="5">
        <v>710000000</v>
      </c>
      <c r="K273" s="5" t="s">
        <v>89</v>
      </c>
      <c r="L273" s="5" t="s">
        <v>90</v>
      </c>
      <c r="M273" s="5" t="s">
        <v>91</v>
      </c>
      <c r="N273" s="7" t="s">
        <v>92</v>
      </c>
      <c r="O273" s="7" t="s">
        <v>93</v>
      </c>
      <c r="P273" s="7" t="s">
        <v>94</v>
      </c>
      <c r="Q273" s="15" t="s">
        <v>584</v>
      </c>
      <c r="R273" s="5" t="s">
        <v>585</v>
      </c>
      <c r="S273" s="9">
        <v>39</v>
      </c>
      <c r="T273" s="9">
        <v>16794.88</v>
      </c>
      <c r="U273" s="9">
        <v>0</v>
      </c>
      <c r="V273" s="9">
        <f t="shared" si="161"/>
        <v>0</v>
      </c>
      <c r="W273" s="2" t="s">
        <v>97</v>
      </c>
      <c r="X273" s="2">
        <v>2016</v>
      </c>
      <c r="Y273" s="5" t="s">
        <v>7670</v>
      </c>
    </row>
    <row r="274" spans="1:25" s="28" customFormat="1" ht="89.25" customHeight="1" outlineLevel="1" x14ac:dyDescent="0.25">
      <c r="B274" s="2" t="s">
        <v>7644</v>
      </c>
      <c r="C274" s="5" t="s">
        <v>83</v>
      </c>
      <c r="D274" s="5" t="s">
        <v>637</v>
      </c>
      <c r="E274" s="5" t="s">
        <v>638</v>
      </c>
      <c r="F274" s="5" t="s">
        <v>639</v>
      </c>
      <c r="G274" s="5"/>
      <c r="H274" s="5" t="s">
        <v>88</v>
      </c>
      <c r="I274" s="27">
        <v>0</v>
      </c>
      <c r="J274" s="5">
        <v>710000000</v>
      </c>
      <c r="K274" s="5" t="s">
        <v>89</v>
      </c>
      <c r="L274" s="5" t="s">
        <v>754</v>
      </c>
      <c r="M274" s="5" t="s">
        <v>91</v>
      </c>
      <c r="N274" s="7" t="s">
        <v>92</v>
      </c>
      <c r="O274" s="7" t="s">
        <v>93</v>
      </c>
      <c r="P274" s="7" t="s">
        <v>673</v>
      </c>
      <c r="Q274" s="15" t="s">
        <v>584</v>
      </c>
      <c r="R274" s="5" t="s">
        <v>585</v>
      </c>
      <c r="S274" s="9">
        <v>39</v>
      </c>
      <c r="T274" s="9">
        <v>16794.88</v>
      </c>
      <c r="U274" s="9">
        <f t="shared" ref="U274" si="193">T274*S274</f>
        <v>655000.32000000007</v>
      </c>
      <c r="V274" s="9">
        <f t="shared" ref="V274" si="194">U274*1.12</f>
        <v>733600.35840000014</v>
      </c>
      <c r="W274" s="2"/>
      <c r="X274" s="2">
        <v>2016</v>
      </c>
      <c r="Y274" s="5"/>
    </row>
    <row r="275" spans="1:25" s="28" customFormat="1" ht="89.25" customHeight="1" outlineLevel="1" x14ac:dyDescent="0.2">
      <c r="A275" s="26"/>
      <c r="B275" s="2" t="s">
        <v>640</v>
      </c>
      <c r="C275" s="5" t="s">
        <v>83</v>
      </c>
      <c r="D275" s="5" t="s">
        <v>641</v>
      </c>
      <c r="E275" s="5" t="s">
        <v>642</v>
      </c>
      <c r="F275" s="5" t="s">
        <v>643</v>
      </c>
      <c r="G275" s="5"/>
      <c r="H275" s="5" t="s">
        <v>88</v>
      </c>
      <c r="I275" s="27">
        <v>0.5</v>
      </c>
      <c r="J275" s="5">
        <v>710000000</v>
      </c>
      <c r="K275" s="5" t="s">
        <v>89</v>
      </c>
      <c r="L275" s="5" t="s">
        <v>90</v>
      </c>
      <c r="M275" s="5" t="s">
        <v>91</v>
      </c>
      <c r="N275" s="7" t="s">
        <v>92</v>
      </c>
      <c r="O275" s="7" t="s">
        <v>93</v>
      </c>
      <c r="P275" s="7" t="s">
        <v>94</v>
      </c>
      <c r="Q275" s="15" t="s">
        <v>584</v>
      </c>
      <c r="R275" s="5" t="s">
        <v>585</v>
      </c>
      <c r="S275" s="9">
        <v>25</v>
      </c>
      <c r="T275" s="9">
        <v>7002.08</v>
      </c>
      <c r="U275" s="9">
        <v>0</v>
      </c>
      <c r="V275" s="9">
        <f t="shared" si="161"/>
        <v>0</v>
      </c>
      <c r="W275" s="2" t="s">
        <v>97</v>
      </c>
      <c r="X275" s="2">
        <v>2016</v>
      </c>
      <c r="Y275" s="5" t="s">
        <v>7671</v>
      </c>
    </row>
    <row r="276" spans="1:25" s="28" customFormat="1" ht="89.25" customHeight="1" outlineLevel="1" x14ac:dyDescent="0.25">
      <c r="B276" s="2" t="s">
        <v>7524</v>
      </c>
      <c r="C276" s="5" t="s">
        <v>83</v>
      </c>
      <c r="D276" s="5" t="s">
        <v>641</v>
      </c>
      <c r="E276" s="5" t="s">
        <v>642</v>
      </c>
      <c r="F276" s="5" t="s">
        <v>643</v>
      </c>
      <c r="G276" s="5" t="s">
        <v>7525</v>
      </c>
      <c r="H276" s="5" t="s">
        <v>88</v>
      </c>
      <c r="I276" s="27">
        <v>0</v>
      </c>
      <c r="J276" s="5">
        <v>710000000</v>
      </c>
      <c r="K276" s="5" t="s">
        <v>89</v>
      </c>
      <c r="L276" s="5" t="s">
        <v>7470</v>
      </c>
      <c r="M276" s="5" t="s">
        <v>91</v>
      </c>
      <c r="N276" s="7" t="s">
        <v>92</v>
      </c>
      <c r="O276" s="7" t="s">
        <v>93</v>
      </c>
      <c r="P276" s="7" t="s">
        <v>673</v>
      </c>
      <c r="Q276" s="15" t="s">
        <v>584</v>
      </c>
      <c r="R276" s="5" t="s">
        <v>585</v>
      </c>
      <c r="S276" s="9">
        <v>226</v>
      </c>
      <c r="T276" s="9">
        <v>775</v>
      </c>
      <c r="U276" s="9">
        <f t="shared" ref="U276" si="195">T276*S276</f>
        <v>175150</v>
      </c>
      <c r="V276" s="9">
        <f t="shared" ref="V276" si="196">U276*1.12</f>
        <v>196168.00000000003</v>
      </c>
      <c r="W276" s="2"/>
      <c r="X276" s="2">
        <v>2016</v>
      </c>
      <c r="Y276" s="5"/>
    </row>
    <row r="277" spans="1:25" s="28" customFormat="1" ht="89.25" customHeight="1" outlineLevel="1" x14ac:dyDescent="0.2">
      <c r="A277" s="26"/>
      <c r="B277" s="2" t="s">
        <v>644</v>
      </c>
      <c r="C277" s="5" t="s">
        <v>83</v>
      </c>
      <c r="D277" s="5" t="s">
        <v>645</v>
      </c>
      <c r="E277" s="5" t="s">
        <v>646</v>
      </c>
      <c r="F277" s="5" t="s">
        <v>647</v>
      </c>
      <c r="G277" s="5" t="s">
        <v>648</v>
      </c>
      <c r="H277" s="5" t="s">
        <v>88</v>
      </c>
      <c r="I277" s="27">
        <v>0.5</v>
      </c>
      <c r="J277" s="5">
        <v>710000000</v>
      </c>
      <c r="K277" s="5" t="s">
        <v>89</v>
      </c>
      <c r="L277" s="5" t="s">
        <v>90</v>
      </c>
      <c r="M277" s="5" t="s">
        <v>91</v>
      </c>
      <c r="N277" s="7" t="s">
        <v>92</v>
      </c>
      <c r="O277" s="7" t="s">
        <v>93</v>
      </c>
      <c r="P277" s="7" t="s">
        <v>94</v>
      </c>
      <c r="Q277" s="15" t="s">
        <v>584</v>
      </c>
      <c r="R277" s="5" t="s">
        <v>585</v>
      </c>
      <c r="S277" s="9">
        <v>5</v>
      </c>
      <c r="T277" s="9">
        <v>17706</v>
      </c>
      <c r="U277" s="9">
        <v>0</v>
      </c>
      <c r="V277" s="9">
        <f t="shared" si="161"/>
        <v>0</v>
      </c>
      <c r="W277" s="2" t="s">
        <v>97</v>
      </c>
      <c r="X277" s="2">
        <v>2016</v>
      </c>
      <c r="Y277" s="5" t="s">
        <v>7670</v>
      </c>
    </row>
    <row r="278" spans="1:25" s="28" customFormat="1" ht="89.25" customHeight="1" outlineLevel="1" x14ac:dyDescent="0.25">
      <c r="B278" s="2" t="s">
        <v>7645</v>
      </c>
      <c r="C278" s="5" t="s">
        <v>83</v>
      </c>
      <c r="D278" s="5" t="s">
        <v>645</v>
      </c>
      <c r="E278" s="5" t="s">
        <v>646</v>
      </c>
      <c r="F278" s="5" t="s">
        <v>647</v>
      </c>
      <c r="G278" s="5" t="s">
        <v>648</v>
      </c>
      <c r="H278" s="5" t="s">
        <v>88</v>
      </c>
      <c r="I278" s="27">
        <v>0</v>
      </c>
      <c r="J278" s="5">
        <v>710000000</v>
      </c>
      <c r="K278" s="5" t="s">
        <v>89</v>
      </c>
      <c r="L278" s="5" t="s">
        <v>7470</v>
      </c>
      <c r="M278" s="5" t="s">
        <v>91</v>
      </c>
      <c r="N278" s="7" t="s">
        <v>92</v>
      </c>
      <c r="O278" s="7" t="s">
        <v>93</v>
      </c>
      <c r="P278" s="7" t="s">
        <v>673</v>
      </c>
      <c r="Q278" s="15" t="s">
        <v>584</v>
      </c>
      <c r="R278" s="5" t="s">
        <v>585</v>
      </c>
      <c r="S278" s="9">
        <v>5</v>
      </c>
      <c r="T278" s="9">
        <v>17706</v>
      </c>
      <c r="U278" s="9">
        <f t="shared" ref="U278" si="197">T278*S278</f>
        <v>88530</v>
      </c>
      <c r="V278" s="9">
        <f t="shared" ref="V278" si="198">U278*1.12</f>
        <v>99153.600000000006</v>
      </c>
      <c r="W278" s="2"/>
      <c r="X278" s="2">
        <v>2016</v>
      </c>
      <c r="Y278" s="5"/>
    </row>
    <row r="279" spans="1:25" s="28" customFormat="1" ht="89.25" customHeight="1" outlineLevel="1" x14ac:dyDescent="0.2">
      <c r="A279" s="26"/>
      <c r="B279" s="2" t="s">
        <v>649</v>
      </c>
      <c r="C279" s="5" t="s">
        <v>83</v>
      </c>
      <c r="D279" s="5" t="s">
        <v>645</v>
      </c>
      <c r="E279" s="5" t="s">
        <v>646</v>
      </c>
      <c r="F279" s="5" t="s">
        <v>647</v>
      </c>
      <c r="G279" s="5" t="s">
        <v>650</v>
      </c>
      <c r="H279" s="5" t="s">
        <v>88</v>
      </c>
      <c r="I279" s="27">
        <v>0.5</v>
      </c>
      <c r="J279" s="5">
        <v>710000000</v>
      </c>
      <c r="K279" s="5" t="s">
        <v>89</v>
      </c>
      <c r="L279" s="5" t="s">
        <v>90</v>
      </c>
      <c r="M279" s="5" t="s">
        <v>91</v>
      </c>
      <c r="N279" s="7" t="s">
        <v>92</v>
      </c>
      <c r="O279" s="7" t="s">
        <v>93</v>
      </c>
      <c r="P279" s="7" t="s">
        <v>94</v>
      </c>
      <c r="Q279" s="15" t="s">
        <v>584</v>
      </c>
      <c r="R279" s="5" t="s">
        <v>585</v>
      </c>
      <c r="S279" s="9">
        <v>3</v>
      </c>
      <c r="T279" s="9">
        <v>23112</v>
      </c>
      <c r="U279" s="9">
        <v>0</v>
      </c>
      <c r="V279" s="9">
        <f t="shared" si="161"/>
        <v>0</v>
      </c>
      <c r="W279" s="2" t="s">
        <v>97</v>
      </c>
      <c r="X279" s="2">
        <v>2016</v>
      </c>
      <c r="Y279" s="5" t="s">
        <v>7670</v>
      </c>
    </row>
    <row r="280" spans="1:25" s="28" customFormat="1" ht="89.25" customHeight="1" outlineLevel="1" x14ac:dyDescent="0.25">
      <c r="B280" s="2" t="s">
        <v>7646</v>
      </c>
      <c r="C280" s="5" t="s">
        <v>83</v>
      </c>
      <c r="D280" s="5" t="s">
        <v>645</v>
      </c>
      <c r="E280" s="5" t="s">
        <v>646</v>
      </c>
      <c r="F280" s="5" t="s">
        <v>647</v>
      </c>
      <c r="G280" s="5" t="s">
        <v>650</v>
      </c>
      <c r="H280" s="5" t="s">
        <v>88</v>
      </c>
      <c r="I280" s="27">
        <v>0</v>
      </c>
      <c r="J280" s="5">
        <v>710000000</v>
      </c>
      <c r="K280" s="5" t="s">
        <v>89</v>
      </c>
      <c r="L280" s="5" t="s">
        <v>7470</v>
      </c>
      <c r="M280" s="5" t="s">
        <v>91</v>
      </c>
      <c r="N280" s="7" t="s">
        <v>92</v>
      </c>
      <c r="O280" s="7" t="s">
        <v>93</v>
      </c>
      <c r="P280" s="7" t="s">
        <v>673</v>
      </c>
      <c r="Q280" s="15" t="s">
        <v>584</v>
      </c>
      <c r="R280" s="5" t="s">
        <v>585</v>
      </c>
      <c r="S280" s="9">
        <v>3</v>
      </c>
      <c r="T280" s="9">
        <v>23112</v>
      </c>
      <c r="U280" s="9">
        <f t="shared" ref="U280" si="199">T280*S280</f>
        <v>69336</v>
      </c>
      <c r="V280" s="9">
        <f t="shared" ref="V280" si="200">U280*1.12</f>
        <v>77656.320000000007</v>
      </c>
      <c r="W280" s="2"/>
      <c r="X280" s="2">
        <v>2016</v>
      </c>
      <c r="Y280" s="5"/>
    </row>
    <row r="281" spans="1:25" s="28" customFormat="1" ht="89.25" customHeight="1" outlineLevel="1" x14ac:dyDescent="0.2">
      <c r="A281" s="26"/>
      <c r="B281" s="2" t="s">
        <v>651</v>
      </c>
      <c r="C281" s="5" t="s">
        <v>83</v>
      </c>
      <c r="D281" s="5" t="s">
        <v>652</v>
      </c>
      <c r="E281" s="5" t="s">
        <v>653</v>
      </c>
      <c r="F281" s="5" t="s">
        <v>654</v>
      </c>
      <c r="G281" s="5" t="s">
        <v>655</v>
      </c>
      <c r="H281" s="5" t="s">
        <v>88</v>
      </c>
      <c r="I281" s="27">
        <v>0</v>
      </c>
      <c r="J281" s="5">
        <v>710000000</v>
      </c>
      <c r="K281" s="5" t="s">
        <v>89</v>
      </c>
      <c r="L281" s="5" t="s">
        <v>90</v>
      </c>
      <c r="M281" s="5" t="s">
        <v>91</v>
      </c>
      <c r="N281" s="7" t="s">
        <v>92</v>
      </c>
      <c r="O281" s="7" t="s">
        <v>93</v>
      </c>
      <c r="P281" s="7" t="s">
        <v>673</v>
      </c>
      <c r="Q281" s="15" t="s">
        <v>584</v>
      </c>
      <c r="R281" s="5" t="s">
        <v>585</v>
      </c>
      <c r="S281" s="9">
        <v>2</v>
      </c>
      <c r="T281" s="9">
        <v>23112</v>
      </c>
      <c r="U281" s="9">
        <v>0</v>
      </c>
      <c r="V281" s="9">
        <f t="shared" si="161"/>
        <v>0</v>
      </c>
      <c r="W281" s="2"/>
      <c r="X281" s="2">
        <v>2016</v>
      </c>
      <c r="Y281" s="5">
        <v>11</v>
      </c>
    </row>
    <row r="282" spans="1:25" s="28" customFormat="1" ht="89.25" customHeight="1" outlineLevel="1" x14ac:dyDescent="0.25">
      <c r="B282" s="2" t="s">
        <v>7647</v>
      </c>
      <c r="C282" s="5" t="s">
        <v>83</v>
      </c>
      <c r="D282" s="5" t="s">
        <v>652</v>
      </c>
      <c r="E282" s="5" t="s">
        <v>653</v>
      </c>
      <c r="F282" s="5" t="s">
        <v>654</v>
      </c>
      <c r="G282" s="5" t="s">
        <v>655</v>
      </c>
      <c r="H282" s="5" t="s">
        <v>88</v>
      </c>
      <c r="I282" s="27">
        <v>0</v>
      </c>
      <c r="J282" s="5">
        <v>710000000</v>
      </c>
      <c r="K282" s="5" t="s">
        <v>89</v>
      </c>
      <c r="L282" s="5" t="s">
        <v>7470</v>
      </c>
      <c r="M282" s="5" t="s">
        <v>91</v>
      </c>
      <c r="N282" s="7" t="s">
        <v>92</v>
      </c>
      <c r="O282" s="7" t="s">
        <v>93</v>
      </c>
      <c r="P282" s="7" t="s">
        <v>673</v>
      </c>
      <c r="Q282" s="15" t="s">
        <v>584</v>
      </c>
      <c r="R282" s="5" t="s">
        <v>585</v>
      </c>
      <c r="S282" s="9">
        <v>2</v>
      </c>
      <c r="T282" s="9">
        <v>23112</v>
      </c>
      <c r="U282" s="9">
        <f t="shared" ref="U282" si="201">T282*S282</f>
        <v>46224</v>
      </c>
      <c r="V282" s="9">
        <f t="shared" ref="V282" si="202">U282*1.12</f>
        <v>51770.880000000005</v>
      </c>
      <c r="W282" s="2"/>
      <c r="X282" s="2">
        <v>2016</v>
      </c>
      <c r="Y282" s="5"/>
    </row>
    <row r="283" spans="1:25" s="28" customFormat="1" ht="89.25" customHeight="1" outlineLevel="1" x14ac:dyDescent="0.2">
      <c r="A283" s="26"/>
      <c r="B283" s="2" t="s">
        <v>656</v>
      </c>
      <c r="C283" s="5" t="s">
        <v>83</v>
      </c>
      <c r="D283" s="5" t="s">
        <v>657</v>
      </c>
      <c r="E283" s="5" t="s">
        <v>653</v>
      </c>
      <c r="F283" s="5" t="s">
        <v>658</v>
      </c>
      <c r="G283" s="5" t="s">
        <v>659</v>
      </c>
      <c r="H283" s="5" t="s">
        <v>88</v>
      </c>
      <c r="I283" s="27">
        <v>0</v>
      </c>
      <c r="J283" s="5">
        <v>710000000</v>
      </c>
      <c r="K283" s="5" t="s">
        <v>89</v>
      </c>
      <c r="L283" s="5" t="s">
        <v>90</v>
      </c>
      <c r="M283" s="5" t="s">
        <v>91</v>
      </c>
      <c r="N283" s="7" t="s">
        <v>92</v>
      </c>
      <c r="O283" s="7" t="s">
        <v>93</v>
      </c>
      <c r="P283" s="7" t="s">
        <v>673</v>
      </c>
      <c r="Q283" s="15" t="s">
        <v>584</v>
      </c>
      <c r="R283" s="5" t="s">
        <v>585</v>
      </c>
      <c r="S283" s="9">
        <v>2</v>
      </c>
      <c r="T283" s="9">
        <v>14723</v>
      </c>
      <c r="U283" s="9">
        <v>0</v>
      </c>
      <c r="V283" s="9">
        <f t="shared" si="161"/>
        <v>0</v>
      </c>
      <c r="W283" s="2"/>
      <c r="X283" s="2">
        <v>2016</v>
      </c>
      <c r="Y283" s="5">
        <v>11</v>
      </c>
    </row>
    <row r="284" spans="1:25" s="28" customFormat="1" ht="89.25" customHeight="1" outlineLevel="1" x14ac:dyDescent="0.25">
      <c r="B284" s="2" t="s">
        <v>7648</v>
      </c>
      <c r="C284" s="5" t="s">
        <v>83</v>
      </c>
      <c r="D284" s="5" t="s">
        <v>657</v>
      </c>
      <c r="E284" s="5" t="s">
        <v>653</v>
      </c>
      <c r="F284" s="5" t="s">
        <v>658</v>
      </c>
      <c r="G284" s="5" t="s">
        <v>659</v>
      </c>
      <c r="H284" s="5" t="s">
        <v>88</v>
      </c>
      <c r="I284" s="27">
        <v>0</v>
      </c>
      <c r="J284" s="5">
        <v>710000000</v>
      </c>
      <c r="K284" s="5" t="s">
        <v>89</v>
      </c>
      <c r="L284" s="5" t="s">
        <v>7470</v>
      </c>
      <c r="M284" s="5" t="s">
        <v>91</v>
      </c>
      <c r="N284" s="7" t="s">
        <v>92</v>
      </c>
      <c r="O284" s="7" t="s">
        <v>93</v>
      </c>
      <c r="P284" s="7" t="s">
        <v>673</v>
      </c>
      <c r="Q284" s="15" t="s">
        <v>584</v>
      </c>
      <c r="R284" s="5" t="s">
        <v>585</v>
      </c>
      <c r="S284" s="9">
        <v>2</v>
      </c>
      <c r="T284" s="9">
        <v>14723</v>
      </c>
      <c r="U284" s="9">
        <f t="shared" ref="U284" si="203">T284*S284</f>
        <v>29446</v>
      </c>
      <c r="V284" s="9">
        <f t="shared" ref="V284" si="204">U284*1.12</f>
        <v>32979.520000000004</v>
      </c>
      <c r="W284" s="2"/>
      <c r="X284" s="2">
        <v>2016</v>
      </c>
      <c r="Y284" s="5"/>
    </row>
    <row r="285" spans="1:25" s="28" customFormat="1" ht="89.25" customHeight="1" outlineLevel="1" x14ac:dyDescent="0.2">
      <c r="A285" s="26"/>
      <c r="B285" s="2" t="s">
        <v>660</v>
      </c>
      <c r="C285" s="5" t="s">
        <v>83</v>
      </c>
      <c r="D285" s="5" t="s">
        <v>661</v>
      </c>
      <c r="E285" s="5" t="s">
        <v>662</v>
      </c>
      <c r="F285" s="5" t="s">
        <v>663</v>
      </c>
      <c r="G285" s="5"/>
      <c r="H285" s="5" t="s">
        <v>88</v>
      </c>
      <c r="I285" s="27">
        <v>0.5</v>
      </c>
      <c r="J285" s="5">
        <v>710000000</v>
      </c>
      <c r="K285" s="5" t="s">
        <v>89</v>
      </c>
      <c r="L285" s="5" t="s">
        <v>90</v>
      </c>
      <c r="M285" s="5" t="s">
        <v>91</v>
      </c>
      <c r="N285" s="7" t="s">
        <v>92</v>
      </c>
      <c r="O285" s="7" t="s">
        <v>93</v>
      </c>
      <c r="P285" s="7" t="s">
        <v>94</v>
      </c>
      <c r="Q285" s="15" t="s">
        <v>584</v>
      </c>
      <c r="R285" s="5" t="s">
        <v>585</v>
      </c>
      <c r="S285" s="9">
        <v>50</v>
      </c>
      <c r="T285" s="9">
        <v>223.92</v>
      </c>
      <c r="U285" s="9">
        <v>0</v>
      </c>
      <c r="V285" s="9">
        <f>U285*1.12</f>
        <v>0</v>
      </c>
      <c r="W285" s="2" t="s">
        <v>97</v>
      </c>
      <c r="X285" s="2">
        <v>2016</v>
      </c>
      <c r="Y285" s="5" t="s">
        <v>7670</v>
      </c>
    </row>
    <row r="286" spans="1:25" s="28" customFormat="1" ht="89.25" customHeight="1" outlineLevel="1" x14ac:dyDescent="0.25">
      <c r="B286" s="2" t="s">
        <v>7649</v>
      </c>
      <c r="C286" s="5" t="s">
        <v>83</v>
      </c>
      <c r="D286" s="5" t="s">
        <v>661</v>
      </c>
      <c r="E286" s="5" t="s">
        <v>662</v>
      </c>
      <c r="F286" s="5" t="s">
        <v>663</v>
      </c>
      <c r="G286" s="5"/>
      <c r="H286" s="5" t="s">
        <v>88</v>
      </c>
      <c r="I286" s="27">
        <v>0</v>
      </c>
      <c r="J286" s="5">
        <v>710000000</v>
      </c>
      <c r="K286" s="5" t="s">
        <v>89</v>
      </c>
      <c r="L286" s="5" t="s">
        <v>7470</v>
      </c>
      <c r="M286" s="5" t="s">
        <v>91</v>
      </c>
      <c r="N286" s="7" t="s">
        <v>92</v>
      </c>
      <c r="O286" s="7" t="s">
        <v>93</v>
      </c>
      <c r="P286" s="7" t="s">
        <v>673</v>
      </c>
      <c r="Q286" s="15" t="s">
        <v>584</v>
      </c>
      <c r="R286" s="5" t="s">
        <v>585</v>
      </c>
      <c r="S286" s="9">
        <v>50</v>
      </c>
      <c r="T286" s="9">
        <v>223.92</v>
      </c>
      <c r="U286" s="9">
        <f>T286*S286</f>
        <v>11196</v>
      </c>
      <c r="V286" s="9">
        <f>U286*1.12</f>
        <v>12539.52</v>
      </c>
      <c r="W286" s="2"/>
      <c r="X286" s="2">
        <v>2016</v>
      </c>
      <c r="Y286" s="5"/>
    </row>
    <row r="287" spans="1:25" s="28" customFormat="1" ht="89.25" customHeight="1" outlineLevel="1" x14ac:dyDescent="0.2">
      <c r="A287" s="26"/>
      <c r="B287" s="2" t="s">
        <v>664</v>
      </c>
      <c r="C287" s="5" t="s">
        <v>83</v>
      </c>
      <c r="D287" s="5" t="s">
        <v>665</v>
      </c>
      <c r="E287" s="5" t="s">
        <v>666</v>
      </c>
      <c r="F287" s="5" t="s">
        <v>667</v>
      </c>
      <c r="G287" s="5"/>
      <c r="H287" s="5" t="s">
        <v>88</v>
      </c>
      <c r="I287" s="27">
        <v>0.5</v>
      </c>
      <c r="J287" s="5">
        <v>710000000</v>
      </c>
      <c r="K287" s="5" t="s">
        <v>89</v>
      </c>
      <c r="L287" s="5" t="s">
        <v>90</v>
      </c>
      <c r="M287" s="5" t="s">
        <v>91</v>
      </c>
      <c r="N287" s="7" t="s">
        <v>92</v>
      </c>
      <c r="O287" s="7" t="s">
        <v>93</v>
      </c>
      <c r="P287" s="7" t="s">
        <v>94</v>
      </c>
      <c r="Q287" s="15" t="s">
        <v>584</v>
      </c>
      <c r="R287" s="5" t="s">
        <v>585</v>
      </c>
      <c r="S287" s="9">
        <v>20</v>
      </c>
      <c r="T287" s="9">
        <v>751.15</v>
      </c>
      <c r="U287" s="9">
        <v>0</v>
      </c>
      <c r="V287" s="9">
        <f t="shared" si="161"/>
        <v>0</v>
      </c>
      <c r="W287" s="2" t="s">
        <v>97</v>
      </c>
      <c r="X287" s="2">
        <v>2016</v>
      </c>
      <c r="Y287" s="5" t="s">
        <v>7670</v>
      </c>
    </row>
    <row r="288" spans="1:25" s="28" customFormat="1" ht="89.25" customHeight="1" outlineLevel="1" x14ac:dyDescent="0.25">
      <c r="B288" s="2" t="s">
        <v>7650</v>
      </c>
      <c r="C288" s="5" t="s">
        <v>83</v>
      </c>
      <c r="D288" s="5" t="s">
        <v>665</v>
      </c>
      <c r="E288" s="5" t="s">
        <v>666</v>
      </c>
      <c r="F288" s="5" t="s">
        <v>667</v>
      </c>
      <c r="G288" s="5"/>
      <c r="H288" s="5" t="s">
        <v>88</v>
      </c>
      <c r="I288" s="27">
        <v>0</v>
      </c>
      <c r="J288" s="5">
        <v>710000000</v>
      </c>
      <c r="K288" s="5" t="s">
        <v>89</v>
      </c>
      <c r="L288" s="5" t="s">
        <v>7470</v>
      </c>
      <c r="M288" s="5" t="s">
        <v>91</v>
      </c>
      <c r="N288" s="7" t="s">
        <v>92</v>
      </c>
      <c r="O288" s="7" t="s">
        <v>93</v>
      </c>
      <c r="P288" s="7" t="s">
        <v>673</v>
      </c>
      <c r="Q288" s="15" t="s">
        <v>584</v>
      </c>
      <c r="R288" s="5" t="s">
        <v>585</v>
      </c>
      <c r="S288" s="9">
        <v>20</v>
      </c>
      <c r="T288" s="9">
        <v>751.15</v>
      </c>
      <c r="U288" s="9">
        <f t="shared" ref="U288" si="205">T288*S288</f>
        <v>15023</v>
      </c>
      <c r="V288" s="9">
        <f t="shared" ref="V288" si="206">U288*1.12</f>
        <v>16825.760000000002</v>
      </c>
      <c r="W288" s="2"/>
      <c r="X288" s="2">
        <v>2016</v>
      </c>
      <c r="Y288" s="5"/>
    </row>
    <row r="289" spans="1:25" s="20" customFormat="1" ht="89.25" customHeight="1" outlineLevel="1" x14ac:dyDescent="0.2">
      <c r="A289" s="29"/>
      <c r="B289" s="2" t="s">
        <v>668</v>
      </c>
      <c r="C289" s="3" t="s">
        <v>83</v>
      </c>
      <c r="D289" s="3" t="s">
        <v>669</v>
      </c>
      <c r="E289" s="3" t="s">
        <v>614</v>
      </c>
      <c r="F289" s="3" t="s">
        <v>670</v>
      </c>
      <c r="G289" s="3" t="s">
        <v>671</v>
      </c>
      <c r="H289" s="2" t="s">
        <v>88</v>
      </c>
      <c r="I289" s="27">
        <v>0.5</v>
      </c>
      <c r="J289" s="5">
        <v>710000000</v>
      </c>
      <c r="K289" s="3" t="s">
        <v>89</v>
      </c>
      <c r="L289" s="2" t="s">
        <v>90</v>
      </c>
      <c r="M289" s="6" t="s">
        <v>672</v>
      </c>
      <c r="N289" s="7" t="s">
        <v>92</v>
      </c>
      <c r="O289" s="7" t="s">
        <v>93</v>
      </c>
      <c r="P289" s="3" t="s">
        <v>94</v>
      </c>
      <c r="Q289" s="8" t="s">
        <v>584</v>
      </c>
      <c r="R289" s="7" t="s">
        <v>585</v>
      </c>
      <c r="S289" s="9">
        <v>470</v>
      </c>
      <c r="T289" s="9">
        <v>446</v>
      </c>
      <c r="U289" s="9">
        <v>0</v>
      </c>
      <c r="V289" s="9">
        <f t="shared" si="161"/>
        <v>0</v>
      </c>
      <c r="W289" s="2" t="s">
        <v>97</v>
      </c>
      <c r="X289" s="2">
        <v>2016</v>
      </c>
      <c r="Y289" s="5">
        <v>11</v>
      </c>
    </row>
    <row r="290" spans="1:25" s="20" customFormat="1" ht="89.25" customHeight="1" outlineLevel="1" x14ac:dyDescent="0.25">
      <c r="B290" s="2" t="s">
        <v>7651</v>
      </c>
      <c r="C290" s="3" t="s">
        <v>83</v>
      </c>
      <c r="D290" s="3" t="s">
        <v>669</v>
      </c>
      <c r="E290" s="3" t="s">
        <v>614</v>
      </c>
      <c r="F290" s="3" t="s">
        <v>670</v>
      </c>
      <c r="G290" s="3" t="s">
        <v>671</v>
      </c>
      <c r="H290" s="2" t="s">
        <v>88</v>
      </c>
      <c r="I290" s="27">
        <v>0.5</v>
      </c>
      <c r="J290" s="5">
        <v>710000000</v>
      </c>
      <c r="K290" s="3" t="s">
        <v>89</v>
      </c>
      <c r="L290" s="5" t="s">
        <v>7470</v>
      </c>
      <c r="M290" s="6" t="s">
        <v>672</v>
      </c>
      <c r="N290" s="7" t="s">
        <v>92</v>
      </c>
      <c r="O290" s="7" t="s">
        <v>93</v>
      </c>
      <c r="P290" s="3" t="s">
        <v>94</v>
      </c>
      <c r="Q290" s="8" t="s">
        <v>584</v>
      </c>
      <c r="R290" s="7" t="s">
        <v>585</v>
      </c>
      <c r="S290" s="9">
        <v>470</v>
      </c>
      <c r="T290" s="9">
        <v>446</v>
      </c>
      <c r="U290" s="9">
        <f t="shared" ref="U290" si="207">S290*T290</f>
        <v>209620</v>
      </c>
      <c r="V290" s="9">
        <f t="shared" ref="V290" si="208">U290*1.12</f>
        <v>234774.40000000002</v>
      </c>
      <c r="W290" s="2" t="s">
        <v>97</v>
      </c>
      <c r="X290" s="2">
        <v>2016</v>
      </c>
      <c r="Y290" s="3"/>
    </row>
    <row r="291" spans="1:25" s="20" customFormat="1" ht="89.25" customHeight="1" outlineLevel="1" x14ac:dyDescent="0.2">
      <c r="A291" s="29"/>
      <c r="B291" s="2" t="s">
        <v>674</v>
      </c>
      <c r="C291" s="3" t="s">
        <v>83</v>
      </c>
      <c r="D291" s="3" t="s">
        <v>675</v>
      </c>
      <c r="E291" s="3" t="s">
        <v>614</v>
      </c>
      <c r="F291" s="3" t="s">
        <v>676</v>
      </c>
      <c r="G291" s="3" t="s">
        <v>677</v>
      </c>
      <c r="H291" s="2" t="s">
        <v>88</v>
      </c>
      <c r="I291" s="27">
        <v>0.5</v>
      </c>
      <c r="J291" s="5">
        <v>710000000</v>
      </c>
      <c r="K291" s="3" t="s">
        <v>89</v>
      </c>
      <c r="L291" s="2" t="s">
        <v>90</v>
      </c>
      <c r="M291" s="6" t="s">
        <v>672</v>
      </c>
      <c r="N291" s="7" t="s">
        <v>92</v>
      </c>
      <c r="O291" s="7" t="s">
        <v>93</v>
      </c>
      <c r="P291" s="3" t="s">
        <v>94</v>
      </c>
      <c r="Q291" s="8" t="s">
        <v>584</v>
      </c>
      <c r="R291" s="7" t="s">
        <v>585</v>
      </c>
      <c r="S291" s="9">
        <v>7300</v>
      </c>
      <c r="T291" s="9">
        <v>100</v>
      </c>
      <c r="U291" s="9">
        <v>0</v>
      </c>
      <c r="V291" s="9">
        <f t="shared" si="161"/>
        <v>0</v>
      </c>
      <c r="W291" s="2" t="s">
        <v>97</v>
      </c>
      <c r="X291" s="2">
        <v>2016</v>
      </c>
      <c r="Y291" s="5" t="s">
        <v>7670</v>
      </c>
    </row>
    <row r="292" spans="1:25" s="20" customFormat="1" ht="89.25" customHeight="1" outlineLevel="1" x14ac:dyDescent="0.25">
      <c r="B292" s="2" t="s">
        <v>7652</v>
      </c>
      <c r="C292" s="3" t="s">
        <v>83</v>
      </c>
      <c r="D292" s="3" t="s">
        <v>675</v>
      </c>
      <c r="E292" s="3" t="s">
        <v>614</v>
      </c>
      <c r="F292" s="3" t="s">
        <v>676</v>
      </c>
      <c r="G292" s="3" t="s">
        <v>677</v>
      </c>
      <c r="H292" s="2" t="s">
        <v>88</v>
      </c>
      <c r="I292" s="27">
        <v>0</v>
      </c>
      <c r="J292" s="5">
        <v>710000000</v>
      </c>
      <c r="K292" s="3" t="s">
        <v>89</v>
      </c>
      <c r="L292" s="5" t="s">
        <v>7470</v>
      </c>
      <c r="M292" s="6" t="s">
        <v>672</v>
      </c>
      <c r="N292" s="7" t="s">
        <v>92</v>
      </c>
      <c r="O292" s="7" t="s">
        <v>93</v>
      </c>
      <c r="P292" s="7" t="s">
        <v>673</v>
      </c>
      <c r="Q292" s="8" t="s">
        <v>584</v>
      </c>
      <c r="R292" s="7" t="s">
        <v>585</v>
      </c>
      <c r="S292" s="9">
        <v>7300</v>
      </c>
      <c r="T292" s="9">
        <v>100</v>
      </c>
      <c r="U292" s="9">
        <f t="shared" ref="U292" si="209">S292*T292</f>
        <v>730000</v>
      </c>
      <c r="V292" s="9">
        <f t="shared" ref="V292" si="210">U292*1.12</f>
        <v>817600.00000000012</v>
      </c>
      <c r="W292" s="2"/>
      <c r="X292" s="2">
        <v>2016</v>
      </c>
      <c r="Y292" s="3"/>
    </row>
    <row r="293" spans="1:25" s="20" customFormat="1" ht="89.25" customHeight="1" outlineLevel="1" x14ac:dyDescent="0.2">
      <c r="A293" s="29"/>
      <c r="B293" s="2" t="s">
        <v>678</v>
      </c>
      <c r="C293" s="3" t="s">
        <v>83</v>
      </c>
      <c r="D293" s="3" t="s">
        <v>622</v>
      </c>
      <c r="E293" s="3" t="s">
        <v>614</v>
      </c>
      <c r="F293" s="3" t="s">
        <v>623</v>
      </c>
      <c r="G293" s="3" t="s">
        <v>679</v>
      </c>
      <c r="H293" s="2" t="s">
        <v>88</v>
      </c>
      <c r="I293" s="27">
        <v>0.5</v>
      </c>
      <c r="J293" s="5">
        <v>710000000</v>
      </c>
      <c r="K293" s="3" t="s">
        <v>89</v>
      </c>
      <c r="L293" s="5" t="s">
        <v>90</v>
      </c>
      <c r="M293" s="6" t="s">
        <v>672</v>
      </c>
      <c r="N293" s="7" t="s">
        <v>92</v>
      </c>
      <c r="O293" s="7" t="s">
        <v>93</v>
      </c>
      <c r="P293" s="3" t="s">
        <v>94</v>
      </c>
      <c r="Q293" s="8" t="s">
        <v>584</v>
      </c>
      <c r="R293" s="7" t="s">
        <v>585</v>
      </c>
      <c r="S293" s="9">
        <v>4000</v>
      </c>
      <c r="T293" s="9">
        <v>75</v>
      </c>
      <c r="U293" s="9">
        <v>0</v>
      </c>
      <c r="V293" s="9">
        <f t="shared" si="161"/>
        <v>0</v>
      </c>
      <c r="W293" s="2" t="s">
        <v>97</v>
      </c>
      <c r="X293" s="2">
        <v>2016</v>
      </c>
      <c r="Y293" s="5">
        <v>11</v>
      </c>
    </row>
    <row r="294" spans="1:25" s="20" customFormat="1" ht="89.25" customHeight="1" outlineLevel="1" x14ac:dyDescent="0.25">
      <c r="B294" s="2" t="s">
        <v>7653</v>
      </c>
      <c r="C294" s="3" t="s">
        <v>83</v>
      </c>
      <c r="D294" s="3" t="s">
        <v>622</v>
      </c>
      <c r="E294" s="3" t="s">
        <v>614</v>
      </c>
      <c r="F294" s="3" t="s">
        <v>623</v>
      </c>
      <c r="G294" s="3" t="s">
        <v>679</v>
      </c>
      <c r="H294" s="2" t="s">
        <v>88</v>
      </c>
      <c r="I294" s="27">
        <v>0.5</v>
      </c>
      <c r="J294" s="5">
        <v>710000000</v>
      </c>
      <c r="K294" s="3" t="s">
        <v>89</v>
      </c>
      <c r="L294" s="5" t="s">
        <v>7470</v>
      </c>
      <c r="M294" s="6" t="s">
        <v>672</v>
      </c>
      <c r="N294" s="7" t="s">
        <v>92</v>
      </c>
      <c r="O294" s="7" t="s">
        <v>93</v>
      </c>
      <c r="P294" s="3" t="s">
        <v>94</v>
      </c>
      <c r="Q294" s="8" t="s">
        <v>584</v>
      </c>
      <c r="R294" s="7" t="s">
        <v>585</v>
      </c>
      <c r="S294" s="9">
        <v>4000</v>
      </c>
      <c r="T294" s="9">
        <v>75</v>
      </c>
      <c r="U294" s="9">
        <f t="shared" ref="U294" si="211">S294*T294</f>
        <v>300000</v>
      </c>
      <c r="V294" s="9">
        <f t="shared" ref="V294" si="212">U294*1.12</f>
        <v>336000.00000000006</v>
      </c>
      <c r="W294" s="2" t="s">
        <v>97</v>
      </c>
      <c r="X294" s="2">
        <v>2016</v>
      </c>
      <c r="Y294" s="3"/>
    </row>
    <row r="295" spans="1:25" s="20" customFormat="1" ht="89.25" customHeight="1" outlineLevel="1" x14ac:dyDescent="0.2">
      <c r="A295" s="29"/>
      <c r="B295" s="2" t="s">
        <v>680</v>
      </c>
      <c r="C295" s="3" t="s">
        <v>83</v>
      </c>
      <c r="D295" s="3" t="s">
        <v>669</v>
      </c>
      <c r="E295" s="3" t="s">
        <v>614</v>
      </c>
      <c r="F295" s="3" t="s">
        <v>670</v>
      </c>
      <c r="G295" s="3" t="s">
        <v>681</v>
      </c>
      <c r="H295" s="2" t="s">
        <v>88</v>
      </c>
      <c r="I295" s="27">
        <v>0.5</v>
      </c>
      <c r="J295" s="5">
        <v>710000000</v>
      </c>
      <c r="K295" s="3" t="s">
        <v>89</v>
      </c>
      <c r="L295" s="5" t="s">
        <v>90</v>
      </c>
      <c r="M295" s="3" t="s">
        <v>682</v>
      </c>
      <c r="N295" s="7" t="s">
        <v>92</v>
      </c>
      <c r="O295" s="7" t="s">
        <v>93</v>
      </c>
      <c r="P295" s="3" t="s">
        <v>94</v>
      </c>
      <c r="Q295" s="8" t="s">
        <v>584</v>
      </c>
      <c r="R295" s="7" t="s">
        <v>585</v>
      </c>
      <c r="S295" s="9">
        <v>1300</v>
      </c>
      <c r="T295" s="9">
        <v>401.92</v>
      </c>
      <c r="U295" s="9">
        <v>0</v>
      </c>
      <c r="V295" s="9">
        <f t="shared" si="161"/>
        <v>0</v>
      </c>
      <c r="W295" s="2" t="s">
        <v>97</v>
      </c>
      <c r="X295" s="2">
        <v>2016</v>
      </c>
      <c r="Y295" s="5">
        <v>11</v>
      </c>
    </row>
    <row r="296" spans="1:25" s="20" customFormat="1" ht="89.25" customHeight="1" outlineLevel="1" x14ac:dyDescent="0.25">
      <c r="B296" s="2" t="s">
        <v>7654</v>
      </c>
      <c r="C296" s="3" t="s">
        <v>83</v>
      </c>
      <c r="D296" s="3" t="s">
        <v>669</v>
      </c>
      <c r="E296" s="3" t="s">
        <v>614</v>
      </c>
      <c r="F296" s="3" t="s">
        <v>670</v>
      </c>
      <c r="G296" s="3" t="s">
        <v>681</v>
      </c>
      <c r="H296" s="2" t="s">
        <v>88</v>
      </c>
      <c r="I296" s="27">
        <v>0.5</v>
      </c>
      <c r="J296" s="5">
        <v>710000000</v>
      </c>
      <c r="K296" s="3" t="s">
        <v>89</v>
      </c>
      <c r="L296" s="5" t="s">
        <v>7470</v>
      </c>
      <c r="M296" s="3" t="s">
        <v>682</v>
      </c>
      <c r="N296" s="7" t="s">
        <v>92</v>
      </c>
      <c r="O296" s="7" t="s">
        <v>93</v>
      </c>
      <c r="P296" s="3" t="s">
        <v>94</v>
      </c>
      <c r="Q296" s="8" t="s">
        <v>584</v>
      </c>
      <c r="R296" s="7" t="s">
        <v>585</v>
      </c>
      <c r="S296" s="9">
        <v>1300</v>
      </c>
      <c r="T296" s="9">
        <v>401.92</v>
      </c>
      <c r="U296" s="9">
        <f t="shared" ref="U296" si="213">S296*T296</f>
        <v>522496</v>
      </c>
      <c r="V296" s="9">
        <f t="shared" ref="V296" si="214">U296*1.12</f>
        <v>585195.52000000002</v>
      </c>
      <c r="W296" s="2" t="s">
        <v>97</v>
      </c>
      <c r="X296" s="2">
        <v>2016</v>
      </c>
      <c r="Y296" s="3"/>
    </row>
    <row r="297" spans="1:25" s="20" customFormat="1" ht="89.25" customHeight="1" outlineLevel="1" x14ac:dyDescent="0.2">
      <c r="A297" s="29"/>
      <c r="B297" s="2" t="s">
        <v>683</v>
      </c>
      <c r="C297" s="3" t="s">
        <v>83</v>
      </c>
      <c r="D297" s="3" t="s">
        <v>7696</v>
      </c>
      <c r="E297" s="3" t="s">
        <v>614</v>
      </c>
      <c r="F297" s="3" t="s">
        <v>684</v>
      </c>
      <c r="G297" s="3"/>
      <c r="H297" s="2" t="s">
        <v>88</v>
      </c>
      <c r="I297" s="27">
        <v>0.5</v>
      </c>
      <c r="J297" s="5">
        <v>710000000</v>
      </c>
      <c r="K297" s="3" t="s">
        <v>89</v>
      </c>
      <c r="L297" s="5" t="s">
        <v>90</v>
      </c>
      <c r="M297" s="3" t="s">
        <v>682</v>
      </c>
      <c r="N297" s="7" t="s">
        <v>92</v>
      </c>
      <c r="O297" s="7" t="s">
        <v>93</v>
      </c>
      <c r="P297" s="3" t="s">
        <v>94</v>
      </c>
      <c r="Q297" s="8" t="s">
        <v>584</v>
      </c>
      <c r="R297" s="7" t="s">
        <v>585</v>
      </c>
      <c r="S297" s="9">
        <v>8000</v>
      </c>
      <c r="T297" s="9">
        <v>62.44</v>
      </c>
      <c r="U297" s="9">
        <v>0</v>
      </c>
      <c r="V297" s="9">
        <f t="shared" si="161"/>
        <v>0</v>
      </c>
      <c r="W297" s="2" t="s">
        <v>97</v>
      </c>
      <c r="X297" s="2">
        <v>2016</v>
      </c>
      <c r="Y297" s="5">
        <v>11</v>
      </c>
    </row>
    <row r="298" spans="1:25" s="20" customFormat="1" ht="89.25" customHeight="1" outlineLevel="1" x14ac:dyDescent="0.25">
      <c r="B298" s="2" t="s">
        <v>7655</v>
      </c>
      <c r="C298" s="3" t="s">
        <v>83</v>
      </c>
      <c r="D298" s="3" t="s">
        <v>7696</v>
      </c>
      <c r="E298" s="3" t="s">
        <v>614</v>
      </c>
      <c r="F298" s="3" t="s">
        <v>684</v>
      </c>
      <c r="G298" s="3"/>
      <c r="H298" s="2" t="s">
        <v>88</v>
      </c>
      <c r="I298" s="27">
        <v>0.5</v>
      </c>
      <c r="J298" s="5">
        <v>710000000</v>
      </c>
      <c r="K298" s="3" t="s">
        <v>89</v>
      </c>
      <c r="L298" s="5" t="s">
        <v>7470</v>
      </c>
      <c r="M298" s="3" t="s">
        <v>682</v>
      </c>
      <c r="N298" s="7" t="s">
        <v>92</v>
      </c>
      <c r="O298" s="7" t="s">
        <v>93</v>
      </c>
      <c r="P298" s="3" t="s">
        <v>94</v>
      </c>
      <c r="Q298" s="8" t="s">
        <v>584</v>
      </c>
      <c r="R298" s="7" t="s">
        <v>585</v>
      </c>
      <c r="S298" s="9">
        <v>8000</v>
      </c>
      <c r="T298" s="9">
        <v>62.44</v>
      </c>
      <c r="U298" s="9">
        <f t="shared" ref="U298" si="215">S298*T298</f>
        <v>499520</v>
      </c>
      <c r="V298" s="9">
        <f t="shared" ref="V298" si="216">U298*1.12</f>
        <v>559462.40000000002</v>
      </c>
      <c r="W298" s="2" t="s">
        <v>97</v>
      </c>
      <c r="X298" s="2">
        <v>2016</v>
      </c>
      <c r="Y298" s="3"/>
    </row>
    <row r="299" spans="1:25" s="20" customFormat="1" ht="114.75" customHeight="1" outlineLevel="1" x14ac:dyDescent="0.2">
      <c r="A299" s="29"/>
      <c r="B299" s="2" t="s">
        <v>685</v>
      </c>
      <c r="C299" s="3" t="s">
        <v>83</v>
      </c>
      <c r="D299" s="3" t="s">
        <v>686</v>
      </c>
      <c r="E299" s="3" t="s">
        <v>85</v>
      </c>
      <c r="F299" s="3" t="s">
        <v>687</v>
      </c>
      <c r="G299" s="3" t="s">
        <v>688</v>
      </c>
      <c r="H299" s="2" t="s">
        <v>88</v>
      </c>
      <c r="I299" s="27">
        <v>0.5</v>
      </c>
      <c r="J299" s="5">
        <v>710000000</v>
      </c>
      <c r="K299" s="3" t="s">
        <v>89</v>
      </c>
      <c r="L299" s="2" t="s">
        <v>90</v>
      </c>
      <c r="M299" s="3" t="s">
        <v>689</v>
      </c>
      <c r="N299" s="7" t="s">
        <v>92</v>
      </c>
      <c r="O299" s="7" t="s">
        <v>93</v>
      </c>
      <c r="P299" s="3" t="s">
        <v>94</v>
      </c>
      <c r="Q299" s="8">
        <v>112</v>
      </c>
      <c r="R299" s="7" t="s">
        <v>96</v>
      </c>
      <c r="S299" s="9">
        <v>16290</v>
      </c>
      <c r="T299" s="9">
        <v>143.04</v>
      </c>
      <c r="U299" s="9">
        <v>0</v>
      </c>
      <c r="V299" s="9">
        <f t="shared" si="161"/>
        <v>0</v>
      </c>
      <c r="W299" s="2" t="s">
        <v>97</v>
      </c>
      <c r="X299" s="2">
        <v>2016</v>
      </c>
      <c r="Y299" s="5">
        <v>11</v>
      </c>
    </row>
    <row r="300" spans="1:25" s="20" customFormat="1" ht="114.75" customHeight="1" outlineLevel="1" x14ac:dyDescent="0.25">
      <c r="B300" s="2" t="s">
        <v>7656</v>
      </c>
      <c r="C300" s="3" t="s">
        <v>83</v>
      </c>
      <c r="D300" s="3" t="s">
        <v>686</v>
      </c>
      <c r="E300" s="3" t="s">
        <v>85</v>
      </c>
      <c r="F300" s="3" t="s">
        <v>687</v>
      </c>
      <c r="G300" s="3" t="s">
        <v>688</v>
      </c>
      <c r="H300" s="2" t="s">
        <v>88</v>
      </c>
      <c r="I300" s="27">
        <v>0.5</v>
      </c>
      <c r="J300" s="5">
        <v>710000000</v>
      </c>
      <c r="K300" s="3" t="s">
        <v>89</v>
      </c>
      <c r="L300" s="5" t="s">
        <v>7470</v>
      </c>
      <c r="M300" s="3" t="s">
        <v>689</v>
      </c>
      <c r="N300" s="7" t="s">
        <v>92</v>
      </c>
      <c r="O300" s="7" t="s">
        <v>93</v>
      </c>
      <c r="P300" s="3" t="s">
        <v>94</v>
      </c>
      <c r="Q300" s="8">
        <v>112</v>
      </c>
      <c r="R300" s="7" t="s">
        <v>96</v>
      </c>
      <c r="S300" s="9">
        <v>16290</v>
      </c>
      <c r="T300" s="9">
        <v>143.04</v>
      </c>
      <c r="U300" s="9">
        <f t="shared" ref="U300" si="217">S300*T300</f>
        <v>2330121.6</v>
      </c>
      <c r="V300" s="9">
        <f t="shared" ref="V300" si="218">U300*1.12</f>
        <v>2609736.1920000003</v>
      </c>
      <c r="W300" s="2" t="s">
        <v>97</v>
      </c>
      <c r="X300" s="2">
        <v>2016</v>
      </c>
      <c r="Y300" s="3"/>
    </row>
    <row r="301" spans="1:25" s="11" customFormat="1" ht="38.25" customHeight="1" outlineLevel="1" x14ac:dyDescent="0.25">
      <c r="B301" s="2" t="s">
        <v>690</v>
      </c>
      <c r="C301" s="3" t="s">
        <v>83</v>
      </c>
      <c r="D301" s="3" t="s">
        <v>691</v>
      </c>
      <c r="E301" s="3" t="s">
        <v>692</v>
      </c>
      <c r="F301" s="3" t="s">
        <v>693</v>
      </c>
      <c r="G301" s="30"/>
      <c r="H301" s="2" t="s">
        <v>694</v>
      </c>
      <c r="I301" s="4">
        <v>1</v>
      </c>
      <c r="J301" s="5">
        <v>710000000</v>
      </c>
      <c r="K301" s="5" t="s">
        <v>89</v>
      </c>
      <c r="L301" s="2" t="s">
        <v>695</v>
      </c>
      <c r="M301" s="6" t="s">
        <v>696</v>
      </c>
      <c r="N301" s="7" t="s">
        <v>92</v>
      </c>
      <c r="O301" s="7" t="s">
        <v>697</v>
      </c>
      <c r="P301" s="7" t="s">
        <v>698</v>
      </c>
      <c r="Q301" s="31">
        <v>214</v>
      </c>
      <c r="R301" s="2" t="s">
        <v>699</v>
      </c>
      <c r="S301" s="9">
        <v>17082498.359999999</v>
      </c>
      <c r="T301" s="9">
        <v>15.25</v>
      </c>
      <c r="U301" s="9">
        <v>0</v>
      </c>
      <c r="V301" s="9">
        <f t="shared" si="161"/>
        <v>0</v>
      </c>
      <c r="W301" s="2" t="s">
        <v>97</v>
      </c>
      <c r="X301" s="2">
        <v>2016</v>
      </c>
      <c r="Y301" s="2">
        <v>20.21</v>
      </c>
    </row>
    <row r="302" spans="1:25" s="11" customFormat="1" ht="38.25" customHeight="1" outlineLevel="1" x14ac:dyDescent="0.25">
      <c r="B302" s="2" t="s">
        <v>8364</v>
      </c>
      <c r="C302" s="3" t="s">
        <v>83</v>
      </c>
      <c r="D302" s="3" t="s">
        <v>691</v>
      </c>
      <c r="E302" s="3" t="s">
        <v>692</v>
      </c>
      <c r="F302" s="3" t="s">
        <v>693</v>
      </c>
      <c r="G302" s="30"/>
      <c r="H302" s="2" t="s">
        <v>694</v>
      </c>
      <c r="I302" s="4">
        <v>1</v>
      </c>
      <c r="J302" s="5">
        <v>710000000</v>
      </c>
      <c r="K302" s="5" t="s">
        <v>89</v>
      </c>
      <c r="L302" s="2" t="s">
        <v>695</v>
      </c>
      <c r="M302" s="6" t="s">
        <v>696</v>
      </c>
      <c r="N302" s="7" t="s">
        <v>92</v>
      </c>
      <c r="O302" s="7" t="s">
        <v>697</v>
      </c>
      <c r="P302" s="7" t="s">
        <v>698</v>
      </c>
      <c r="Q302" s="31">
        <v>214</v>
      </c>
      <c r="R302" s="2" t="s">
        <v>699</v>
      </c>
      <c r="S302" s="9">
        <v>17082498.359999999</v>
      </c>
      <c r="T302" s="9">
        <v>15.25</v>
      </c>
      <c r="U302" s="9">
        <f>S302*T302-400000</f>
        <v>260108099.98999998</v>
      </c>
      <c r="V302" s="9">
        <f t="shared" ref="V302" si="219">U302*1.12</f>
        <v>291321071.98879999</v>
      </c>
      <c r="W302" s="2" t="s">
        <v>97</v>
      </c>
      <c r="X302" s="2">
        <v>2016</v>
      </c>
      <c r="Y302" s="2"/>
    </row>
    <row r="303" spans="1:25" s="11" customFormat="1" ht="38.25" customHeight="1" outlineLevel="1" x14ac:dyDescent="0.25">
      <c r="B303" s="2" t="s">
        <v>700</v>
      </c>
      <c r="C303" s="3" t="s">
        <v>83</v>
      </c>
      <c r="D303" s="3" t="s">
        <v>691</v>
      </c>
      <c r="E303" s="3" t="s">
        <v>692</v>
      </c>
      <c r="F303" s="3" t="s">
        <v>693</v>
      </c>
      <c r="G303" s="30"/>
      <c r="H303" s="5" t="s">
        <v>694</v>
      </c>
      <c r="I303" s="4">
        <v>1</v>
      </c>
      <c r="J303" s="5">
        <v>710000000</v>
      </c>
      <c r="K303" s="5" t="s">
        <v>89</v>
      </c>
      <c r="L303" s="2" t="s">
        <v>695</v>
      </c>
      <c r="M303" s="6" t="s">
        <v>701</v>
      </c>
      <c r="N303" s="7" t="s">
        <v>92</v>
      </c>
      <c r="O303" s="7" t="s">
        <v>697</v>
      </c>
      <c r="P303" s="7" t="s">
        <v>698</v>
      </c>
      <c r="Q303" s="31">
        <v>214</v>
      </c>
      <c r="R303" s="2" t="s">
        <v>699</v>
      </c>
      <c r="S303" s="9">
        <f>U303/T303</f>
        <v>2402949.2439516131</v>
      </c>
      <c r="T303" s="9">
        <v>19.84</v>
      </c>
      <c r="U303" s="9">
        <v>47674513</v>
      </c>
      <c r="V303" s="9">
        <f t="shared" si="161"/>
        <v>53395454.560000002</v>
      </c>
      <c r="W303" s="2" t="s">
        <v>97</v>
      </c>
      <c r="X303" s="2">
        <v>2016</v>
      </c>
      <c r="Y303" s="2"/>
    </row>
    <row r="304" spans="1:25" s="11" customFormat="1" ht="38.25" customHeight="1" outlineLevel="1" x14ac:dyDescent="0.25">
      <c r="B304" s="2" t="s">
        <v>702</v>
      </c>
      <c r="C304" s="3" t="s">
        <v>83</v>
      </c>
      <c r="D304" s="3" t="s">
        <v>691</v>
      </c>
      <c r="E304" s="3" t="s">
        <v>692</v>
      </c>
      <c r="F304" s="3" t="s">
        <v>693</v>
      </c>
      <c r="G304" s="30"/>
      <c r="H304" s="2" t="s">
        <v>694</v>
      </c>
      <c r="I304" s="4">
        <v>1</v>
      </c>
      <c r="J304" s="5">
        <v>710000000</v>
      </c>
      <c r="K304" s="5" t="s">
        <v>89</v>
      </c>
      <c r="L304" s="2" t="s">
        <v>695</v>
      </c>
      <c r="M304" s="6" t="s">
        <v>703</v>
      </c>
      <c r="N304" s="7" t="s">
        <v>92</v>
      </c>
      <c r="O304" s="7" t="s">
        <v>697</v>
      </c>
      <c r="P304" s="7" t="s">
        <v>698</v>
      </c>
      <c r="Q304" s="31">
        <v>214</v>
      </c>
      <c r="R304" s="2" t="s">
        <v>699</v>
      </c>
      <c r="S304" s="9">
        <f>U304/T304</f>
        <v>2668207.1269487748</v>
      </c>
      <c r="T304" s="9">
        <v>17.96</v>
      </c>
      <c r="U304" s="9">
        <f>16976000+19795000+11150000</f>
        <v>47921000</v>
      </c>
      <c r="V304" s="9">
        <f t="shared" si="161"/>
        <v>53671520.000000007</v>
      </c>
      <c r="W304" s="2" t="s">
        <v>97</v>
      </c>
      <c r="X304" s="2">
        <v>2016</v>
      </c>
      <c r="Y304" s="2"/>
    </row>
    <row r="305" spans="1:25" s="11" customFormat="1" ht="38.25" customHeight="1" outlineLevel="1" x14ac:dyDescent="0.25">
      <c r="B305" s="2" t="s">
        <v>704</v>
      </c>
      <c r="C305" s="3" t="s">
        <v>83</v>
      </c>
      <c r="D305" s="3" t="s">
        <v>705</v>
      </c>
      <c r="E305" s="3" t="s">
        <v>706</v>
      </c>
      <c r="F305" s="3" t="s">
        <v>707</v>
      </c>
      <c r="G305" s="30"/>
      <c r="H305" s="2" t="s">
        <v>694</v>
      </c>
      <c r="I305" s="4">
        <v>1</v>
      </c>
      <c r="J305" s="5">
        <v>710000000</v>
      </c>
      <c r="K305" s="5" t="s">
        <v>89</v>
      </c>
      <c r="L305" s="2" t="s">
        <v>695</v>
      </c>
      <c r="M305" s="6" t="s">
        <v>696</v>
      </c>
      <c r="N305" s="7" t="s">
        <v>92</v>
      </c>
      <c r="O305" s="7" t="s">
        <v>697</v>
      </c>
      <c r="P305" s="7" t="s">
        <v>698</v>
      </c>
      <c r="Q305" s="31">
        <v>233</v>
      </c>
      <c r="R305" s="2" t="s">
        <v>708</v>
      </c>
      <c r="S305" s="9">
        <f>U305/T305</f>
        <v>18390.51549668298</v>
      </c>
      <c r="T305" s="9">
        <v>2531.19</v>
      </c>
      <c r="U305" s="9">
        <v>46549888.920048989</v>
      </c>
      <c r="V305" s="9">
        <f t="shared" si="161"/>
        <v>52135875.590454876</v>
      </c>
      <c r="W305" s="2" t="s">
        <v>97</v>
      </c>
      <c r="X305" s="2">
        <v>2016</v>
      </c>
      <c r="Y305" s="2"/>
    </row>
    <row r="306" spans="1:25" s="11" customFormat="1" ht="38.25" customHeight="1" outlineLevel="1" x14ac:dyDescent="0.25">
      <c r="B306" s="2" t="s">
        <v>709</v>
      </c>
      <c r="C306" s="3" t="s">
        <v>83</v>
      </c>
      <c r="D306" s="3" t="s">
        <v>705</v>
      </c>
      <c r="E306" s="3" t="s">
        <v>706</v>
      </c>
      <c r="F306" s="3" t="s">
        <v>707</v>
      </c>
      <c r="G306" s="30"/>
      <c r="H306" s="2" t="s">
        <v>694</v>
      </c>
      <c r="I306" s="4">
        <v>1</v>
      </c>
      <c r="J306" s="5">
        <v>710000000</v>
      </c>
      <c r="K306" s="5" t="s">
        <v>89</v>
      </c>
      <c r="L306" s="2" t="s">
        <v>695</v>
      </c>
      <c r="M306" s="19" t="s">
        <v>703</v>
      </c>
      <c r="N306" s="7" t="s">
        <v>92</v>
      </c>
      <c r="O306" s="7" t="s">
        <v>697</v>
      </c>
      <c r="P306" s="7" t="s">
        <v>698</v>
      </c>
      <c r="Q306" s="31">
        <v>233</v>
      </c>
      <c r="R306" s="2" t="s">
        <v>708</v>
      </c>
      <c r="S306" s="9">
        <v>53.39</v>
      </c>
      <c r="T306" s="9">
        <v>14328.525900000001</v>
      </c>
      <c r="U306" s="9">
        <f>S306*T306</f>
        <v>764999.99780100002</v>
      </c>
      <c r="V306" s="9">
        <f t="shared" si="161"/>
        <v>856799.99753712013</v>
      </c>
      <c r="W306" s="2" t="s">
        <v>97</v>
      </c>
      <c r="X306" s="2">
        <v>2016</v>
      </c>
      <c r="Y306" s="2"/>
    </row>
    <row r="307" spans="1:25" s="28" customFormat="1" ht="38.25" customHeight="1" outlineLevel="1" x14ac:dyDescent="0.25">
      <c r="B307" s="2" t="s">
        <v>710</v>
      </c>
      <c r="C307" s="19" t="s">
        <v>83</v>
      </c>
      <c r="D307" s="5" t="s">
        <v>711</v>
      </c>
      <c r="E307" s="5" t="s">
        <v>712</v>
      </c>
      <c r="F307" s="5" t="s">
        <v>713</v>
      </c>
      <c r="G307" s="5"/>
      <c r="H307" s="19" t="s">
        <v>694</v>
      </c>
      <c r="I307" s="4">
        <v>1</v>
      </c>
      <c r="J307" s="5">
        <v>710000000</v>
      </c>
      <c r="K307" s="19" t="s">
        <v>89</v>
      </c>
      <c r="L307" s="2" t="s">
        <v>90</v>
      </c>
      <c r="M307" s="19" t="s">
        <v>714</v>
      </c>
      <c r="N307" s="7" t="s">
        <v>92</v>
      </c>
      <c r="O307" s="7" t="s">
        <v>697</v>
      </c>
      <c r="P307" s="19" t="s">
        <v>715</v>
      </c>
      <c r="Q307" s="7">
        <v>113</v>
      </c>
      <c r="R307" s="7" t="s">
        <v>716</v>
      </c>
      <c r="S307" s="14">
        <v>196664</v>
      </c>
      <c r="T307" s="9">
        <v>15.59</v>
      </c>
      <c r="U307" s="9">
        <f t="shared" ref="U307" si="220">T307*S307</f>
        <v>3065991.76</v>
      </c>
      <c r="V307" s="9">
        <f t="shared" si="161"/>
        <v>3433910.7712000003</v>
      </c>
      <c r="W307" s="7" t="s">
        <v>97</v>
      </c>
      <c r="X307" s="2">
        <v>2016</v>
      </c>
      <c r="Y307" s="5"/>
    </row>
    <row r="308" spans="1:25" s="28" customFormat="1" ht="38.25" customHeight="1" outlineLevel="1" x14ac:dyDescent="0.25">
      <c r="B308" s="2" t="s">
        <v>717</v>
      </c>
      <c r="C308" s="19" t="s">
        <v>83</v>
      </c>
      <c r="D308" s="5" t="s">
        <v>711</v>
      </c>
      <c r="E308" s="5" t="s">
        <v>712</v>
      </c>
      <c r="F308" s="5" t="s">
        <v>713</v>
      </c>
      <c r="G308" s="5"/>
      <c r="H308" s="19" t="s">
        <v>694</v>
      </c>
      <c r="I308" s="4">
        <v>1</v>
      </c>
      <c r="J308" s="5">
        <v>710000000</v>
      </c>
      <c r="K308" s="19" t="s">
        <v>89</v>
      </c>
      <c r="L308" s="19" t="s">
        <v>90</v>
      </c>
      <c r="M308" s="19" t="s">
        <v>703</v>
      </c>
      <c r="N308" s="7" t="s">
        <v>92</v>
      </c>
      <c r="O308" s="7" t="s">
        <v>697</v>
      </c>
      <c r="P308" s="19" t="s">
        <v>715</v>
      </c>
      <c r="Q308" s="7">
        <v>113</v>
      </c>
      <c r="R308" s="7" t="s">
        <v>716</v>
      </c>
      <c r="S308" s="14">
        <f>U308/T308</f>
        <v>524600.82791247778</v>
      </c>
      <c r="T308" s="9">
        <v>16.91</v>
      </c>
      <c r="U308" s="9">
        <f>3080000+2292000+3499000</f>
        <v>8871000</v>
      </c>
      <c r="V308" s="9">
        <f t="shared" si="161"/>
        <v>9935520.0000000019</v>
      </c>
      <c r="W308" s="7" t="s">
        <v>97</v>
      </c>
      <c r="X308" s="2">
        <v>2016</v>
      </c>
      <c r="Y308" s="5"/>
    </row>
    <row r="309" spans="1:25" s="11" customFormat="1" ht="51" customHeight="1" outlineLevel="1" x14ac:dyDescent="0.25">
      <c r="B309" s="2" t="s">
        <v>718</v>
      </c>
      <c r="C309" s="3" t="s">
        <v>83</v>
      </c>
      <c r="D309" s="3" t="s">
        <v>719</v>
      </c>
      <c r="E309" s="3" t="s">
        <v>720</v>
      </c>
      <c r="F309" s="3" t="s">
        <v>721</v>
      </c>
      <c r="G309" s="19" t="s">
        <v>722</v>
      </c>
      <c r="H309" s="2" t="s">
        <v>694</v>
      </c>
      <c r="I309" s="4" t="s">
        <v>723</v>
      </c>
      <c r="J309" s="5">
        <v>710000000</v>
      </c>
      <c r="K309" s="5" t="s">
        <v>89</v>
      </c>
      <c r="L309" s="2" t="s">
        <v>90</v>
      </c>
      <c r="M309" s="6" t="s">
        <v>696</v>
      </c>
      <c r="N309" s="7" t="s">
        <v>92</v>
      </c>
      <c r="O309" s="7" t="s">
        <v>697</v>
      </c>
      <c r="P309" s="7" t="s">
        <v>715</v>
      </c>
      <c r="Q309" s="31">
        <v>112</v>
      </c>
      <c r="R309" s="5" t="s">
        <v>96</v>
      </c>
      <c r="S309" s="9">
        <v>465533</v>
      </c>
      <c r="T309" s="9">
        <f>138/1.12</f>
        <v>123.21428571428571</v>
      </c>
      <c r="U309" s="9">
        <f t="shared" ref="U309:U319" si="221">S309*T309</f>
        <v>57360316.071428567</v>
      </c>
      <c r="V309" s="9">
        <f t="shared" si="161"/>
        <v>64243554</v>
      </c>
      <c r="W309" s="7" t="s">
        <v>97</v>
      </c>
      <c r="X309" s="2">
        <v>2016</v>
      </c>
      <c r="Y309" s="2"/>
    </row>
    <row r="310" spans="1:25" s="11" customFormat="1" ht="51" customHeight="1" outlineLevel="1" x14ac:dyDescent="0.25">
      <c r="B310" s="2" t="s">
        <v>724</v>
      </c>
      <c r="C310" s="3" t="s">
        <v>83</v>
      </c>
      <c r="D310" s="3" t="s">
        <v>725</v>
      </c>
      <c r="E310" s="3" t="s">
        <v>720</v>
      </c>
      <c r="F310" s="3" t="s">
        <v>726</v>
      </c>
      <c r="G310" s="19" t="s">
        <v>722</v>
      </c>
      <c r="H310" s="2" t="s">
        <v>694</v>
      </c>
      <c r="I310" s="4" t="s">
        <v>723</v>
      </c>
      <c r="J310" s="5">
        <v>710000000</v>
      </c>
      <c r="K310" s="5" t="s">
        <v>89</v>
      </c>
      <c r="L310" s="2" t="s">
        <v>90</v>
      </c>
      <c r="M310" s="6" t="s">
        <v>696</v>
      </c>
      <c r="N310" s="7" t="s">
        <v>92</v>
      </c>
      <c r="O310" s="7" t="s">
        <v>697</v>
      </c>
      <c r="P310" s="7" t="s">
        <v>715</v>
      </c>
      <c r="Q310" s="31">
        <v>112</v>
      </c>
      <c r="R310" s="5" t="s">
        <v>96</v>
      </c>
      <c r="S310" s="9">
        <v>141100</v>
      </c>
      <c r="T310" s="9">
        <f t="shared" ref="T310:T315" si="222">125/1.12</f>
        <v>111.60714285714285</v>
      </c>
      <c r="U310" s="9">
        <f t="shared" si="221"/>
        <v>15747767.857142856</v>
      </c>
      <c r="V310" s="9">
        <f t="shared" si="161"/>
        <v>17637500</v>
      </c>
      <c r="W310" s="7" t="s">
        <v>97</v>
      </c>
      <c r="X310" s="2">
        <v>2016</v>
      </c>
      <c r="Y310" s="2"/>
    </row>
    <row r="311" spans="1:25" s="11" customFormat="1" ht="51" customHeight="1" outlineLevel="1" x14ac:dyDescent="0.25">
      <c r="B311" s="2" t="s">
        <v>727</v>
      </c>
      <c r="C311" s="3" t="s">
        <v>83</v>
      </c>
      <c r="D311" s="3" t="s">
        <v>725</v>
      </c>
      <c r="E311" s="3" t="s">
        <v>720</v>
      </c>
      <c r="F311" s="3" t="s">
        <v>726</v>
      </c>
      <c r="G311" s="19" t="s">
        <v>722</v>
      </c>
      <c r="H311" s="2" t="s">
        <v>694</v>
      </c>
      <c r="I311" s="4" t="s">
        <v>723</v>
      </c>
      <c r="J311" s="5">
        <v>710000000</v>
      </c>
      <c r="K311" s="5" t="s">
        <v>89</v>
      </c>
      <c r="L311" s="2" t="s">
        <v>90</v>
      </c>
      <c r="M311" s="6" t="s">
        <v>728</v>
      </c>
      <c r="N311" s="7" t="s">
        <v>92</v>
      </c>
      <c r="O311" s="7" t="s">
        <v>697</v>
      </c>
      <c r="P311" s="7" t="s">
        <v>715</v>
      </c>
      <c r="Q311" s="31">
        <v>112</v>
      </c>
      <c r="R311" s="5" t="s">
        <v>96</v>
      </c>
      <c r="S311" s="9">
        <v>26182</v>
      </c>
      <c r="T311" s="9">
        <f t="shared" si="222"/>
        <v>111.60714285714285</v>
      </c>
      <c r="U311" s="9">
        <f t="shared" si="221"/>
        <v>2922098.2142857141</v>
      </c>
      <c r="V311" s="9">
        <f>U311*1.12</f>
        <v>3272750</v>
      </c>
      <c r="W311" s="7" t="s">
        <v>97</v>
      </c>
      <c r="X311" s="2">
        <v>2016</v>
      </c>
      <c r="Y311" s="2"/>
    </row>
    <row r="312" spans="1:25" s="11" customFormat="1" ht="51" customHeight="1" outlineLevel="1" x14ac:dyDescent="0.25">
      <c r="B312" s="2" t="s">
        <v>729</v>
      </c>
      <c r="C312" s="3" t="s">
        <v>83</v>
      </c>
      <c r="D312" s="3" t="s">
        <v>725</v>
      </c>
      <c r="E312" s="3" t="s">
        <v>720</v>
      </c>
      <c r="F312" s="3" t="s">
        <v>726</v>
      </c>
      <c r="G312" s="19" t="s">
        <v>722</v>
      </c>
      <c r="H312" s="2" t="s">
        <v>694</v>
      </c>
      <c r="I312" s="4" t="s">
        <v>723</v>
      </c>
      <c r="J312" s="5">
        <v>710000000</v>
      </c>
      <c r="K312" s="5" t="s">
        <v>89</v>
      </c>
      <c r="L312" s="2" t="s">
        <v>90</v>
      </c>
      <c r="M312" s="3" t="s">
        <v>730</v>
      </c>
      <c r="N312" s="7" t="s">
        <v>92</v>
      </c>
      <c r="O312" s="7" t="s">
        <v>697</v>
      </c>
      <c r="P312" s="7" t="s">
        <v>715</v>
      </c>
      <c r="Q312" s="31">
        <v>112</v>
      </c>
      <c r="R312" s="5" t="s">
        <v>96</v>
      </c>
      <c r="S312" s="9">
        <v>3480</v>
      </c>
      <c r="T312" s="9">
        <f t="shared" si="222"/>
        <v>111.60714285714285</v>
      </c>
      <c r="U312" s="9">
        <f t="shared" si="221"/>
        <v>388392.8571428571</v>
      </c>
      <c r="V312" s="9">
        <f>U312*1.12</f>
        <v>435000</v>
      </c>
      <c r="W312" s="7" t="s">
        <v>97</v>
      </c>
      <c r="X312" s="2">
        <v>2016</v>
      </c>
      <c r="Y312" s="2"/>
    </row>
    <row r="313" spans="1:25" s="34" customFormat="1" ht="51" customHeight="1" outlineLevel="1" x14ac:dyDescent="0.2">
      <c r="A313" s="33"/>
      <c r="B313" s="2" t="s">
        <v>731</v>
      </c>
      <c r="C313" s="3" t="s">
        <v>83</v>
      </c>
      <c r="D313" s="3" t="s">
        <v>725</v>
      </c>
      <c r="E313" s="3" t="s">
        <v>720</v>
      </c>
      <c r="F313" s="3" t="s">
        <v>726</v>
      </c>
      <c r="G313" s="19" t="s">
        <v>722</v>
      </c>
      <c r="H313" s="2" t="s">
        <v>694</v>
      </c>
      <c r="I313" s="4" t="s">
        <v>723</v>
      </c>
      <c r="J313" s="5">
        <v>710000000</v>
      </c>
      <c r="K313" s="5" t="s">
        <v>89</v>
      </c>
      <c r="L313" s="2" t="s">
        <v>90</v>
      </c>
      <c r="M313" s="3" t="s">
        <v>91</v>
      </c>
      <c r="N313" s="7" t="s">
        <v>92</v>
      </c>
      <c r="O313" s="7" t="s">
        <v>697</v>
      </c>
      <c r="P313" s="7" t="s">
        <v>715</v>
      </c>
      <c r="Q313" s="31">
        <v>112</v>
      </c>
      <c r="R313" s="5" t="s">
        <v>96</v>
      </c>
      <c r="S313" s="9">
        <v>23445</v>
      </c>
      <c r="T313" s="9">
        <f t="shared" si="222"/>
        <v>111.60714285714285</v>
      </c>
      <c r="U313" s="9">
        <v>0</v>
      </c>
      <c r="V313" s="9">
        <f>U313*1.12</f>
        <v>0</v>
      </c>
      <c r="W313" s="7" t="s">
        <v>97</v>
      </c>
      <c r="X313" s="2">
        <v>2016</v>
      </c>
      <c r="Y313" s="2">
        <v>6</v>
      </c>
    </row>
    <row r="314" spans="1:25" s="34" customFormat="1" ht="51" customHeight="1" outlineLevel="1" x14ac:dyDescent="0.2">
      <c r="A314" s="33"/>
      <c r="B314" s="2" t="s">
        <v>732</v>
      </c>
      <c r="C314" s="3" t="s">
        <v>83</v>
      </c>
      <c r="D314" s="3" t="s">
        <v>725</v>
      </c>
      <c r="E314" s="3" t="s">
        <v>720</v>
      </c>
      <c r="F314" s="3" t="s">
        <v>726</v>
      </c>
      <c r="G314" s="19" t="s">
        <v>733</v>
      </c>
      <c r="H314" s="2" t="s">
        <v>694</v>
      </c>
      <c r="I314" s="4" t="s">
        <v>723</v>
      </c>
      <c r="J314" s="5">
        <v>710000000</v>
      </c>
      <c r="K314" s="5" t="s">
        <v>89</v>
      </c>
      <c r="L314" s="2" t="s">
        <v>90</v>
      </c>
      <c r="M314" s="3" t="s">
        <v>91</v>
      </c>
      <c r="N314" s="7" t="s">
        <v>92</v>
      </c>
      <c r="O314" s="7" t="s">
        <v>697</v>
      </c>
      <c r="P314" s="7" t="s">
        <v>715</v>
      </c>
      <c r="Q314" s="31">
        <v>112</v>
      </c>
      <c r="R314" s="5" t="s">
        <v>96</v>
      </c>
      <c r="S314" s="9">
        <v>23445</v>
      </c>
      <c r="T314" s="9">
        <f t="shared" si="222"/>
        <v>111.60714285714285</v>
      </c>
      <c r="U314" s="9">
        <v>0</v>
      </c>
      <c r="V314" s="9">
        <f>U314*1.12</f>
        <v>0</v>
      </c>
      <c r="W314" s="7" t="s">
        <v>97</v>
      </c>
      <c r="X314" s="2">
        <v>2016</v>
      </c>
      <c r="Y314" s="2" t="s">
        <v>7468</v>
      </c>
    </row>
    <row r="315" spans="1:25" s="34" customFormat="1" ht="51" customHeight="1" outlineLevel="1" x14ac:dyDescent="0.25">
      <c r="B315" s="2" t="s">
        <v>7469</v>
      </c>
      <c r="C315" s="3" t="s">
        <v>83</v>
      </c>
      <c r="D315" s="3" t="s">
        <v>725</v>
      </c>
      <c r="E315" s="3" t="s">
        <v>720</v>
      </c>
      <c r="F315" s="3" t="s">
        <v>726</v>
      </c>
      <c r="G315" s="19" t="s">
        <v>733</v>
      </c>
      <c r="H315" s="2" t="s">
        <v>694</v>
      </c>
      <c r="I315" s="4" t="s">
        <v>723</v>
      </c>
      <c r="J315" s="5">
        <v>710000000</v>
      </c>
      <c r="K315" s="5" t="s">
        <v>89</v>
      </c>
      <c r="L315" s="5" t="s">
        <v>7470</v>
      </c>
      <c r="M315" s="3" t="s">
        <v>91</v>
      </c>
      <c r="N315" s="7" t="s">
        <v>92</v>
      </c>
      <c r="O315" s="7" t="s">
        <v>7467</v>
      </c>
      <c r="P315" s="7" t="s">
        <v>715</v>
      </c>
      <c r="Q315" s="31">
        <v>112</v>
      </c>
      <c r="R315" s="5" t="s">
        <v>96</v>
      </c>
      <c r="S315" s="9">
        <v>10550</v>
      </c>
      <c r="T315" s="9">
        <f t="shared" si="222"/>
        <v>111.60714285714285</v>
      </c>
      <c r="U315" s="9">
        <f t="shared" ref="U315" si="223">S315*T315</f>
        <v>1177455.357142857</v>
      </c>
      <c r="V315" s="9">
        <f>U315*1.12</f>
        <v>1318750</v>
      </c>
      <c r="W315" s="7" t="s">
        <v>97</v>
      </c>
      <c r="X315" s="2">
        <v>2016</v>
      </c>
      <c r="Y315" s="2"/>
    </row>
    <row r="316" spans="1:25" s="36" customFormat="1" ht="51" customHeight="1" outlineLevel="1" x14ac:dyDescent="0.2">
      <c r="A316" s="35"/>
      <c r="B316" s="2" t="s">
        <v>734</v>
      </c>
      <c r="C316" s="3" t="s">
        <v>83</v>
      </c>
      <c r="D316" s="3" t="s">
        <v>719</v>
      </c>
      <c r="E316" s="3" t="s">
        <v>720</v>
      </c>
      <c r="F316" s="3" t="s">
        <v>721</v>
      </c>
      <c r="G316" s="19" t="s">
        <v>722</v>
      </c>
      <c r="H316" s="2" t="s">
        <v>694</v>
      </c>
      <c r="I316" s="4" t="s">
        <v>723</v>
      </c>
      <c r="J316" s="5">
        <v>710000000</v>
      </c>
      <c r="K316" s="5" t="s">
        <v>89</v>
      </c>
      <c r="L316" s="2" t="s">
        <v>90</v>
      </c>
      <c r="M316" s="6" t="s">
        <v>91</v>
      </c>
      <c r="N316" s="7" t="s">
        <v>92</v>
      </c>
      <c r="O316" s="7" t="s">
        <v>697</v>
      </c>
      <c r="P316" s="7" t="s">
        <v>715</v>
      </c>
      <c r="Q316" s="31">
        <v>112</v>
      </c>
      <c r="R316" s="5" t="s">
        <v>96</v>
      </c>
      <c r="S316" s="9">
        <v>1470</v>
      </c>
      <c r="T316" s="9">
        <f>138/1.12</f>
        <v>123.21428571428571</v>
      </c>
      <c r="U316" s="9">
        <v>0</v>
      </c>
      <c r="V316" s="9">
        <f t="shared" ref="V316:V317" si="224">U316*1.12</f>
        <v>0</v>
      </c>
      <c r="W316" s="7" t="s">
        <v>97</v>
      </c>
      <c r="X316" s="2">
        <v>2016</v>
      </c>
      <c r="Y316" s="2">
        <v>6</v>
      </c>
    </row>
    <row r="317" spans="1:25" s="36" customFormat="1" ht="51" customHeight="1" outlineLevel="1" x14ac:dyDescent="0.25">
      <c r="B317" s="2" t="s">
        <v>735</v>
      </c>
      <c r="C317" s="3" t="s">
        <v>83</v>
      </c>
      <c r="D317" s="3" t="s">
        <v>719</v>
      </c>
      <c r="E317" s="3" t="s">
        <v>720</v>
      </c>
      <c r="F317" s="3" t="s">
        <v>721</v>
      </c>
      <c r="G317" s="19" t="s">
        <v>733</v>
      </c>
      <c r="H317" s="2" t="s">
        <v>694</v>
      </c>
      <c r="I317" s="4" t="s">
        <v>723</v>
      </c>
      <c r="J317" s="5">
        <v>710000000</v>
      </c>
      <c r="K317" s="5" t="s">
        <v>89</v>
      </c>
      <c r="L317" s="2" t="s">
        <v>90</v>
      </c>
      <c r="M317" s="6" t="s">
        <v>91</v>
      </c>
      <c r="N317" s="7" t="s">
        <v>92</v>
      </c>
      <c r="O317" s="7" t="s">
        <v>697</v>
      </c>
      <c r="P317" s="7" t="s">
        <v>715</v>
      </c>
      <c r="Q317" s="31">
        <v>112</v>
      </c>
      <c r="R317" s="5" t="s">
        <v>96</v>
      </c>
      <c r="S317" s="9">
        <v>1470</v>
      </c>
      <c r="T317" s="9">
        <f>138/1.12</f>
        <v>123.21428571428571</v>
      </c>
      <c r="U317" s="9">
        <f t="shared" ref="U317" si="225">S317*T317</f>
        <v>181125</v>
      </c>
      <c r="V317" s="9">
        <f t="shared" si="224"/>
        <v>202860.00000000003</v>
      </c>
      <c r="W317" s="7" t="s">
        <v>97</v>
      </c>
      <c r="X317" s="2">
        <v>2016</v>
      </c>
      <c r="Y317" s="2"/>
    </row>
    <row r="318" spans="1:25" s="34" customFormat="1" ht="51" customHeight="1" outlineLevel="1" x14ac:dyDescent="0.25">
      <c r="B318" s="2" t="s">
        <v>736</v>
      </c>
      <c r="C318" s="19" t="s">
        <v>83</v>
      </c>
      <c r="D318" s="19" t="s">
        <v>737</v>
      </c>
      <c r="E318" s="19" t="s">
        <v>738</v>
      </c>
      <c r="F318" s="19" t="s">
        <v>739</v>
      </c>
      <c r="G318" s="19" t="s">
        <v>722</v>
      </c>
      <c r="H318" s="19" t="s">
        <v>694</v>
      </c>
      <c r="I318" s="19" t="s">
        <v>723</v>
      </c>
      <c r="J318" s="5">
        <v>710000000</v>
      </c>
      <c r="K318" s="19" t="s">
        <v>89</v>
      </c>
      <c r="L318" s="19" t="s">
        <v>90</v>
      </c>
      <c r="M318" s="19" t="s">
        <v>696</v>
      </c>
      <c r="N318" s="7" t="s">
        <v>92</v>
      </c>
      <c r="O318" s="7" t="s">
        <v>697</v>
      </c>
      <c r="P318" s="19" t="s">
        <v>715</v>
      </c>
      <c r="Q318" s="37">
        <v>112</v>
      </c>
      <c r="R318" s="19" t="s">
        <v>96</v>
      </c>
      <c r="S318" s="9">
        <v>63188</v>
      </c>
      <c r="T318" s="9">
        <f>99/1.12</f>
        <v>88.392857142857139</v>
      </c>
      <c r="U318" s="9">
        <f t="shared" si="221"/>
        <v>5585367.8571428573</v>
      </c>
      <c r="V318" s="9">
        <f t="shared" si="161"/>
        <v>6255612.0000000009</v>
      </c>
      <c r="W318" s="7" t="s">
        <v>97</v>
      </c>
      <c r="X318" s="2">
        <v>2016</v>
      </c>
      <c r="Y318" s="19"/>
    </row>
    <row r="319" spans="1:25" s="11" customFormat="1" ht="51" customHeight="1" outlineLevel="1" x14ac:dyDescent="0.25">
      <c r="B319" s="2" t="s">
        <v>740</v>
      </c>
      <c r="C319" s="6" t="s">
        <v>83</v>
      </c>
      <c r="D319" s="6" t="s">
        <v>741</v>
      </c>
      <c r="E319" s="6" t="s">
        <v>738</v>
      </c>
      <c r="F319" s="6" t="s">
        <v>742</v>
      </c>
      <c r="G319" s="6" t="s">
        <v>722</v>
      </c>
      <c r="H319" s="6" t="s">
        <v>694</v>
      </c>
      <c r="I319" s="6" t="s">
        <v>723</v>
      </c>
      <c r="J319" s="5">
        <v>710000000</v>
      </c>
      <c r="K319" s="6" t="s">
        <v>89</v>
      </c>
      <c r="L319" s="6" t="s">
        <v>90</v>
      </c>
      <c r="M319" s="6" t="s">
        <v>696</v>
      </c>
      <c r="N319" s="7" t="s">
        <v>92</v>
      </c>
      <c r="O319" s="7" t="s">
        <v>697</v>
      </c>
      <c r="P319" s="6" t="s">
        <v>715</v>
      </c>
      <c r="Q319" s="37">
        <v>112</v>
      </c>
      <c r="R319" s="6" t="s">
        <v>96</v>
      </c>
      <c r="S319" s="9">
        <v>66630</v>
      </c>
      <c r="T319" s="9">
        <f>130/1.12</f>
        <v>116.07142857142856</v>
      </c>
      <c r="U319" s="9">
        <f t="shared" si="221"/>
        <v>7733839.2857142845</v>
      </c>
      <c r="V319" s="9">
        <f t="shared" si="161"/>
        <v>8661900</v>
      </c>
      <c r="W319" s="7" t="s">
        <v>97</v>
      </c>
      <c r="X319" s="2">
        <v>2016</v>
      </c>
      <c r="Y319" s="6"/>
    </row>
    <row r="320" spans="1:25" s="28" customFormat="1" ht="51" customHeight="1" outlineLevel="1" x14ac:dyDescent="0.2">
      <c r="A320" s="26"/>
      <c r="B320" s="2" t="s">
        <v>743</v>
      </c>
      <c r="C320" s="19" t="s">
        <v>83</v>
      </c>
      <c r="D320" s="19" t="s">
        <v>737</v>
      </c>
      <c r="E320" s="19" t="s">
        <v>738</v>
      </c>
      <c r="F320" s="19" t="s">
        <v>739</v>
      </c>
      <c r="G320" s="19" t="s">
        <v>744</v>
      </c>
      <c r="H320" s="19" t="s">
        <v>694</v>
      </c>
      <c r="I320" s="19" t="s">
        <v>723</v>
      </c>
      <c r="J320" s="5">
        <v>710000000</v>
      </c>
      <c r="K320" s="19" t="s">
        <v>89</v>
      </c>
      <c r="L320" s="19" t="s">
        <v>90</v>
      </c>
      <c r="M320" s="19" t="s">
        <v>696</v>
      </c>
      <c r="N320" s="7" t="s">
        <v>92</v>
      </c>
      <c r="O320" s="7" t="s">
        <v>697</v>
      </c>
      <c r="P320" s="19" t="s">
        <v>715</v>
      </c>
      <c r="Q320" s="37">
        <v>112</v>
      </c>
      <c r="R320" s="19" t="s">
        <v>96</v>
      </c>
      <c r="S320" s="9">
        <v>108500</v>
      </c>
      <c r="T320" s="9">
        <v>107</v>
      </c>
      <c r="U320" s="9">
        <v>0</v>
      </c>
      <c r="V320" s="9">
        <f t="shared" si="161"/>
        <v>0</v>
      </c>
      <c r="W320" s="7" t="s">
        <v>97</v>
      </c>
      <c r="X320" s="2">
        <v>2016</v>
      </c>
      <c r="Y320" s="19" t="s">
        <v>9282</v>
      </c>
    </row>
    <row r="321" spans="1:25" s="28" customFormat="1" ht="51" customHeight="1" outlineLevel="1" x14ac:dyDescent="0.2">
      <c r="A321" s="26"/>
      <c r="B321" s="2" t="s">
        <v>9258</v>
      </c>
      <c r="C321" s="19" t="s">
        <v>83</v>
      </c>
      <c r="D321" s="19" t="s">
        <v>737</v>
      </c>
      <c r="E321" s="19" t="s">
        <v>738</v>
      </c>
      <c r="F321" s="19" t="s">
        <v>739</v>
      </c>
      <c r="G321" s="19" t="s">
        <v>744</v>
      </c>
      <c r="H321" s="19" t="s">
        <v>694</v>
      </c>
      <c r="I321" s="19" t="s">
        <v>723</v>
      </c>
      <c r="J321" s="5">
        <v>710000000</v>
      </c>
      <c r="K321" s="19" t="s">
        <v>89</v>
      </c>
      <c r="L321" s="19" t="s">
        <v>9387</v>
      </c>
      <c r="M321" s="19" t="s">
        <v>696</v>
      </c>
      <c r="N321" s="7" t="s">
        <v>92</v>
      </c>
      <c r="O321" s="7" t="s">
        <v>697</v>
      </c>
      <c r="P321" s="19" t="s">
        <v>715</v>
      </c>
      <c r="Q321" s="37">
        <v>112</v>
      </c>
      <c r="R321" s="19" t="s">
        <v>96</v>
      </c>
      <c r="S321" s="9">
        <v>108500</v>
      </c>
      <c r="T321" s="9">
        <v>88.39</v>
      </c>
      <c r="U321" s="9">
        <v>0</v>
      </c>
      <c r="V321" s="9">
        <f t="shared" si="161"/>
        <v>0</v>
      </c>
      <c r="W321" s="7" t="s">
        <v>97</v>
      </c>
      <c r="X321" s="2">
        <v>2016</v>
      </c>
      <c r="Y321" s="19" t="s">
        <v>2338</v>
      </c>
    </row>
    <row r="322" spans="1:25" s="28" customFormat="1" ht="51" customHeight="1" outlineLevel="1" x14ac:dyDescent="0.25">
      <c r="B322" s="2" t="s">
        <v>9402</v>
      </c>
      <c r="C322" s="19" t="s">
        <v>83</v>
      </c>
      <c r="D322" s="19" t="s">
        <v>737</v>
      </c>
      <c r="E322" s="19" t="s">
        <v>738</v>
      </c>
      <c r="F322" s="19" t="s">
        <v>739</v>
      </c>
      <c r="G322" s="19" t="s">
        <v>744</v>
      </c>
      <c r="H322" s="19" t="s">
        <v>694</v>
      </c>
      <c r="I322" s="19" t="s">
        <v>723</v>
      </c>
      <c r="J322" s="5">
        <v>710000000</v>
      </c>
      <c r="K322" s="19" t="s">
        <v>89</v>
      </c>
      <c r="L322" s="19" t="s">
        <v>9387</v>
      </c>
      <c r="M322" s="19" t="s">
        <v>696</v>
      </c>
      <c r="N322" s="7" t="s">
        <v>92</v>
      </c>
      <c r="O322" s="7" t="s">
        <v>697</v>
      </c>
      <c r="P322" s="19" t="s">
        <v>715</v>
      </c>
      <c r="Q322" s="37">
        <v>112</v>
      </c>
      <c r="R322" s="19" t="s">
        <v>96</v>
      </c>
      <c r="S322" s="9">
        <v>43500</v>
      </c>
      <c r="T322" s="9">
        <f>99/1.12</f>
        <v>88.392857142857139</v>
      </c>
      <c r="U322" s="9">
        <f t="shared" ref="U322" si="226">T322*S322</f>
        <v>3845089.2857142854</v>
      </c>
      <c r="V322" s="9">
        <f t="shared" ref="V322" si="227">U322*1.12</f>
        <v>4306500</v>
      </c>
      <c r="W322" s="7" t="s">
        <v>97</v>
      </c>
      <c r="X322" s="2">
        <v>2016</v>
      </c>
      <c r="Y322" s="19"/>
    </row>
    <row r="323" spans="1:25" s="11" customFormat="1" ht="51" customHeight="1" outlineLevel="1" x14ac:dyDescent="0.2">
      <c r="A323" s="32"/>
      <c r="B323" s="2" t="s">
        <v>745</v>
      </c>
      <c r="C323" s="19" t="s">
        <v>83</v>
      </c>
      <c r="D323" s="19" t="s">
        <v>746</v>
      </c>
      <c r="E323" s="19" t="s">
        <v>738</v>
      </c>
      <c r="F323" s="19" t="s">
        <v>739</v>
      </c>
      <c r="G323" s="19" t="s">
        <v>744</v>
      </c>
      <c r="H323" s="19" t="s">
        <v>694</v>
      </c>
      <c r="I323" s="19" t="s">
        <v>723</v>
      </c>
      <c r="J323" s="5">
        <v>710000000</v>
      </c>
      <c r="K323" s="19" t="s">
        <v>89</v>
      </c>
      <c r="L323" s="19" t="s">
        <v>90</v>
      </c>
      <c r="M323" s="19" t="s">
        <v>91</v>
      </c>
      <c r="N323" s="7" t="s">
        <v>92</v>
      </c>
      <c r="O323" s="7" t="s">
        <v>697</v>
      </c>
      <c r="P323" s="19" t="s">
        <v>715</v>
      </c>
      <c r="Q323" s="37" t="s">
        <v>544</v>
      </c>
      <c r="R323" s="19" t="s">
        <v>111</v>
      </c>
      <c r="S323" s="9">
        <v>372163</v>
      </c>
      <c r="T323" s="9">
        <v>102.68</v>
      </c>
      <c r="U323" s="9">
        <v>0</v>
      </c>
      <c r="V323" s="9">
        <f t="shared" si="161"/>
        <v>0</v>
      </c>
      <c r="W323" s="7" t="s">
        <v>97</v>
      </c>
      <c r="X323" s="2">
        <v>2016</v>
      </c>
      <c r="Y323" s="19" t="s">
        <v>2027</v>
      </c>
    </row>
    <row r="324" spans="1:25" s="11" customFormat="1" ht="51" customHeight="1" outlineLevel="1" x14ac:dyDescent="0.2">
      <c r="A324" s="32"/>
      <c r="B324" s="2" t="s">
        <v>2026</v>
      </c>
      <c r="C324" s="19" t="s">
        <v>83</v>
      </c>
      <c r="D324" s="19" t="s">
        <v>737</v>
      </c>
      <c r="E324" s="19" t="s">
        <v>738</v>
      </c>
      <c r="F324" s="19" t="s">
        <v>739</v>
      </c>
      <c r="G324" s="19" t="s">
        <v>744</v>
      </c>
      <c r="H324" s="19" t="s">
        <v>694</v>
      </c>
      <c r="I324" s="19" t="s">
        <v>723</v>
      </c>
      <c r="J324" s="5">
        <v>710000000</v>
      </c>
      <c r="K324" s="19" t="s">
        <v>89</v>
      </c>
      <c r="L324" s="19" t="s">
        <v>90</v>
      </c>
      <c r="M324" s="19" t="s">
        <v>91</v>
      </c>
      <c r="N324" s="7" t="s">
        <v>92</v>
      </c>
      <c r="O324" s="7" t="s">
        <v>697</v>
      </c>
      <c r="P324" s="19" t="s">
        <v>715</v>
      </c>
      <c r="Q324" s="37">
        <v>112</v>
      </c>
      <c r="R324" s="19" t="s">
        <v>96</v>
      </c>
      <c r="S324" s="9">
        <v>372163</v>
      </c>
      <c r="T324" s="9">
        <v>102.68</v>
      </c>
      <c r="U324" s="9">
        <v>0</v>
      </c>
      <c r="V324" s="9">
        <f t="shared" ref="V324" si="228">U324*1.12</f>
        <v>0</v>
      </c>
      <c r="W324" s="7" t="s">
        <v>97</v>
      </c>
      <c r="X324" s="2">
        <v>2016</v>
      </c>
      <c r="Y324" s="19" t="s">
        <v>8493</v>
      </c>
    </row>
    <row r="325" spans="1:25" s="11" customFormat="1" ht="51" customHeight="1" outlineLevel="1" x14ac:dyDescent="0.25">
      <c r="B325" s="2" t="s">
        <v>9256</v>
      </c>
      <c r="C325" s="19" t="s">
        <v>83</v>
      </c>
      <c r="D325" s="19" t="s">
        <v>737</v>
      </c>
      <c r="E325" s="19" t="s">
        <v>738</v>
      </c>
      <c r="F325" s="19" t="s">
        <v>739</v>
      </c>
      <c r="G325" s="19" t="s">
        <v>744</v>
      </c>
      <c r="H325" s="19" t="s">
        <v>694</v>
      </c>
      <c r="I325" s="19" t="s">
        <v>723</v>
      </c>
      <c r="J325" s="5">
        <v>710000000</v>
      </c>
      <c r="K325" s="19" t="s">
        <v>89</v>
      </c>
      <c r="L325" s="19" t="s">
        <v>9257</v>
      </c>
      <c r="M325" s="19" t="s">
        <v>91</v>
      </c>
      <c r="N325" s="7" t="s">
        <v>92</v>
      </c>
      <c r="O325" s="7" t="s">
        <v>697</v>
      </c>
      <c r="P325" s="19" t="s">
        <v>715</v>
      </c>
      <c r="Q325" s="37">
        <v>112</v>
      </c>
      <c r="R325" s="19" t="s">
        <v>96</v>
      </c>
      <c r="S325" s="9">
        <v>372163</v>
      </c>
      <c r="T325" s="9">
        <v>88.39</v>
      </c>
      <c r="U325" s="9">
        <f t="shared" ref="U325" si="229">T325*S325</f>
        <v>32895487.57</v>
      </c>
      <c r="V325" s="9">
        <f t="shared" ref="V325" si="230">U325*1.12</f>
        <v>36842946.078400001</v>
      </c>
      <c r="W325" s="7" t="s">
        <v>97</v>
      </c>
      <c r="X325" s="2">
        <v>2016</v>
      </c>
      <c r="Y325" s="19"/>
    </row>
    <row r="326" spans="1:25" s="11" customFormat="1" ht="51" customHeight="1" outlineLevel="1" x14ac:dyDescent="0.2">
      <c r="A326" s="32"/>
      <c r="B326" s="2" t="s">
        <v>747</v>
      </c>
      <c r="C326" s="6" t="s">
        <v>83</v>
      </c>
      <c r="D326" s="6" t="s">
        <v>741</v>
      </c>
      <c r="E326" s="6" t="s">
        <v>738</v>
      </c>
      <c r="F326" s="6" t="s">
        <v>742</v>
      </c>
      <c r="G326" s="6" t="s">
        <v>722</v>
      </c>
      <c r="H326" s="6" t="s">
        <v>694</v>
      </c>
      <c r="I326" s="6" t="s">
        <v>723</v>
      </c>
      <c r="J326" s="5">
        <v>710000000</v>
      </c>
      <c r="K326" s="6" t="s">
        <v>89</v>
      </c>
      <c r="L326" s="6" t="s">
        <v>90</v>
      </c>
      <c r="M326" s="6" t="s">
        <v>91</v>
      </c>
      <c r="N326" s="7" t="s">
        <v>92</v>
      </c>
      <c r="O326" s="7" t="s">
        <v>697</v>
      </c>
      <c r="P326" s="6" t="s">
        <v>715</v>
      </c>
      <c r="Q326" s="37">
        <v>112</v>
      </c>
      <c r="R326" s="6" t="s">
        <v>96</v>
      </c>
      <c r="S326" s="9">
        <v>24275</v>
      </c>
      <c r="T326" s="9">
        <f>130/1.12</f>
        <v>116.07142857142856</v>
      </c>
      <c r="U326" s="9">
        <v>0</v>
      </c>
      <c r="V326" s="9">
        <f t="shared" si="161"/>
        <v>0</v>
      </c>
      <c r="W326" s="7" t="s">
        <v>97</v>
      </c>
      <c r="X326" s="2">
        <v>2016</v>
      </c>
      <c r="Y326" s="6">
        <v>6</v>
      </c>
    </row>
    <row r="327" spans="1:25" s="11" customFormat="1" ht="51" customHeight="1" outlineLevel="1" x14ac:dyDescent="0.25">
      <c r="B327" s="2" t="s">
        <v>748</v>
      </c>
      <c r="C327" s="6" t="s">
        <v>83</v>
      </c>
      <c r="D327" s="6" t="s">
        <v>741</v>
      </c>
      <c r="E327" s="6" t="s">
        <v>738</v>
      </c>
      <c r="F327" s="6" t="s">
        <v>742</v>
      </c>
      <c r="G327" s="6" t="s">
        <v>733</v>
      </c>
      <c r="H327" s="6" t="s">
        <v>694</v>
      </c>
      <c r="I327" s="6" t="s">
        <v>723</v>
      </c>
      <c r="J327" s="5">
        <v>710000000</v>
      </c>
      <c r="K327" s="6" t="s">
        <v>89</v>
      </c>
      <c r="L327" s="6" t="s">
        <v>90</v>
      </c>
      <c r="M327" s="6" t="s">
        <v>91</v>
      </c>
      <c r="N327" s="7" t="s">
        <v>92</v>
      </c>
      <c r="O327" s="7" t="s">
        <v>697</v>
      </c>
      <c r="P327" s="6" t="s">
        <v>715</v>
      </c>
      <c r="Q327" s="37">
        <v>112</v>
      </c>
      <c r="R327" s="6" t="s">
        <v>96</v>
      </c>
      <c r="S327" s="9">
        <v>24275</v>
      </c>
      <c r="T327" s="9">
        <f>130/1.12</f>
        <v>116.07142857142856</v>
      </c>
      <c r="U327" s="9">
        <f t="shared" ref="U327" si="231">S327*T327</f>
        <v>2817633.9285714282</v>
      </c>
      <c r="V327" s="9">
        <f t="shared" si="161"/>
        <v>3155750</v>
      </c>
      <c r="W327" s="7" t="s">
        <v>97</v>
      </c>
      <c r="X327" s="2">
        <v>2016</v>
      </c>
      <c r="Y327" s="6"/>
    </row>
    <row r="328" spans="1:25" s="11" customFormat="1" ht="51" customHeight="1" outlineLevel="1" x14ac:dyDescent="0.2">
      <c r="A328" s="32"/>
      <c r="B328" s="2" t="s">
        <v>749</v>
      </c>
      <c r="C328" s="19" t="s">
        <v>83</v>
      </c>
      <c r="D328" s="19" t="s">
        <v>737</v>
      </c>
      <c r="E328" s="19" t="s">
        <v>738</v>
      </c>
      <c r="F328" s="19" t="s">
        <v>739</v>
      </c>
      <c r="G328" s="19" t="s">
        <v>722</v>
      </c>
      <c r="H328" s="19" t="s">
        <v>694</v>
      </c>
      <c r="I328" s="19" t="s">
        <v>723</v>
      </c>
      <c r="J328" s="5">
        <v>710000000</v>
      </c>
      <c r="K328" s="19" t="s">
        <v>89</v>
      </c>
      <c r="L328" s="19" t="s">
        <v>90</v>
      </c>
      <c r="M328" s="19" t="s">
        <v>91</v>
      </c>
      <c r="N328" s="7" t="s">
        <v>92</v>
      </c>
      <c r="O328" s="7" t="s">
        <v>697</v>
      </c>
      <c r="P328" s="19" t="s">
        <v>715</v>
      </c>
      <c r="Q328" s="37">
        <v>112</v>
      </c>
      <c r="R328" s="19" t="s">
        <v>96</v>
      </c>
      <c r="S328" s="9">
        <v>40979</v>
      </c>
      <c r="T328" s="9">
        <f>99/1.12</f>
        <v>88.392857142857139</v>
      </c>
      <c r="U328" s="9">
        <v>0</v>
      </c>
      <c r="V328" s="9">
        <f t="shared" si="161"/>
        <v>0</v>
      </c>
      <c r="W328" s="7" t="s">
        <v>97</v>
      </c>
      <c r="X328" s="2">
        <v>2016</v>
      </c>
      <c r="Y328" s="19">
        <v>6</v>
      </c>
    </row>
    <row r="329" spans="1:25" s="11" customFormat="1" ht="51" customHeight="1" outlineLevel="1" x14ac:dyDescent="0.2">
      <c r="A329" s="32"/>
      <c r="B329" s="2" t="s">
        <v>750</v>
      </c>
      <c r="C329" s="19" t="s">
        <v>83</v>
      </c>
      <c r="D329" s="19" t="s">
        <v>737</v>
      </c>
      <c r="E329" s="19" t="s">
        <v>738</v>
      </c>
      <c r="F329" s="19" t="s">
        <v>739</v>
      </c>
      <c r="G329" s="19" t="s">
        <v>733</v>
      </c>
      <c r="H329" s="19" t="s">
        <v>694</v>
      </c>
      <c r="I329" s="19" t="s">
        <v>723</v>
      </c>
      <c r="J329" s="5">
        <v>710000000</v>
      </c>
      <c r="K329" s="19" t="s">
        <v>89</v>
      </c>
      <c r="L329" s="19" t="s">
        <v>90</v>
      </c>
      <c r="M329" s="19" t="s">
        <v>91</v>
      </c>
      <c r="N329" s="7" t="s">
        <v>92</v>
      </c>
      <c r="O329" s="7" t="s">
        <v>697</v>
      </c>
      <c r="P329" s="19" t="s">
        <v>715</v>
      </c>
      <c r="Q329" s="37">
        <v>112</v>
      </c>
      <c r="R329" s="19" t="s">
        <v>96</v>
      </c>
      <c r="S329" s="9">
        <v>40979</v>
      </c>
      <c r="T329" s="9">
        <f>99/1.12</f>
        <v>88.392857142857139</v>
      </c>
      <c r="U329" s="9">
        <v>0</v>
      </c>
      <c r="V329" s="9">
        <f t="shared" si="161"/>
        <v>0</v>
      </c>
      <c r="W329" s="7" t="s">
        <v>97</v>
      </c>
      <c r="X329" s="2">
        <v>2016</v>
      </c>
      <c r="Y329" s="19" t="s">
        <v>7468</v>
      </c>
    </row>
    <row r="330" spans="1:25" s="11" customFormat="1" ht="51" customHeight="1" outlineLevel="1" x14ac:dyDescent="0.25">
      <c r="B330" s="2" t="s">
        <v>7465</v>
      </c>
      <c r="C330" s="19" t="s">
        <v>83</v>
      </c>
      <c r="D330" s="19" t="s">
        <v>737</v>
      </c>
      <c r="E330" s="19" t="s">
        <v>738</v>
      </c>
      <c r="F330" s="19" t="s">
        <v>739</v>
      </c>
      <c r="G330" s="19" t="s">
        <v>733</v>
      </c>
      <c r="H330" s="19" t="s">
        <v>694</v>
      </c>
      <c r="I330" s="19" t="s">
        <v>723</v>
      </c>
      <c r="J330" s="5">
        <v>710000000</v>
      </c>
      <c r="K330" s="19" t="s">
        <v>89</v>
      </c>
      <c r="L330" s="19" t="s">
        <v>7466</v>
      </c>
      <c r="M330" s="19" t="s">
        <v>91</v>
      </c>
      <c r="N330" s="7" t="s">
        <v>92</v>
      </c>
      <c r="O330" s="7" t="s">
        <v>7467</v>
      </c>
      <c r="P330" s="19" t="s">
        <v>715</v>
      </c>
      <c r="Q330" s="37">
        <v>112</v>
      </c>
      <c r="R330" s="19" t="s">
        <v>96</v>
      </c>
      <c r="S330" s="9">
        <v>15489</v>
      </c>
      <c r="T330" s="9">
        <f>99/1.12</f>
        <v>88.392857142857139</v>
      </c>
      <c r="U330" s="9">
        <f t="shared" ref="U330" si="232">T330*S330</f>
        <v>1369116.9642857143</v>
      </c>
      <c r="V330" s="9">
        <f t="shared" ref="V330" si="233">U330*1.12</f>
        <v>1533411.0000000002</v>
      </c>
      <c r="W330" s="7" t="s">
        <v>97</v>
      </c>
      <c r="X330" s="2">
        <v>2016</v>
      </c>
      <c r="Y330" s="19"/>
    </row>
    <row r="331" spans="1:25" s="11" customFormat="1" ht="38.25" customHeight="1" outlineLevel="1" x14ac:dyDescent="0.2">
      <c r="A331" s="38"/>
      <c r="B331" s="2" t="s">
        <v>751</v>
      </c>
      <c r="C331" s="3" t="s">
        <v>83</v>
      </c>
      <c r="D331" s="3" t="s">
        <v>752</v>
      </c>
      <c r="E331" s="3" t="s">
        <v>614</v>
      </c>
      <c r="F331" s="3" t="s">
        <v>753</v>
      </c>
      <c r="G331" s="39"/>
      <c r="H331" s="5" t="s">
        <v>694</v>
      </c>
      <c r="I331" s="27">
        <v>1</v>
      </c>
      <c r="J331" s="5">
        <v>710000000</v>
      </c>
      <c r="K331" s="5" t="s">
        <v>89</v>
      </c>
      <c r="L331" s="5" t="s">
        <v>754</v>
      </c>
      <c r="M331" s="6" t="s">
        <v>696</v>
      </c>
      <c r="N331" s="7" t="s">
        <v>92</v>
      </c>
      <c r="O331" s="7" t="s">
        <v>697</v>
      </c>
      <c r="P331" s="5" t="s">
        <v>698</v>
      </c>
      <c r="Q331" s="15">
        <v>113</v>
      </c>
      <c r="R331" s="5" t="s">
        <v>716</v>
      </c>
      <c r="S331" s="9">
        <v>2600</v>
      </c>
      <c r="T331" s="9">
        <v>73.56</v>
      </c>
      <c r="U331" s="9">
        <v>0</v>
      </c>
      <c r="V331" s="9">
        <f t="shared" si="161"/>
        <v>0</v>
      </c>
      <c r="W331" s="7"/>
      <c r="X331" s="2">
        <v>2016</v>
      </c>
      <c r="Y331" s="5" t="s">
        <v>2338</v>
      </c>
    </row>
    <row r="332" spans="1:25" s="11" customFormat="1" ht="38.25" customHeight="1" outlineLevel="1" x14ac:dyDescent="0.2">
      <c r="A332" s="32"/>
      <c r="B332" s="2" t="s">
        <v>2336</v>
      </c>
      <c r="C332" s="3" t="s">
        <v>83</v>
      </c>
      <c r="D332" s="3" t="s">
        <v>752</v>
      </c>
      <c r="E332" s="3" t="s">
        <v>614</v>
      </c>
      <c r="F332" s="3" t="s">
        <v>753</v>
      </c>
      <c r="G332" s="39"/>
      <c r="H332" s="5" t="s">
        <v>694</v>
      </c>
      <c r="I332" s="27">
        <v>1</v>
      </c>
      <c r="J332" s="5">
        <v>710000000</v>
      </c>
      <c r="K332" s="5" t="s">
        <v>89</v>
      </c>
      <c r="L332" s="5" t="s">
        <v>754</v>
      </c>
      <c r="M332" s="6" t="s">
        <v>696</v>
      </c>
      <c r="N332" s="7" t="s">
        <v>92</v>
      </c>
      <c r="O332" s="7" t="s">
        <v>697</v>
      </c>
      <c r="P332" s="5" t="s">
        <v>698</v>
      </c>
      <c r="Q332" s="15">
        <v>113</v>
      </c>
      <c r="R332" s="5" t="s">
        <v>716</v>
      </c>
      <c r="S332" s="9">
        <f>2600+500</f>
        <v>3100</v>
      </c>
      <c r="T332" s="9">
        <v>73.56</v>
      </c>
      <c r="U332" s="9">
        <v>0</v>
      </c>
      <c r="V332" s="9">
        <f t="shared" ref="V332" si="234">U332*1.12</f>
        <v>0</v>
      </c>
      <c r="W332" s="7"/>
      <c r="X332" s="2">
        <v>2016</v>
      </c>
      <c r="Y332" s="5" t="s">
        <v>7791</v>
      </c>
    </row>
    <row r="333" spans="1:25" s="11" customFormat="1" ht="38.25" customHeight="1" outlineLevel="1" x14ac:dyDescent="0.25">
      <c r="B333" s="2" t="s">
        <v>7790</v>
      </c>
      <c r="C333" s="3" t="s">
        <v>83</v>
      </c>
      <c r="D333" s="3" t="s">
        <v>752</v>
      </c>
      <c r="E333" s="3" t="s">
        <v>614</v>
      </c>
      <c r="F333" s="3" t="s">
        <v>753</v>
      </c>
      <c r="G333" s="39"/>
      <c r="H333" s="5" t="s">
        <v>694</v>
      </c>
      <c r="I333" s="27">
        <v>1</v>
      </c>
      <c r="J333" s="5">
        <v>710000000</v>
      </c>
      <c r="K333" s="5" t="s">
        <v>89</v>
      </c>
      <c r="L333" s="5" t="s">
        <v>754</v>
      </c>
      <c r="M333" s="6" t="s">
        <v>696</v>
      </c>
      <c r="N333" s="7" t="s">
        <v>92</v>
      </c>
      <c r="O333" s="7" t="s">
        <v>697</v>
      </c>
      <c r="P333" s="5" t="s">
        <v>698</v>
      </c>
      <c r="Q333" s="15">
        <v>113</v>
      </c>
      <c r="R333" s="5" t="s">
        <v>716</v>
      </c>
      <c r="S333" s="9">
        <f>2000+390</f>
        <v>2390</v>
      </c>
      <c r="T333" s="9">
        <v>107.14285700000001</v>
      </c>
      <c r="U333" s="9">
        <f>S333*T333</f>
        <v>256071.42823000002</v>
      </c>
      <c r="V333" s="9">
        <f t="shared" ref="V333" si="235">U333*1.12</f>
        <v>286799.99961760006</v>
      </c>
      <c r="W333" s="7"/>
      <c r="X333" s="2">
        <v>2016</v>
      </c>
      <c r="Y333" s="5"/>
    </row>
    <row r="334" spans="1:25" s="11" customFormat="1" ht="89.25" customHeight="1" outlineLevel="1" x14ac:dyDescent="0.2">
      <c r="A334" s="32"/>
      <c r="B334" s="2" t="s">
        <v>755</v>
      </c>
      <c r="C334" s="5" t="s">
        <v>83</v>
      </c>
      <c r="D334" s="5" t="s">
        <v>756</v>
      </c>
      <c r="E334" s="5" t="s">
        <v>757</v>
      </c>
      <c r="F334" s="5" t="s">
        <v>758</v>
      </c>
      <c r="G334" s="5" t="s">
        <v>759</v>
      </c>
      <c r="H334" s="5" t="s">
        <v>694</v>
      </c>
      <c r="I334" s="27">
        <v>0</v>
      </c>
      <c r="J334" s="5">
        <v>710000000</v>
      </c>
      <c r="K334" s="5" t="s">
        <v>89</v>
      </c>
      <c r="L334" s="2" t="s">
        <v>90</v>
      </c>
      <c r="M334" s="6" t="s">
        <v>696</v>
      </c>
      <c r="N334" s="7" t="s">
        <v>92</v>
      </c>
      <c r="O334" s="7" t="s">
        <v>697</v>
      </c>
      <c r="P334" s="3" t="s">
        <v>673</v>
      </c>
      <c r="Q334" s="7">
        <v>796</v>
      </c>
      <c r="R334" s="7" t="s">
        <v>118</v>
      </c>
      <c r="S334" s="14">
        <v>1</v>
      </c>
      <c r="T334" s="9">
        <v>75000</v>
      </c>
      <c r="U334" s="9">
        <v>0</v>
      </c>
      <c r="V334" s="9">
        <f t="shared" si="161"/>
        <v>0</v>
      </c>
      <c r="W334" s="2"/>
      <c r="X334" s="2">
        <v>2016</v>
      </c>
      <c r="Y334" s="5" t="s">
        <v>9617</v>
      </c>
    </row>
    <row r="335" spans="1:25" s="11" customFormat="1" ht="89.25" customHeight="1" outlineLevel="1" x14ac:dyDescent="0.25">
      <c r="B335" s="2" t="s">
        <v>9619</v>
      </c>
      <c r="C335" s="5" t="s">
        <v>83</v>
      </c>
      <c r="D335" s="5" t="s">
        <v>9615</v>
      </c>
      <c r="E335" s="5" t="s">
        <v>757</v>
      </c>
      <c r="F335" s="5" t="s">
        <v>9616</v>
      </c>
      <c r="G335" s="5" t="s">
        <v>9618</v>
      </c>
      <c r="H335" s="5" t="s">
        <v>694</v>
      </c>
      <c r="I335" s="27">
        <v>0</v>
      </c>
      <c r="J335" s="5">
        <v>710000000</v>
      </c>
      <c r="K335" s="5" t="s">
        <v>89</v>
      </c>
      <c r="L335" s="2" t="s">
        <v>1741</v>
      </c>
      <c r="M335" s="6" t="s">
        <v>766</v>
      </c>
      <c r="N335" s="7" t="s">
        <v>92</v>
      </c>
      <c r="O335" s="7" t="s">
        <v>697</v>
      </c>
      <c r="P335" s="3" t="s">
        <v>673</v>
      </c>
      <c r="Q335" s="7">
        <v>796</v>
      </c>
      <c r="R335" s="7" t="s">
        <v>118</v>
      </c>
      <c r="S335" s="14">
        <v>1</v>
      </c>
      <c r="T335" s="9">
        <v>223205.36</v>
      </c>
      <c r="U335" s="9">
        <v>0</v>
      </c>
      <c r="V335" s="9">
        <f t="shared" ref="V335" si="236">U335*1.12</f>
        <v>0</v>
      </c>
      <c r="W335" s="2"/>
      <c r="X335" s="2">
        <v>2016</v>
      </c>
      <c r="Y335" s="5" t="s">
        <v>9699</v>
      </c>
    </row>
    <row r="336" spans="1:25" s="11" customFormat="1" ht="89.25" customHeight="1" outlineLevel="1" x14ac:dyDescent="0.25">
      <c r="B336" s="2" t="s">
        <v>9697</v>
      </c>
      <c r="C336" s="5" t="s">
        <v>83</v>
      </c>
      <c r="D336" s="5" t="s">
        <v>9615</v>
      </c>
      <c r="E336" s="5" t="s">
        <v>757</v>
      </c>
      <c r="F336" s="5" t="s">
        <v>9616</v>
      </c>
      <c r="G336" s="5" t="s">
        <v>9698</v>
      </c>
      <c r="H336" s="5" t="s">
        <v>765</v>
      </c>
      <c r="I336" s="27">
        <v>0</v>
      </c>
      <c r="J336" s="5">
        <v>710000000</v>
      </c>
      <c r="K336" s="5" t="s">
        <v>89</v>
      </c>
      <c r="L336" s="2" t="s">
        <v>1723</v>
      </c>
      <c r="M336" s="6" t="s">
        <v>766</v>
      </c>
      <c r="N336" s="7" t="s">
        <v>92</v>
      </c>
      <c r="O336" s="7" t="s">
        <v>697</v>
      </c>
      <c r="P336" s="3" t="s">
        <v>673</v>
      </c>
      <c r="Q336" s="7">
        <v>796</v>
      </c>
      <c r="R336" s="7" t="s">
        <v>118</v>
      </c>
      <c r="S336" s="14">
        <v>1</v>
      </c>
      <c r="T336" s="9">
        <v>241062.5</v>
      </c>
      <c r="U336" s="9">
        <f t="shared" ref="U336" si="237">T336*S336</f>
        <v>241062.5</v>
      </c>
      <c r="V336" s="9">
        <f t="shared" ref="V336" si="238">U336*1.12</f>
        <v>269990</v>
      </c>
      <c r="W336" s="2"/>
      <c r="X336" s="2">
        <v>2016</v>
      </c>
      <c r="Y336" s="5"/>
    </row>
    <row r="337" spans="1:25" s="11" customFormat="1" ht="89.25" customHeight="1" outlineLevel="1" x14ac:dyDescent="0.2">
      <c r="A337" s="32"/>
      <c r="B337" s="2" t="s">
        <v>760</v>
      </c>
      <c r="C337" s="3" t="s">
        <v>83</v>
      </c>
      <c r="D337" s="3" t="s">
        <v>761</v>
      </c>
      <c r="E337" s="3" t="s">
        <v>762</v>
      </c>
      <c r="F337" s="3" t="s">
        <v>763</v>
      </c>
      <c r="G337" s="19" t="s">
        <v>764</v>
      </c>
      <c r="H337" s="2" t="s">
        <v>765</v>
      </c>
      <c r="I337" s="4">
        <v>0.5</v>
      </c>
      <c r="J337" s="5">
        <v>710000000</v>
      </c>
      <c r="K337" s="5" t="s">
        <v>89</v>
      </c>
      <c r="L337" s="2" t="s">
        <v>90</v>
      </c>
      <c r="M337" s="6" t="s">
        <v>766</v>
      </c>
      <c r="N337" s="7" t="s">
        <v>92</v>
      </c>
      <c r="O337" s="7" t="s">
        <v>93</v>
      </c>
      <c r="P337" s="3" t="s">
        <v>94</v>
      </c>
      <c r="Q337" s="8">
        <v>796</v>
      </c>
      <c r="R337" s="7" t="s">
        <v>118</v>
      </c>
      <c r="S337" s="9">
        <v>10</v>
      </c>
      <c r="T337" s="9">
        <v>24285.71</v>
      </c>
      <c r="U337" s="9">
        <v>0</v>
      </c>
      <c r="V337" s="9">
        <f t="shared" ref="V337:V426" si="239">U337*1.12</f>
        <v>0</v>
      </c>
      <c r="W337" s="7" t="s">
        <v>97</v>
      </c>
      <c r="X337" s="2">
        <v>2016</v>
      </c>
      <c r="Y337" s="5">
        <v>11</v>
      </c>
    </row>
    <row r="338" spans="1:25" s="11" customFormat="1" ht="89.25" customHeight="1" outlineLevel="1" x14ac:dyDescent="0.2">
      <c r="A338" s="32"/>
      <c r="B338" s="2" t="s">
        <v>7478</v>
      </c>
      <c r="C338" s="3" t="s">
        <v>83</v>
      </c>
      <c r="D338" s="3" t="s">
        <v>761</v>
      </c>
      <c r="E338" s="3" t="s">
        <v>762</v>
      </c>
      <c r="F338" s="3" t="s">
        <v>763</v>
      </c>
      <c r="G338" s="19" t="s">
        <v>764</v>
      </c>
      <c r="H338" s="2" t="s">
        <v>765</v>
      </c>
      <c r="I338" s="4">
        <v>0.5</v>
      </c>
      <c r="J338" s="5">
        <v>710000000</v>
      </c>
      <c r="K338" s="5" t="s">
        <v>89</v>
      </c>
      <c r="L338" s="2" t="s">
        <v>754</v>
      </c>
      <c r="M338" s="6" t="s">
        <v>766</v>
      </c>
      <c r="N338" s="7" t="s">
        <v>92</v>
      </c>
      <c r="O338" s="7" t="s">
        <v>93</v>
      </c>
      <c r="P338" s="3" t="s">
        <v>94</v>
      </c>
      <c r="Q338" s="8">
        <v>796</v>
      </c>
      <c r="R338" s="7" t="s">
        <v>118</v>
      </c>
      <c r="S338" s="9">
        <v>10</v>
      </c>
      <c r="T338" s="9">
        <v>24285.71</v>
      </c>
      <c r="U338" s="9">
        <v>0</v>
      </c>
      <c r="V338" s="9">
        <f t="shared" ref="V338" si="240">U338*1.12</f>
        <v>0</v>
      </c>
      <c r="W338" s="7" t="s">
        <v>97</v>
      </c>
      <c r="X338" s="2">
        <v>2016</v>
      </c>
      <c r="Y338" s="5" t="s">
        <v>7793</v>
      </c>
    </row>
    <row r="339" spans="1:25" s="11" customFormat="1" ht="89.25" customHeight="1" outlineLevel="1" x14ac:dyDescent="0.25">
      <c r="B339" s="2" t="s">
        <v>7798</v>
      </c>
      <c r="C339" s="3" t="s">
        <v>83</v>
      </c>
      <c r="D339" s="3" t="s">
        <v>761</v>
      </c>
      <c r="E339" s="3" t="s">
        <v>762</v>
      </c>
      <c r="F339" s="3" t="s">
        <v>763</v>
      </c>
      <c r="G339" s="19" t="s">
        <v>764</v>
      </c>
      <c r="H339" s="2" t="s">
        <v>765</v>
      </c>
      <c r="I339" s="4">
        <v>0</v>
      </c>
      <c r="J339" s="5">
        <v>710000000</v>
      </c>
      <c r="K339" s="5" t="s">
        <v>89</v>
      </c>
      <c r="L339" s="2" t="s">
        <v>754</v>
      </c>
      <c r="M339" s="6" t="s">
        <v>766</v>
      </c>
      <c r="N339" s="7" t="s">
        <v>92</v>
      </c>
      <c r="O339" s="7" t="s">
        <v>93</v>
      </c>
      <c r="P339" s="3" t="s">
        <v>673</v>
      </c>
      <c r="Q339" s="8">
        <v>796</v>
      </c>
      <c r="R339" s="7" t="s">
        <v>118</v>
      </c>
      <c r="S339" s="9">
        <v>10</v>
      </c>
      <c r="T339" s="9">
        <v>24285.71</v>
      </c>
      <c r="U339" s="9">
        <f t="shared" ref="U339" si="241">T339*S339</f>
        <v>242857.09999999998</v>
      </c>
      <c r="V339" s="9">
        <f t="shared" ref="V339" si="242">U339*1.12</f>
        <v>271999.95199999999</v>
      </c>
      <c r="W339" s="7"/>
      <c r="X339" s="2">
        <v>2016</v>
      </c>
      <c r="Y339" s="5"/>
    </row>
    <row r="340" spans="1:25" s="11" customFormat="1" ht="89.25" customHeight="1" outlineLevel="1" x14ac:dyDescent="0.2">
      <c r="A340" s="32"/>
      <c r="B340" s="2" t="s">
        <v>767</v>
      </c>
      <c r="C340" s="3" t="s">
        <v>83</v>
      </c>
      <c r="D340" s="3" t="s">
        <v>768</v>
      </c>
      <c r="E340" s="3" t="s">
        <v>762</v>
      </c>
      <c r="F340" s="3" t="s">
        <v>769</v>
      </c>
      <c r="G340" s="19" t="s">
        <v>770</v>
      </c>
      <c r="H340" s="2" t="s">
        <v>765</v>
      </c>
      <c r="I340" s="4">
        <v>0.5</v>
      </c>
      <c r="J340" s="5">
        <v>710000000</v>
      </c>
      <c r="K340" s="5" t="s">
        <v>89</v>
      </c>
      <c r="L340" s="2" t="s">
        <v>90</v>
      </c>
      <c r="M340" s="6" t="s">
        <v>766</v>
      </c>
      <c r="N340" s="7" t="s">
        <v>92</v>
      </c>
      <c r="O340" s="7" t="s">
        <v>93</v>
      </c>
      <c r="P340" s="3" t="s">
        <v>94</v>
      </c>
      <c r="Q340" s="8">
        <v>796</v>
      </c>
      <c r="R340" s="7" t="s">
        <v>118</v>
      </c>
      <c r="S340" s="9">
        <v>10</v>
      </c>
      <c r="T340" s="9">
        <v>30267.86</v>
      </c>
      <c r="U340" s="9">
        <v>0</v>
      </c>
      <c r="V340" s="9">
        <f t="shared" si="239"/>
        <v>0</v>
      </c>
      <c r="W340" s="7" t="s">
        <v>97</v>
      </c>
      <c r="X340" s="2">
        <v>2016</v>
      </c>
      <c r="Y340" s="5">
        <v>11</v>
      </c>
    </row>
    <row r="341" spans="1:25" s="11" customFormat="1" ht="89.25" customHeight="1" outlineLevel="1" x14ac:dyDescent="0.2">
      <c r="A341" s="32"/>
      <c r="B341" s="2" t="s">
        <v>7479</v>
      </c>
      <c r="C341" s="3" t="s">
        <v>83</v>
      </c>
      <c r="D341" s="3" t="s">
        <v>768</v>
      </c>
      <c r="E341" s="3" t="s">
        <v>762</v>
      </c>
      <c r="F341" s="3" t="s">
        <v>769</v>
      </c>
      <c r="G341" s="19" t="s">
        <v>770</v>
      </c>
      <c r="H341" s="2" t="s">
        <v>765</v>
      </c>
      <c r="I341" s="4">
        <v>0.5</v>
      </c>
      <c r="J341" s="5">
        <v>710000000</v>
      </c>
      <c r="K341" s="5" t="s">
        <v>89</v>
      </c>
      <c r="L341" s="2" t="s">
        <v>754</v>
      </c>
      <c r="M341" s="6" t="s">
        <v>766</v>
      </c>
      <c r="N341" s="7" t="s">
        <v>92</v>
      </c>
      <c r="O341" s="7" t="s">
        <v>93</v>
      </c>
      <c r="P341" s="3" t="s">
        <v>94</v>
      </c>
      <c r="Q341" s="8">
        <v>796</v>
      </c>
      <c r="R341" s="7" t="s">
        <v>118</v>
      </c>
      <c r="S341" s="9">
        <v>10</v>
      </c>
      <c r="T341" s="9">
        <v>30267.86</v>
      </c>
      <c r="U341" s="9">
        <v>0</v>
      </c>
      <c r="V341" s="9">
        <f t="shared" ref="V341" si="243">U341*1.12</f>
        <v>0</v>
      </c>
      <c r="W341" s="7" t="s">
        <v>97</v>
      </c>
      <c r="X341" s="2">
        <v>2016</v>
      </c>
      <c r="Y341" s="2" t="s">
        <v>7793</v>
      </c>
    </row>
    <row r="342" spans="1:25" s="11" customFormat="1" ht="89.25" customHeight="1" outlineLevel="1" x14ac:dyDescent="0.25">
      <c r="B342" s="2" t="s">
        <v>7799</v>
      </c>
      <c r="C342" s="3" t="s">
        <v>83</v>
      </c>
      <c r="D342" s="3" t="s">
        <v>768</v>
      </c>
      <c r="E342" s="3" t="s">
        <v>762</v>
      </c>
      <c r="F342" s="3" t="s">
        <v>769</v>
      </c>
      <c r="G342" s="19" t="s">
        <v>770</v>
      </c>
      <c r="H342" s="2" t="s">
        <v>765</v>
      </c>
      <c r="I342" s="4">
        <v>0</v>
      </c>
      <c r="J342" s="5">
        <v>710000000</v>
      </c>
      <c r="K342" s="5" t="s">
        <v>89</v>
      </c>
      <c r="L342" s="2" t="s">
        <v>754</v>
      </c>
      <c r="M342" s="6" t="s">
        <v>766</v>
      </c>
      <c r="N342" s="7" t="s">
        <v>92</v>
      </c>
      <c r="O342" s="7" t="s">
        <v>93</v>
      </c>
      <c r="P342" s="3" t="s">
        <v>673</v>
      </c>
      <c r="Q342" s="8">
        <v>796</v>
      </c>
      <c r="R342" s="7" t="s">
        <v>118</v>
      </c>
      <c r="S342" s="9">
        <v>10</v>
      </c>
      <c r="T342" s="9">
        <v>30267.86</v>
      </c>
      <c r="U342" s="9">
        <f t="shared" ref="U342" si="244">T342*S342</f>
        <v>302678.59999999998</v>
      </c>
      <c r="V342" s="9">
        <f t="shared" ref="V342" si="245">U342*1.12</f>
        <v>339000.03200000001</v>
      </c>
      <c r="W342" s="7"/>
      <c r="X342" s="2">
        <v>2016</v>
      </c>
      <c r="Y342" s="2"/>
    </row>
    <row r="343" spans="1:25" s="11" customFormat="1" ht="89.25" customHeight="1" outlineLevel="1" x14ac:dyDescent="0.2">
      <c r="A343" s="32"/>
      <c r="B343" s="2" t="s">
        <v>771</v>
      </c>
      <c r="C343" s="3" t="s">
        <v>83</v>
      </c>
      <c r="D343" s="3" t="s">
        <v>768</v>
      </c>
      <c r="E343" s="3" t="s">
        <v>762</v>
      </c>
      <c r="F343" s="3" t="s">
        <v>769</v>
      </c>
      <c r="G343" s="19" t="s">
        <v>772</v>
      </c>
      <c r="H343" s="2" t="s">
        <v>765</v>
      </c>
      <c r="I343" s="4">
        <v>0.5</v>
      </c>
      <c r="J343" s="5">
        <v>710000000</v>
      </c>
      <c r="K343" s="5" t="s">
        <v>89</v>
      </c>
      <c r="L343" s="2" t="s">
        <v>90</v>
      </c>
      <c r="M343" s="6" t="s">
        <v>766</v>
      </c>
      <c r="N343" s="7" t="s">
        <v>92</v>
      </c>
      <c r="O343" s="7" t="s">
        <v>93</v>
      </c>
      <c r="P343" s="3" t="s">
        <v>94</v>
      </c>
      <c r="Q343" s="8">
        <v>796</v>
      </c>
      <c r="R343" s="7" t="s">
        <v>118</v>
      </c>
      <c r="S343" s="9">
        <v>10</v>
      </c>
      <c r="T343" s="9">
        <v>30267.86</v>
      </c>
      <c r="U343" s="9">
        <v>0</v>
      </c>
      <c r="V343" s="9">
        <f t="shared" si="239"/>
        <v>0</v>
      </c>
      <c r="W343" s="7" t="s">
        <v>97</v>
      </c>
      <c r="X343" s="2">
        <v>2016</v>
      </c>
      <c r="Y343" s="5">
        <v>11</v>
      </c>
    </row>
    <row r="344" spans="1:25" s="11" customFormat="1" ht="89.25" customHeight="1" outlineLevel="1" x14ac:dyDescent="0.2">
      <c r="A344" s="32"/>
      <c r="B344" s="2" t="s">
        <v>7480</v>
      </c>
      <c r="C344" s="3" t="s">
        <v>83</v>
      </c>
      <c r="D344" s="3" t="s">
        <v>768</v>
      </c>
      <c r="E344" s="3" t="s">
        <v>762</v>
      </c>
      <c r="F344" s="3" t="s">
        <v>769</v>
      </c>
      <c r="G344" s="19" t="s">
        <v>772</v>
      </c>
      <c r="H344" s="2" t="s">
        <v>765</v>
      </c>
      <c r="I344" s="4">
        <v>0.5</v>
      </c>
      <c r="J344" s="5">
        <v>710000000</v>
      </c>
      <c r="K344" s="5" t="s">
        <v>89</v>
      </c>
      <c r="L344" s="2" t="s">
        <v>754</v>
      </c>
      <c r="M344" s="6" t="s">
        <v>766</v>
      </c>
      <c r="N344" s="7" t="s">
        <v>92</v>
      </c>
      <c r="O344" s="7" t="s">
        <v>93</v>
      </c>
      <c r="P344" s="3" t="s">
        <v>94</v>
      </c>
      <c r="Q344" s="8">
        <v>796</v>
      </c>
      <c r="R344" s="7" t="s">
        <v>118</v>
      </c>
      <c r="S344" s="9">
        <v>10</v>
      </c>
      <c r="T344" s="9">
        <v>30267.86</v>
      </c>
      <c r="U344" s="9">
        <v>0</v>
      </c>
      <c r="V344" s="9">
        <f t="shared" ref="V344" si="246">U344*1.12</f>
        <v>0</v>
      </c>
      <c r="W344" s="7" t="s">
        <v>97</v>
      </c>
      <c r="X344" s="2">
        <v>2016</v>
      </c>
      <c r="Y344" s="5" t="s">
        <v>7793</v>
      </c>
    </row>
    <row r="345" spans="1:25" s="11" customFormat="1" ht="89.25" customHeight="1" outlineLevel="1" x14ac:dyDescent="0.25">
      <c r="B345" s="2" t="s">
        <v>7800</v>
      </c>
      <c r="C345" s="3" t="s">
        <v>83</v>
      </c>
      <c r="D345" s="3" t="s">
        <v>768</v>
      </c>
      <c r="E345" s="3" t="s">
        <v>762</v>
      </c>
      <c r="F345" s="3" t="s">
        <v>769</v>
      </c>
      <c r="G345" s="19" t="s">
        <v>772</v>
      </c>
      <c r="H345" s="2" t="s">
        <v>765</v>
      </c>
      <c r="I345" s="4">
        <v>0</v>
      </c>
      <c r="J345" s="5">
        <v>710000000</v>
      </c>
      <c r="K345" s="5" t="s">
        <v>89</v>
      </c>
      <c r="L345" s="2" t="s">
        <v>754</v>
      </c>
      <c r="M345" s="6" t="s">
        <v>766</v>
      </c>
      <c r="N345" s="7" t="s">
        <v>92</v>
      </c>
      <c r="O345" s="7" t="s">
        <v>93</v>
      </c>
      <c r="P345" s="3" t="s">
        <v>673</v>
      </c>
      <c r="Q345" s="8">
        <v>796</v>
      </c>
      <c r="R345" s="7" t="s">
        <v>118</v>
      </c>
      <c r="S345" s="9">
        <v>10</v>
      </c>
      <c r="T345" s="9">
        <v>30267.86</v>
      </c>
      <c r="U345" s="9">
        <f t="shared" ref="U345" si="247">T345*S345</f>
        <v>302678.59999999998</v>
      </c>
      <c r="V345" s="9">
        <f t="shared" ref="V345" si="248">U345*1.12</f>
        <v>339000.03200000001</v>
      </c>
      <c r="W345" s="7"/>
      <c r="X345" s="2">
        <v>2016</v>
      </c>
      <c r="Y345" s="5"/>
    </row>
    <row r="346" spans="1:25" s="11" customFormat="1" ht="89.25" customHeight="1" outlineLevel="1" x14ac:dyDescent="0.2">
      <c r="A346" s="32"/>
      <c r="B346" s="2" t="s">
        <v>773</v>
      </c>
      <c r="C346" s="3" t="s">
        <v>83</v>
      </c>
      <c r="D346" s="3" t="s">
        <v>768</v>
      </c>
      <c r="E346" s="3" t="s">
        <v>762</v>
      </c>
      <c r="F346" s="3" t="s">
        <v>769</v>
      </c>
      <c r="G346" s="19" t="s">
        <v>774</v>
      </c>
      <c r="H346" s="2" t="s">
        <v>765</v>
      </c>
      <c r="I346" s="4">
        <v>0.5</v>
      </c>
      <c r="J346" s="5">
        <v>710000000</v>
      </c>
      <c r="K346" s="5" t="s">
        <v>89</v>
      </c>
      <c r="L346" s="2" t="s">
        <v>90</v>
      </c>
      <c r="M346" s="6" t="s">
        <v>766</v>
      </c>
      <c r="N346" s="7" t="s">
        <v>92</v>
      </c>
      <c r="O346" s="7" t="s">
        <v>93</v>
      </c>
      <c r="P346" s="3" t="s">
        <v>94</v>
      </c>
      <c r="Q346" s="8">
        <v>796</v>
      </c>
      <c r="R346" s="7" t="s">
        <v>118</v>
      </c>
      <c r="S346" s="9">
        <v>10</v>
      </c>
      <c r="T346" s="9">
        <v>30267.86</v>
      </c>
      <c r="U346" s="9">
        <v>0</v>
      </c>
      <c r="V346" s="9">
        <f t="shared" si="239"/>
        <v>0</v>
      </c>
      <c r="W346" s="7" t="s">
        <v>97</v>
      </c>
      <c r="X346" s="2">
        <v>2016</v>
      </c>
      <c r="Y346" s="5">
        <v>11</v>
      </c>
    </row>
    <row r="347" spans="1:25" s="11" customFormat="1" ht="89.25" customHeight="1" outlineLevel="1" x14ac:dyDescent="0.2">
      <c r="A347" s="32"/>
      <c r="B347" s="2" t="s">
        <v>7481</v>
      </c>
      <c r="C347" s="3" t="s">
        <v>83</v>
      </c>
      <c r="D347" s="3" t="s">
        <v>768</v>
      </c>
      <c r="E347" s="3" t="s">
        <v>762</v>
      </c>
      <c r="F347" s="3" t="s">
        <v>769</v>
      </c>
      <c r="G347" s="19" t="s">
        <v>774</v>
      </c>
      <c r="H347" s="2" t="s">
        <v>765</v>
      </c>
      <c r="I347" s="4">
        <v>0.5</v>
      </c>
      <c r="J347" s="5">
        <v>710000000</v>
      </c>
      <c r="K347" s="5" t="s">
        <v>89</v>
      </c>
      <c r="L347" s="2" t="s">
        <v>754</v>
      </c>
      <c r="M347" s="6" t="s">
        <v>766</v>
      </c>
      <c r="N347" s="7" t="s">
        <v>92</v>
      </c>
      <c r="O347" s="7" t="s">
        <v>93</v>
      </c>
      <c r="P347" s="3" t="s">
        <v>94</v>
      </c>
      <c r="Q347" s="8">
        <v>796</v>
      </c>
      <c r="R347" s="7" t="s">
        <v>118</v>
      </c>
      <c r="S347" s="9">
        <v>10</v>
      </c>
      <c r="T347" s="9">
        <v>30267.86</v>
      </c>
      <c r="U347" s="9">
        <v>0</v>
      </c>
      <c r="V347" s="9">
        <f t="shared" ref="V347" si="249">U347*1.12</f>
        <v>0</v>
      </c>
      <c r="W347" s="7" t="s">
        <v>97</v>
      </c>
      <c r="X347" s="2">
        <v>2016</v>
      </c>
      <c r="Y347" s="5" t="s">
        <v>7793</v>
      </c>
    </row>
    <row r="348" spans="1:25" s="11" customFormat="1" ht="89.25" customHeight="1" outlineLevel="1" x14ac:dyDescent="0.25">
      <c r="B348" s="2" t="s">
        <v>7801</v>
      </c>
      <c r="C348" s="3" t="s">
        <v>83</v>
      </c>
      <c r="D348" s="3" t="s">
        <v>768</v>
      </c>
      <c r="E348" s="3" t="s">
        <v>762</v>
      </c>
      <c r="F348" s="3" t="s">
        <v>769</v>
      </c>
      <c r="G348" s="19" t="s">
        <v>774</v>
      </c>
      <c r="H348" s="2" t="s">
        <v>765</v>
      </c>
      <c r="I348" s="4">
        <v>0</v>
      </c>
      <c r="J348" s="5">
        <v>710000000</v>
      </c>
      <c r="K348" s="5" t="s">
        <v>89</v>
      </c>
      <c r="L348" s="2" t="s">
        <v>754</v>
      </c>
      <c r="M348" s="6" t="s">
        <v>766</v>
      </c>
      <c r="N348" s="7" t="s">
        <v>92</v>
      </c>
      <c r="O348" s="7" t="s">
        <v>93</v>
      </c>
      <c r="P348" s="3" t="s">
        <v>673</v>
      </c>
      <c r="Q348" s="8">
        <v>796</v>
      </c>
      <c r="R348" s="7" t="s">
        <v>118</v>
      </c>
      <c r="S348" s="9">
        <v>10</v>
      </c>
      <c r="T348" s="9">
        <v>30267.86</v>
      </c>
      <c r="U348" s="9">
        <f t="shared" ref="U348" si="250">T348*S348</f>
        <v>302678.59999999998</v>
      </c>
      <c r="V348" s="9">
        <f t="shared" ref="V348" si="251">U348*1.12</f>
        <v>339000.03200000001</v>
      </c>
      <c r="W348" s="7"/>
      <c r="X348" s="2">
        <v>2016</v>
      </c>
      <c r="Y348" s="5"/>
    </row>
    <row r="349" spans="1:25" s="11" customFormat="1" ht="89.25" customHeight="1" outlineLevel="1" x14ac:dyDescent="0.2">
      <c r="A349" s="32"/>
      <c r="B349" s="2" t="s">
        <v>775</v>
      </c>
      <c r="C349" s="3" t="s">
        <v>83</v>
      </c>
      <c r="D349" s="3" t="s">
        <v>761</v>
      </c>
      <c r="E349" s="3" t="s">
        <v>762</v>
      </c>
      <c r="F349" s="3" t="s">
        <v>763</v>
      </c>
      <c r="G349" s="19" t="s">
        <v>776</v>
      </c>
      <c r="H349" s="2" t="s">
        <v>765</v>
      </c>
      <c r="I349" s="4">
        <v>0.5</v>
      </c>
      <c r="J349" s="5">
        <v>710000000</v>
      </c>
      <c r="K349" s="5" t="s">
        <v>89</v>
      </c>
      <c r="L349" s="2" t="s">
        <v>90</v>
      </c>
      <c r="M349" s="6" t="s">
        <v>766</v>
      </c>
      <c r="N349" s="7" t="s">
        <v>92</v>
      </c>
      <c r="O349" s="7" t="s">
        <v>93</v>
      </c>
      <c r="P349" s="3" t="s">
        <v>94</v>
      </c>
      <c r="Q349" s="8">
        <v>796</v>
      </c>
      <c r="R349" s="7" t="s">
        <v>118</v>
      </c>
      <c r="S349" s="9">
        <v>3</v>
      </c>
      <c r="T349" s="9">
        <v>42475</v>
      </c>
      <c r="U349" s="9">
        <v>0</v>
      </c>
      <c r="V349" s="9">
        <f t="shared" si="239"/>
        <v>0</v>
      </c>
      <c r="W349" s="7" t="s">
        <v>97</v>
      </c>
      <c r="X349" s="2">
        <v>2016</v>
      </c>
      <c r="Y349" s="2">
        <v>11</v>
      </c>
    </row>
    <row r="350" spans="1:25" s="11" customFormat="1" ht="89.25" customHeight="1" outlineLevel="1" x14ac:dyDescent="0.2">
      <c r="A350" s="32"/>
      <c r="B350" s="2" t="s">
        <v>7482</v>
      </c>
      <c r="C350" s="3" t="s">
        <v>83</v>
      </c>
      <c r="D350" s="3" t="s">
        <v>761</v>
      </c>
      <c r="E350" s="3" t="s">
        <v>762</v>
      </c>
      <c r="F350" s="3" t="s">
        <v>763</v>
      </c>
      <c r="G350" s="19" t="s">
        <v>776</v>
      </c>
      <c r="H350" s="2" t="s">
        <v>765</v>
      </c>
      <c r="I350" s="4">
        <v>0.5</v>
      </c>
      <c r="J350" s="5">
        <v>710000000</v>
      </c>
      <c r="K350" s="5" t="s">
        <v>89</v>
      </c>
      <c r="L350" s="2" t="s">
        <v>754</v>
      </c>
      <c r="M350" s="6" t="s">
        <v>766</v>
      </c>
      <c r="N350" s="7" t="s">
        <v>92</v>
      </c>
      <c r="O350" s="7" t="s">
        <v>93</v>
      </c>
      <c r="P350" s="3" t="s">
        <v>94</v>
      </c>
      <c r="Q350" s="8">
        <v>796</v>
      </c>
      <c r="R350" s="7" t="s">
        <v>118</v>
      </c>
      <c r="S350" s="9">
        <v>3</v>
      </c>
      <c r="T350" s="9">
        <v>42475</v>
      </c>
      <c r="U350" s="9">
        <v>0</v>
      </c>
      <c r="V350" s="9">
        <f t="shared" ref="V350" si="252">U350*1.12</f>
        <v>0</v>
      </c>
      <c r="W350" s="7" t="s">
        <v>97</v>
      </c>
      <c r="X350" s="2">
        <v>2016</v>
      </c>
      <c r="Y350" s="2" t="s">
        <v>7793</v>
      </c>
    </row>
    <row r="351" spans="1:25" s="11" customFormat="1" ht="89.25" customHeight="1" outlineLevel="1" x14ac:dyDescent="0.25">
      <c r="B351" s="2" t="s">
        <v>7802</v>
      </c>
      <c r="C351" s="3" t="s">
        <v>83</v>
      </c>
      <c r="D351" s="3" t="s">
        <v>761</v>
      </c>
      <c r="E351" s="3" t="s">
        <v>762</v>
      </c>
      <c r="F351" s="3" t="s">
        <v>763</v>
      </c>
      <c r="G351" s="19" t="s">
        <v>776</v>
      </c>
      <c r="H351" s="2" t="s">
        <v>765</v>
      </c>
      <c r="I351" s="4">
        <v>0</v>
      </c>
      <c r="J351" s="5">
        <v>710000000</v>
      </c>
      <c r="K351" s="5" t="s">
        <v>89</v>
      </c>
      <c r="L351" s="2" t="s">
        <v>754</v>
      </c>
      <c r="M351" s="6" t="s">
        <v>766</v>
      </c>
      <c r="N351" s="7" t="s">
        <v>92</v>
      </c>
      <c r="O351" s="7" t="s">
        <v>93</v>
      </c>
      <c r="P351" s="3" t="s">
        <v>673</v>
      </c>
      <c r="Q351" s="8">
        <v>796</v>
      </c>
      <c r="R351" s="7" t="s">
        <v>118</v>
      </c>
      <c r="S351" s="9">
        <v>3</v>
      </c>
      <c r="T351" s="9">
        <v>42475</v>
      </c>
      <c r="U351" s="9">
        <v>0</v>
      </c>
      <c r="V351" s="9">
        <f t="shared" ref="V351" si="253">U351*1.12</f>
        <v>0</v>
      </c>
      <c r="W351" s="7"/>
      <c r="X351" s="2">
        <v>2016</v>
      </c>
      <c r="Y351" s="2">
        <v>11</v>
      </c>
    </row>
    <row r="352" spans="1:25" s="11" customFormat="1" ht="89.25" customHeight="1" outlineLevel="1" x14ac:dyDescent="0.25">
      <c r="B352" s="2" t="s">
        <v>8490</v>
      </c>
      <c r="C352" s="3" t="s">
        <v>83</v>
      </c>
      <c r="D352" s="3" t="s">
        <v>761</v>
      </c>
      <c r="E352" s="3" t="s">
        <v>762</v>
      </c>
      <c r="F352" s="3" t="s">
        <v>763</v>
      </c>
      <c r="G352" s="19" t="s">
        <v>776</v>
      </c>
      <c r="H352" s="2" t="s">
        <v>765</v>
      </c>
      <c r="I352" s="4">
        <v>0</v>
      </c>
      <c r="J352" s="5">
        <v>710000000</v>
      </c>
      <c r="K352" s="5" t="s">
        <v>89</v>
      </c>
      <c r="L352" s="5" t="s">
        <v>8491</v>
      </c>
      <c r="M352" s="6" t="s">
        <v>766</v>
      </c>
      <c r="N352" s="7" t="s">
        <v>92</v>
      </c>
      <c r="O352" s="7" t="s">
        <v>93</v>
      </c>
      <c r="P352" s="3" t="s">
        <v>673</v>
      </c>
      <c r="Q352" s="8">
        <v>796</v>
      </c>
      <c r="R352" s="7" t="s">
        <v>118</v>
      </c>
      <c r="S352" s="9">
        <v>3</v>
      </c>
      <c r="T352" s="9">
        <v>42475</v>
      </c>
      <c r="U352" s="9">
        <f t="shared" ref="U352" si="254">T352*S352</f>
        <v>127425</v>
      </c>
      <c r="V352" s="9">
        <f t="shared" ref="V352" si="255">U352*1.12</f>
        <v>142716</v>
      </c>
      <c r="W352" s="7"/>
      <c r="X352" s="2">
        <v>2016</v>
      </c>
      <c r="Y352" s="2"/>
    </row>
    <row r="353" spans="1:25" s="11" customFormat="1" ht="89.25" customHeight="1" outlineLevel="1" x14ac:dyDescent="0.2">
      <c r="A353" s="32"/>
      <c r="B353" s="2" t="s">
        <v>777</v>
      </c>
      <c r="C353" s="3" t="s">
        <v>83</v>
      </c>
      <c r="D353" s="3" t="s">
        <v>768</v>
      </c>
      <c r="E353" s="3" t="s">
        <v>762</v>
      </c>
      <c r="F353" s="3" t="s">
        <v>769</v>
      </c>
      <c r="G353" s="19" t="s">
        <v>778</v>
      </c>
      <c r="H353" s="2" t="s">
        <v>765</v>
      </c>
      <c r="I353" s="4">
        <v>0.5</v>
      </c>
      <c r="J353" s="5">
        <v>710000000</v>
      </c>
      <c r="K353" s="5" t="s">
        <v>89</v>
      </c>
      <c r="L353" s="2" t="s">
        <v>90</v>
      </c>
      <c r="M353" s="6" t="s">
        <v>766</v>
      </c>
      <c r="N353" s="7" t="s">
        <v>92</v>
      </c>
      <c r="O353" s="7" t="s">
        <v>93</v>
      </c>
      <c r="P353" s="3" t="s">
        <v>94</v>
      </c>
      <c r="Q353" s="8">
        <v>796</v>
      </c>
      <c r="R353" s="7" t="s">
        <v>118</v>
      </c>
      <c r="S353" s="9">
        <v>3</v>
      </c>
      <c r="T353" s="9">
        <v>74437.5</v>
      </c>
      <c r="U353" s="9">
        <v>0</v>
      </c>
      <c r="V353" s="9">
        <f t="shared" si="239"/>
        <v>0</v>
      </c>
      <c r="W353" s="7" t="s">
        <v>97</v>
      </c>
      <c r="X353" s="2">
        <v>2016</v>
      </c>
      <c r="Y353" s="2">
        <v>11</v>
      </c>
    </row>
    <row r="354" spans="1:25" s="11" customFormat="1" ht="89.25" customHeight="1" outlineLevel="1" x14ac:dyDescent="0.2">
      <c r="A354" s="32"/>
      <c r="B354" s="2" t="s">
        <v>7804</v>
      </c>
      <c r="C354" s="3" t="s">
        <v>83</v>
      </c>
      <c r="D354" s="3" t="s">
        <v>768</v>
      </c>
      <c r="E354" s="3" t="s">
        <v>762</v>
      </c>
      <c r="F354" s="3" t="s">
        <v>769</v>
      </c>
      <c r="G354" s="19" t="s">
        <v>778</v>
      </c>
      <c r="H354" s="2" t="s">
        <v>765</v>
      </c>
      <c r="I354" s="4">
        <v>0.5</v>
      </c>
      <c r="J354" s="5">
        <v>710000000</v>
      </c>
      <c r="K354" s="5" t="s">
        <v>89</v>
      </c>
      <c r="L354" s="2" t="s">
        <v>754</v>
      </c>
      <c r="M354" s="6" t="s">
        <v>766</v>
      </c>
      <c r="N354" s="7" t="s">
        <v>92</v>
      </c>
      <c r="O354" s="7" t="s">
        <v>93</v>
      </c>
      <c r="P354" s="3" t="s">
        <v>94</v>
      </c>
      <c r="Q354" s="8">
        <v>796</v>
      </c>
      <c r="R354" s="7" t="s">
        <v>118</v>
      </c>
      <c r="S354" s="9">
        <v>3</v>
      </c>
      <c r="T354" s="9">
        <v>74437.5</v>
      </c>
      <c r="U354" s="9">
        <v>0</v>
      </c>
      <c r="V354" s="9">
        <f t="shared" ref="V354" si="256">U354*1.12</f>
        <v>0</v>
      </c>
      <c r="W354" s="7" t="s">
        <v>97</v>
      </c>
      <c r="X354" s="2">
        <v>2016</v>
      </c>
      <c r="Y354" s="2" t="s">
        <v>7793</v>
      </c>
    </row>
    <row r="355" spans="1:25" s="11" customFormat="1" ht="89.25" customHeight="1" outlineLevel="1" x14ac:dyDescent="0.25">
      <c r="B355" s="2" t="s">
        <v>7803</v>
      </c>
      <c r="C355" s="3" t="s">
        <v>83</v>
      </c>
      <c r="D355" s="3" t="s">
        <v>768</v>
      </c>
      <c r="E355" s="3" t="s">
        <v>762</v>
      </c>
      <c r="F355" s="3" t="s">
        <v>769</v>
      </c>
      <c r="G355" s="19" t="s">
        <v>778</v>
      </c>
      <c r="H355" s="2" t="s">
        <v>765</v>
      </c>
      <c r="I355" s="4">
        <v>0</v>
      </c>
      <c r="J355" s="5">
        <v>710000000</v>
      </c>
      <c r="K355" s="5" t="s">
        <v>89</v>
      </c>
      <c r="L355" s="2" t="s">
        <v>754</v>
      </c>
      <c r="M355" s="6" t="s">
        <v>766</v>
      </c>
      <c r="N355" s="7" t="s">
        <v>92</v>
      </c>
      <c r="O355" s="7" t="s">
        <v>93</v>
      </c>
      <c r="P355" s="3" t="s">
        <v>673</v>
      </c>
      <c r="Q355" s="8">
        <v>796</v>
      </c>
      <c r="R355" s="7" t="s">
        <v>118</v>
      </c>
      <c r="S355" s="9">
        <v>3</v>
      </c>
      <c r="T355" s="9">
        <v>74437.5</v>
      </c>
      <c r="U355" s="9">
        <v>0</v>
      </c>
      <c r="V355" s="9">
        <f t="shared" ref="V355" si="257">U355*1.12</f>
        <v>0</v>
      </c>
      <c r="W355" s="7"/>
      <c r="X355" s="2">
        <v>2016</v>
      </c>
      <c r="Y355" s="2" t="s">
        <v>8493</v>
      </c>
    </row>
    <row r="356" spans="1:25" s="11" customFormat="1" ht="89.25" customHeight="1" outlineLevel="1" x14ac:dyDescent="0.25">
      <c r="B356" s="2" t="s">
        <v>8492</v>
      </c>
      <c r="C356" s="3" t="s">
        <v>83</v>
      </c>
      <c r="D356" s="3" t="s">
        <v>768</v>
      </c>
      <c r="E356" s="3" t="s">
        <v>762</v>
      </c>
      <c r="F356" s="3" t="s">
        <v>769</v>
      </c>
      <c r="G356" s="19" t="s">
        <v>778</v>
      </c>
      <c r="H356" s="2" t="s">
        <v>765</v>
      </c>
      <c r="I356" s="4">
        <v>0</v>
      </c>
      <c r="J356" s="5">
        <v>710000000</v>
      </c>
      <c r="K356" s="5" t="s">
        <v>89</v>
      </c>
      <c r="L356" s="5" t="s">
        <v>8491</v>
      </c>
      <c r="M356" s="6" t="s">
        <v>766</v>
      </c>
      <c r="N356" s="7" t="s">
        <v>92</v>
      </c>
      <c r="O356" s="7" t="s">
        <v>93</v>
      </c>
      <c r="P356" s="3" t="s">
        <v>673</v>
      </c>
      <c r="Q356" s="8">
        <v>796</v>
      </c>
      <c r="R356" s="7" t="s">
        <v>118</v>
      </c>
      <c r="S356" s="9">
        <v>3</v>
      </c>
      <c r="T356" s="9">
        <v>82574.11</v>
      </c>
      <c r="U356" s="9">
        <f t="shared" ref="U356" si="258">T356*S356</f>
        <v>247722.33000000002</v>
      </c>
      <c r="V356" s="9">
        <f t="shared" ref="V356" si="259">U356*1.12</f>
        <v>277449.00960000005</v>
      </c>
      <c r="W356" s="7"/>
      <c r="X356" s="2">
        <v>2016</v>
      </c>
      <c r="Y356" s="2"/>
    </row>
    <row r="357" spans="1:25" s="11" customFormat="1" ht="89.25" customHeight="1" outlineLevel="1" x14ac:dyDescent="0.2">
      <c r="A357" s="32"/>
      <c r="B357" s="2" t="s">
        <v>779</v>
      </c>
      <c r="C357" s="3" t="s">
        <v>83</v>
      </c>
      <c r="D357" s="3" t="s">
        <v>768</v>
      </c>
      <c r="E357" s="3" t="s">
        <v>762</v>
      </c>
      <c r="F357" s="3" t="s">
        <v>769</v>
      </c>
      <c r="G357" s="19" t="s">
        <v>780</v>
      </c>
      <c r="H357" s="2" t="s">
        <v>765</v>
      </c>
      <c r="I357" s="4">
        <v>0.5</v>
      </c>
      <c r="J357" s="5">
        <v>710000000</v>
      </c>
      <c r="K357" s="5" t="s">
        <v>89</v>
      </c>
      <c r="L357" s="2" t="s">
        <v>90</v>
      </c>
      <c r="M357" s="6" t="s">
        <v>766</v>
      </c>
      <c r="N357" s="7" t="s">
        <v>92</v>
      </c>
      <c r="O357" s="7" t="s">
        <v>93</v>
      </c>
      <c r="P357" s="3" t="s">
        <v>94</v>
      </c>
      <c r="Q357" s="8">
        <v>796</v>
      </c>
      <c r="R357" s="7" t="s">
        <v>118</v>
      </c>
      <c r="S357" s="9">
        <v>3</v>
      </c>
      <c r="T357" s="9">
        <v>74437.5</v>
      </c>
      <c r="U357" s="9">
        <v>0</v>
      </c>
      <c r="V357" s="9">
        <f t="shared" si="239"/>
        <v>0</v>
      </c>
      <c r="W357" s="7" t="s">
        <v>97</v>
      </c>
      <c r="X357" s="2">
        <v>2016</v>
      </c>
      <c r="Y357" s="2">
        <v>11</v>
      </c>
    </row>
    <row r="358" spans="1:25" s="11" customFormat="1" ht="89.25" customHeight="1" outlineLevel="1" x14ac:dyDescent="0.2">
      <c r="A358" s="32"/>
      <c r="B358" s="2" t="s">
        <v>7483</v>
      </c>
      <c r="C358" s="3" t="s">
        <v>83</v>
      </c>
      <c r="D358" s="3" t="s">
        <v>768</v>
      </c>
      <c r="E358" s="3" t="s">
        <v>762</v>
      </c>
      <c r="F358" s="3" t="s">
        <v>769</v>
      </c>
      <c r="G358" s="19" t="s">
        <v>780</v>
      </c>
      <c r="H358" s="2" t="s">
        <v>765</v>
      </c>
      <c r="I358" s="4">
        <v>0.5</v>
      </c>
      <c r="J358" s="5">
        <v>710000000</v>
      </c>
      <c r="K358" s="5" t="s">
        <v>89</v>
      </c>
      <c r="L358" s="2" t="s">
        <v>754</v>
      </c>
      <c r="M358" s="6" t="s">
        <v>766</v>
      </c>
      <c r="N358" s="7" t="s">
        <v>92</v>
      </c>
      <c r="O358" s="7" t="s">
        <v>93</v>
      </c>
      <c r="P358" s="3" t="s">
        <v>94</v>
      </c>
      <c r="Q358" s="8">
        <v>796</v>
      </c>
      <c r="R358" s="7" t="s">
        <v>118</v>
      </c>
      <c r="S358" s="9">
        <v>3</v>
      </c>
      <c r="T358" s="9">
        <v>74437.5</v>
      </c>
      <c r="U358" s="9">
        <v>0</v>
      </c>
      <c r="V358" s="9">
        <f t="shared" ref="V358" si="260">U358*1.12</f>
        <v>0</v>
      </c>
      <c r="W358" s="7" t="s">
        <v>97</v>
      </c>
      <c r="X358" s="2">
        <v>2016</v>
      </c>
      <c r="Y358" s="2" t="s">
        <v>7793</v>
      </c>
    </row>
    <row r="359" spans="1:25" s="11" customFormat="1" ht="89.25" customHeight="1" outlineLevel="1" x14ac:dyDescent="0.25">
      <c r="B359" s="2" t="s">
        <v>7805</v>
      </c>
      <c r="C359" s="3" t="s">
        <v>83</v>
      </c>
      <c r="D359" s="3" t="s">
        <v>768</v>
      </c>
      <c r="E359" s="3" t="s">
        <v>762</v>
      </c>
      <c r="F359" s="3" t="s">
        <v>769</v>
      </c>
      <c r="G359" s="19" t="s">
        <v>780</v>
      </c>
      <c r="H359" s="2" t="s">
        <v>765</v>
      </c>
      <c r="I359" s="4">
        <v>0</v>
      </c>
      <c r="J359" s="5">
        <v>710000000</v>
      </c>
      <c r="K359" s="5" t="s">
        <v>89</v>
      </c>
      <c r="L359" s="2" t="s">
        <v>754</v>
      </c>
      <c r="M359" s="6" t="s">
        <v>766</v>
      </c>
      <c r="N359" s="7" t="s">
        <v>92</v>
      </c>
      <c r="O359" s="7" t="s">
        <v>93</v>
      </c>
      <c r="P359" s="3" t="s">
        <v>673</v>
      </c>
      <c r="Q359" s="8">
        <v>796</v>
      </c>
      <c r="R359" s="7" t="s">
        <v>118</v>
      </c>
      <c r="S359" s="9">
        <v>3</v>
      </c>
      <c r="T359" s="9">
        <v>74437.5</v>
      </c>
      <c r="U359" s="9">
        <v>0</v>
      </c>
      <c r="V359" s="9">
        <f t="shared" ref="V359" si="261">U359*1.12</f>
        <v>0</v>
      </c>
      <c r="W359" s="7"/>
      <c r="X359" s="2">
        <v>2016</v>
      </c>
      <c r="Y359" s="2" t="s">
        <v>8493</v>
      </c>
    </row>
    <row r="360" spans="1:25" s="11" customFormat="1" ht="89.25" customHeight="1" outlineLevel="1" x14ac:dyDescent="0.25">
      <c r="B360" s="2" t="s">
        <v>8494</v>
      </c>
      <c r="C360" s="3" t="s">
        <v>83</v>
      </c>
      <c r="D360" s="3" t="s">
        <v>768</v>
      </c>
      <c r="E360" s="3" t="s">
        <v>762</v>
      </c>
      <c r="F360" s="3" t="s">
        <v>769</v>
      </c>
      <c r="G360" s="19" t="s">
        <v>780</v>
      </c>
      <c r="H360" s="2" t="s">
        <v>765</v>
      </c>
      <c r="I360" s="4">
        <v>0</v>
      </c>
      <c r="J360" s="5">
        <v>710000000</v>
      </c>
      <c r="K360" s="5" t="s">
        <v>89</v>
      </c>
      <c r="L360" s="5" t="s">
        <v>8491</v>
      </c>
      <c r="M360" s="6" t="s">
        <v>766</v>
      </c>
      <c r="N360" s="7" t="s">
        <v>92</v>
      </c>
      <c r="O360" s="7" t="s">
        <v>93</v>
      </c>
      <c r="P360" s="3" t="s">
        <v>673</v>
      </c>
      <c r="Q360" s="8">
        <v>796</v>
      </c>
      <c r="R360" s="7" t="s">
        <v>118</v>
      </c>
      <c r="S360" s="9">
        <v>3</v>
      </c>
      <c r="T360" s="9">
        <v>82574.11</v>
      </c>
      <c r="U360" s="9">
        <f t="shared" ref="U360" si="262">T360*S360</f>
        <v>247722.33000000002</v>
      </c>
      <c r="V360" s="9">
        <f t="shared" ref="V360" si="263">U360*1.12</f>
        <v>277449.00960000005</v>
      </c>
      <c r="W360" s="7"/>
      <c r="X360" s="2">
        <v>2016</v>
      </c>
      <c r="Y360" s="2"/>
    </row>
    <row r="361" spans="1:25" s="20" customFormat="1" ht="89.25" customHeight="1" outlineLevel="1" x14ac:dyDescent="0.2">
      <c r="A361" s="29"/>
      <c r="B361" s="2" t="s">
        <v>781</v>
      </c>
      <c r="C361" s="3" t="s">
        <v>83</v>
      </c>
      <c r="D361" s="3" t="s">
        <v>768</v>
      </c>
      <c r="E361" s="3" t="s">
        <v>762</v>
      </c>
      <c r="F361" s="3" t="s">
        <v>769</v>
      </c>
      <c r="G361" s="19" t="s">
        <v>782</v>
      </c>
      <c r="H361" s="2" t="s">
        <v>765</v>
      </c>
      <c r="I361" s="4">
        <v>0.5</v>
      </c>
      <c r="J361" s="5">
        <v>710000000</v>
      </c>
      <c r="K361" s="5" t="s">
        <v>89</v>
      </c>
      <c r="L361" s="2" t="s">
        <v>90</v>
      </c>
      <c r="M361" s="6" t="s">
        <v>766</v>
      </c>
      <c r="N361" s="7" t="s">
        <v>92</v>
      </c>
      <c r="O361" s="7" t="s">
        <v>93</v>
      </c>
      <c r="P361" s="3" t="s">
        <v>94</v>
      </c>
      <c r="Q361" s="8">
        <v>796</v>
      </c>
      <c r="R361" s="7" t="s">
        <v>118</v>
      </c>
      <c r="S361" s="9">
        <v>3</v>
      </c>
      <c r="T361" s="9">
        <v>74437.5</v>
      </c>
      <c r="U361" s="9">
        <v>0</v>
      </c>
      <c r="V361" s="9">
        <f t="shared" si="239"/>
        <v>0</v>
      </c>
      <c r="W361" s="7" t="s">
        <v>97</v>
      </c>
      <c r="X361" s="2">
        <v>2016</v>
      </c>
      <c r="Y361" s="2">
        <v>11</v>
      </c>
    </row>
    <row r="362" spans="1:25" s="20" customFormat="1" ht="89.25" customHeight="1" outlineLevel="1" x14ac:dyDescent="0.2">
      <c r="A362" s="29"/>
      <c r="B362" s="2" t="s">
        <v>7484</v>
      </c>
      <c r="C362" s="3" t="s">
        <v>83</v>
      </c>
      <c r="D362" s="3" t="s">
        <v>768</v>
      </c>
      <c r="E362" s="3" t="s">
        <v>762</v>
      </c>
      <c r="F362" s="3" t="s">
        <v>769</v>
      </c>
      <c r="G362" s="19" t="s">
        <v>782</v>
      </c>
      <c r="H362" s="2" t="s">
        <v>765</v>
      </c>
      <c r="I362" s="4">
        <v>0.5</v>
      </c>
      <c r="J362" s="5">
        <v>710000000</v>
      </c>
      <c r="K362" s="5" t="s">
        <v>89</v>
      </c>
      <c r="L362" s="2" t="s">
        <v>754</v>
      </c>
      <c r="M362" s="6" t="s">
        <v>766</v>
      </c>
      <c r="N362" s="7" t="s">
        <v>92</v>
      </c>
      <c r="O362" s="7" t="s">
        <v>93</v>
      </c>
      <c r="P362" s="3" t="s">
        <v>94</v>
      </c>
      <c r="Q362" s="8">
        <v>796</v>
      </c>
      <c r="R362" s="7" t="s">
        <v>118</v>
      </c>
      <c r="S362" s="9">
        <v>3</v>
      </c>
      <c r="T362" s="9">
        <v>74437.5</v>
      </c>
      <c r="U362" s="9">
        <v>0</v>
      </c>
      <c r="V362" s="9">
        <f t="shared" ref="V362" si="264">U362*1.12</f>
        <v>0</v>
      </c>
      <c r="W362" s="7" t="s">
        <v>97</v>
      </c>
      <c r="X362" s="2">
        <v>2016</v>
      </c>
      <c r="Y362" s="2" t="s">
        <v>7793</v>
      </c>
    </row>
    <row r="363" spans="1:25" s="20" customFormat="1" ht="89.25" customHeight="1" outlineLevel="1" x14ac:dyDescent="0.25">
      <c r="B363" s="2" t="s">
        <v>7806</v>
      </c>
      <c r="C363" s="3" t="s">
        <v>83</v>
      </c>
      <c r="D363" s="3" t="s">
        <v>768</v>
      </c>
      <c r="E363" s="3" t="s">
        <v>762</v>
      </c>
      <c r="F363" s="3" t="s">
        <v>769</v>
      </c>
      <c r="G363" s="19" t="s">
        <v>782</v>
      </c>
      <c r="H363" s="2" t="s">
        <v>765</v>
      </c>
      <c r="I363" s="4">
        <v>0</v>
      </c>
      <c r="J363" s="5">
        <v>710000000</v>
      </c>
      <c r="K363" s="5" t="s">
        <v>89</v>
      </c>
      <c r="L363" s="2" t="s">
        <v>754</v>
      </c>
      <c r="M363" s="6" t="s">
        <v>766</v>
      </c>
      <c r="N363" s="7" t="s">
        <v>92</v>
      </c>
      <c r="O363" s="7" t="s">
        <v>93</v>
      </c>
      <c r="P363" s="3" t="s">
        <v>673</v>
      </c>
      <c r="Q363" s="8">
        <v>796</v>
      </c>
      <c r="R363" s="7" t="s">
        <v>118</v>
      </c>
      <c r="S363" s="9">
        <v>3</v>
      </c>
      <c r="T363" s="9">
        <v>74437.5</v>
      </c>
      <c r="U363" s="9">
        <v>0</v>
      </c>
      <c r="V363" s="9">
        <f t="shared" ref="V363" si="265">U363*1.12</f>
        <v>0</v>
      </c>
      <c r="W363" s="7"/>
      <c r="X363" s="2">
        <v>2016</v>
      </c>
      <c r="Y363" s="2" t="s">
        <v>8493</v>
      </c>
    </row>
    <row r="364" spans="1:25" s="20" customFormat="1" ht="89.25" customHeight="1" outlineLevel="1" x14ac:dyDescent="0.25">
      <c r="B364" s="2" t="s">
        <v>8496</v>
      </c>
      <c r="C364" s="3" t="s">
        <v>83</v>
      </c>
      <c r="D364" s="3" t="s">
        <v>768</v>
      </c>
      <c r="E364" s="3" t="s">
        <v>762</v>
      </c>
      <c r="F364" s="3" t="s">
        <v>769</v>
      </c>
      <c r="G364" s="19" t="s">
        <v>782</v>
      </c>
      <c r="H364" s="2" t="s">
        <v>765</v>
      </c>
      <c r="I364" s="4">
        <v>0</v>
      </c>
      <c r="J364" s="5">
        <v>710000000</v>
      </c>
      <c r="K364" s="5" t="s">
        <v>89</v>
      </c>
      <c r="L364" s="5" t="s">
        <v>8491</v>
      </c>
      <c r="M364" s="6" t="s">
        <v>766</v>
      </c>
      <c r="N364" s="7" t="s">
        <v>92</v>
      </c>
      <c r="O364" s="7" t="s">
        <v>93</v>
      </c>
      <c r="P364" s="3" t="s">
        <v>673</v>
      </c>
      <c r="Q364" s="8">
        <v>796</v>
      </c>
      <c r="R364" s="7" t="s">
        <v>118</v>
      </c>
      <c r="S364" s="9">
        <v>3</v>
      </c>
      <c r="T364" s="9">
        <v>82574.11</v>
      </c>
      <c r="U364" s="9">
        <f t="shared" ref="U364" si="266">T364*S364</f>
        <v>247722.33000000002</v>
      </c>
      <c r="V364" s="9">
        <f t="shared" ref="V364" si="267">U364*1.12</f>
        <v>277449.00960000005</v>
      </c>
      <c r="W364" s="7"/>
      <c r="X364" s="2">
        <v>2016</v>
      </c>
      <c r="Y364" s="2"/>
    </row>
    <row r="365" spans="1:25" s="11" customFormat="1" ht="89.25" customHeight="1" outlineLevel="1" x14ac:dyDescent="0.2">
      <c r="A365" s="32"/>
      <c r="B365" s="2" t="s">
        <v>783</v>
      </c>
      <c r="C365" s="5" t="s">
        <v>83</v>
      </c>
      <c r="D365" s="5" t="s">
        <v>784</v>
      </c>
      <c r="E365" s="5" t="s">
        <v>785</v>
      </c>
      <c r="F365" s="5" t="s">
        <v>786</v>
      </c>
      <c r="G365" s="3"/>
      <c r="H365" s="2" t="s">
        <v>765</v>
      </c>
      <c r="I365" s="27">
        <v>0</v>
      </c>
      <c r="J365" s="5">
        <v>710000000</v>
      </c>
      <c r="K365" s="5" t="s">
        <v>89</v>
      </c>
      <c r="L365" s="2" t="s">
        <v>90</v>
      </c>
      <c r="M365" s="6" t="s">
        <v>787</v>
      </c>
      <c r="N365" s="7" t="s">
        <v>92</v>
      </c>
      <c r="O365" s="7" t="s">
        <v>93</v>
      </c>
      <c r="P365" s="3" t="s">
        <v>673</v>
      </c>
      <c r="Q365" s="8">
        <v>796</v>
      </c>
      <c r="R365" s="7" t="s">
        <v>118</v>
      </c>
      <c r="S365" s="9">
        <v>25</v>
      </c>
      <c r="T365" s="9">
        <v>16000</v>
      </c>
      <c r="U365" s="9">
        <v>0</v>
      </c>
      <c r="V365" s="9">
        <f t="shared" si="239"/>
        <v>0</v>
      </c>
      <c r="W365" s="2"/>
      <c r="X365" s="2">
        <v>2016</v>
      </c>
      <c r="Y365" s="2" t="s">
        <v>2339</v>
      </c>
    </row>
    <row r="366" spans="1:25" s="11" customFormat="1" ht="89.25" customHeight="1" outlineLevel="1" x14ac:dyDescent="0.2">
      <c r="A366" s="32"/>
      <c r="B366" s="2" t="s">
        <v>2337</v>
      </c>
      <c r="C366" s="5" t="s">
        <v>83</v>
      </c>
      <c r="D366" s="5" t="s">
        <v>784</v>
      </c>
      <c r="E366" s="5" t="s">
        <v>785</v>
      </c>
      <c r="F366" s="5" t="s">
        <v>786</v>
      </c>
      <c r="G366" s="3"/>
      <c r="H366" s="2" t="s">
        <v>765</v>
      </c>
      <c r="I366" s="27">
        <v>0</v>
      </c>
      <c r="J366" s="5">
        <v>710000000</v>
      </c>
      <c r="K366" s="5" t="s">
        <v>89</v>
      </c>
      <c r="L366" s="2" t="s">
        <v>754</v>
      </c>
      <c r="M366" s="6" t="s">
        <v>787</v>
      </c>
      <c r="N366" s="7" t="s">
        <v>92</v>
      </c>
      <c r="O366" s="7" t="s">
        <v>93</v>
      </c>
      <c r="P366" s="3" t="s">
        <v>673</v>
      </c>
      <c r="Q366" s="8">
        <v>796</v>
      </c>
      <c r="R366" s="7" t="s">
        <v>118</v>
      </c>
      <c r="S366" s="9">
        <f>25+2+4</f>
        <v>31</v>
      </c>
      <c r="T366" s="9">
        <v>15000</v>
      </c>
      <c r="U366" s="9">
        <v>0</v>
      </c>
      <c r="V366" s="9">
        <f t="shared" ref="V366" si="268">U366*1.12</f>
        <v>0</v>
      </c>
      <c r="W366" s="2"/>
      <c r="X366" s="2">
        <v>2016</v>
      </c>
      <c r="Y366" s="2" t="s">
        <v>7517</v>
      </c>
    </row>
    <row r="367" spans="1:25" s="11" customFormat="1" ht="89.25" customHeight="1" outlineLevel="1" x14ac:dyDescent="0.25">
      <c r="B367" s="2" t="s">
        <v>7473</v>
      </c>
      <c r="C367" s="5" t="s">
        <v>83</v>
      </c>
      <c r="D367" s="5" t="s">
        <v>5562</v>
      </c>
      <c r="E367" s="5" t="s">
        <v>5560</v>
      </c>
      <c r="F367" s="5" t="s">
        <v>4259</v>
      </c>
      <c r="G367" s="3" t="s">
        <v>7518</v>
      </c>
      <c r="H367" s="2" t="s">
        <v>694</v>
      </c>
      <c r="I367" s="27">
        <v>0</v>
      </c>
      <c r="J367" s="5">
        <v>710000000</v>
      </c>
      <c r="K367" s="5" t="s">
        <v>89</v>
      </c>
      <c r="L367" s="2" t="s">
        <v>754</v>
      </c>
      <c r="M367" s="6" t="s">
        <v>787</v>
      </c>
      <c r="N367" s="7" t="s">
        <v>92</v>
      </c>
      <c r="O367" s="7" t="s">
        <v>93</v>
      </c>
      <c r="P367" s="3" t="s">
        <v>673</v>
      </c>
      <c r="Q367" s="8">
        <v>796</v>
      </c>
      <c r="R367" s="7" t="s">
        <v>118</v>
      </c>
      <c r="S367" s="9">
        <f>25+2+4</f>
        <v>31</v>
      </c>
      <c r="T367" s="9">
        <v>15000</v>
      </c>
      <c r="U367" s="9">
        <f t="shared" ref="U367" si="269">T367*S367</f>
        <v>465000</v>
      </c>
      <c r="V367" s="9">
        <f t="shared" ref="V367" si="270">U367*1.12</f>
        <v>520800.00000000006</v>
      </c>
      <c r="W367" s="2"/>
      <c r="X367" s="2">
        <v>2016</v>
      </c>
      <c r="Y367" s="2"/>
    </row>
    <row r="368" spans="1:25" s="11" customFormat="1" ht="89.25" customHeight="1" outlineLevel="1" x14ac:dyDescent="0.25">
      <c r="B368" s="2" t="s">
        <v>788</v>
      </c>
      <c r="C368" s="3" t="s">
        <v>83</v>
      </c>
      <c r="D368" s="3" t="s">
        <v>789</v>
      </c>
      <c r="E368" s="3" t="s">
        <v>790</v>
      </c>
      <c r="F368" s="3" t="s">
        <v>791</v>
      </c>
      <c r="G368" s="19" t="s">
        <v>792</v>
      </c>
      <c r="H368" s="2" t="s">
        <v>88</v>
      </c>
      <c r="I368" s="4">
        <v>0</v>
      </c>
      <c r="J368" s="5">
        <v>710000000</v>
      </c>
      <c r="K368" s="5" t="s">
        <v>89</v>
      </c>
      <c r="L368" s="2" t="s">
        <v>90</v>
      </c>
      <c r="M368" s="6" t="s">
        <v>787</v>
      </c>
      <c r="N368" s="7" t="s">
        <v>92</v>
      </c>
      <c r="O368" s="7" t="s">
        <v>93</v>
      </c>
      <c r="P368" s="3" t="s">
        <v>673</v>
      </c>
      <c r="Q368" s="8">
        <v>796</v>
      </c>
      <c r="R368" s="7" t="s">
        <v>118</v>
      </c>
      <c r="S368" s="9">
        <v>9</v>
      </c>
      <c r="T368" s="9">
        <v>3455.5</v>
      </c>
      <c r="U368" s="9">
        <f t="shared" ref="U368:U421" si="271">T368*S368</f>
        <v>31099.5</v>
      </c>
      <c r="V368" s="9">
        <f t="shared" si="239"/>
        <v>34831.440000000002</v>
      </c>
      <c r="W368" s="7"/>
      <c r="X368" s="2">
        <v>2016</v>
      </c>
      <c r="Y368" s="2"/>
    </row>
    <row r="369" spans="2:25" s="11" customFormat="1" ht="89.25" customHeight="1" outlineLevel="1" x14ac:dyDescent="0.25">
      <c r="B369" s="2" t="s">
        <v>793</v>
      </c>
      <c r="C369" s="3" t="s">
        <v>83</v>
      </c>
      <c r="D369" s="3" t="s">
        <v>794</v>
      </c>
      <c r="E369" s="3" t="s">
        <v>790</v>
      </c>
      <c r="F369" s="3" t="s">
        <v>795</v>
      </c>
      <c r="G369" s="19" t="s">
        <v>796</v>
      </c>
      <c r="H369" s="2" t="s">
        <v>88</v>
      </c>
      <c r="I369" s="4">
        <v>0</v>
      </c>
      <c r="J369" s="5">
        <v>710000000</v>
      </c>
      <c r="K369" s="5" t="s">
        <v>89</v>
      </c>
      <c r="L369" s="2" t="s">
        <v>90</v>
      </c>
      <c r="M369" s="6" t="s">
        <v>787</v>
      </c>
      <c r="N369" s="7" t="s">
        <v>92</v>
      </c>
      <c r="O369" s="7" t="s">
        <v>93</v>
      </c>
      <c r="P369" s="3" t="s">
        <v>673</v>
      </c>
      <c r="Q369" s="8">
        <v>796</v>
      </c>
      <c r="R369" s="7" t="s">
        <v>118</v>
      </c>
      <c r="S369" s="9">
        <v>9</v>
      </c>
      <c r="T369" s="9">
        <v>8622.6</v>
      </c>
      <c r="U369" s="9">
        <f t="shared" si="271"/>
        <v>77603.400000000009</v>
      </c>
      <c r="V369" s="9">
        <f t="shared" si="239"/>
        <v>86915.808000000019</v>
      </c>
      <c r="W369" s="7"/>
      <c r="X369" s="2">
        <v>2016</v>
      </c>
      <c r="Y369" s="2"/>
    </row>
    <row r="370" spans="2:25" s="11" customFormat="1" ht="89.25" customHeight="1" outlineLevel="1" x14ac:dyDescent="0.25">
      <c r="B370" s="2" t="s">
        <v>797</v>
      </c>
      <c r="C370" s="3" t="s">
        <v>83</v>
      </c>
      <c r="D370" s="3" t="s">
        <v>798</v>
      </c>
      <c r="E370" s="3" t="s">
        <v>790</v>
      </c>
      <c r="F370" s="3" t="s">
        <v>799</v>
      </c>
      <c r="G370" s="19" t="s">
        <v>800</v>
      </c>
      <c r="H370" s="2" t="s">
        <v>88</v>
      </c>
      <c r="I370" s="4">
        <v>0</v>
      </c>
      <c r="J370" s="5">
        <v>710000000</v>
      </c>
      <c r="K370" s="5" t="s">
        <v>89</v>
      </c>
      <c r="L370" s="2" t="s">
        <v>90</v>
      </c>
      <c r="M370" s="6" t="s">
        <v>787</v>
      </c>
      <c r="N370" s="7" t="s">
        <v>92</v>
      </c>
      <c r="O370" s="7" t="s">
        <v>93</v>
      </c>
      <c r="P370" s="3" t="s">
        <v>673</v>
      </c>
      <c r="Q370" s="8">
        <v>796</v>
      </c>
      <c r="R370" s="7" t="s">
        <v>118</v>
      </c>
      <c r="S370" s="9">
        <v>6</v>
      </c>
      <c r="T370" s="9">
        <v>8896.0499999999993</v>
      </c>
      <c r="U370" s="9">
        <f t="shared" si="271"/>
        <v>53376.299999999996</v>
      </c>
      <c r="V370" s="9">
        <f t="shared" si="239"/>
        <v>59781.455999999998</v>
      </c>
      <c r="W370" s="7"/>
      <c r="X370" s="2">
        <v>2016</v>
      </c>
      <c r="Y370" s="2"/>
    </row>
    <row r="371" spans="2:25" s="11" customFormat="1" ht="89.25" customHeight="1" outlineLevel="1" x14ac:dyDescent="0.25">
      <c r="B371" s="2" t="s">
        <v>801</v>
      </c>
      <c r="C371" s="3" t="s">
        <v>83</v>
      </c>
      <c r="D371" s="3" t="s">
        <v>802</v>
      </c>
      <c r="E371" s="3" t="s">
        <v>790</v>
      </c>
      <c r="F371" s="3" t="s">
        <v>803</v>
      </c>
      <c r="G371" s="3" t="s">
        <v>796</v>
      </c>
      <c r="H371" s="2" t="s">
        <v>88</v>
      </c>
      <c r="I371" s="4">
        <v>0</v>
      </c>
      <c r="J371" s="5">
        <v>710000000</v>
      </c>
      <c r="K371" s="3" t="s">
        <v>89</v>
      </c>
      <c r="L371" s="2" t="s">
        <v>90</v>
      </c>
      <c r="M371" s="3" t="s">
        <v>787</v>
      </c>
      <c r="N371" s="7" t="s">
        <v>92</v>
      </c>
      <c r="O371" s="7" t="s">
        <v>93</v>
      </c>
      <c r="P371" s="3" t="s">
        <v>673</v>
      </c>
      <c r="Q371" s="8">
        <v>796</v>
      </c>
      <c r="R371" s="7" t="s">
        <v>118</v>
      </c>
      <c r="S371" s="9">
        <v>2</v>
      </c>
      <c r="T371" s="9">
        <v>10153.15</v>
      </c>
      <c r="U371" s="9">
        <f t="shared" si="271"/>
        <v>20306.3</v>
      </c>
      <c r="V371" s="9">
        <f t="shared" si="239"/>
        <v>22743.056</v>
      </c>
      <c r="W371" s="3"/>
      <c r="X371" s="2">
        <v>2016</v>
      </c>
      <c r="Y371" s="3"/>
    </row>
    <row r="372" spans="2:25" s="11" customFormat="1" ht="89.25" customHeight="1" outlineLevel="1" x14ac:dyDescent="0.25">
      <c r="B372" s="2" t="s">
        <v>804</v>
      </c>
      <c r="C372" s="3" t="s">
        <v>83</v>
      </c>
      <c r="D372" s="3" t="s">
        <v>805</v>
      </c>
      <c r="E372" s="3" t="s">
        <v>806</v>
      </c>
      <c r="F372" s="3" t="s">
        <v>807</v>
      </c>
      <c r="G372" s="3" t="s">
        <v>796</v>
      </c>
      <c r="H372" s="2" t="s">
        <v>88</v>
      </c>
      <c r="I372" s="4">
        <v>0</v>
      </c>
      <c r="J372" s="5">
        <v>710000000</v>
      </c>
      <c r="K372" s="5" t="s">
        <v>89</v>
      </c>
      <c r="L372" s="2" t="s">
        <v>90</v>
      </c>
      <c r="M372" s="6" t="s">
        <v>787</v>
      </c>
      <c r="N372" s="7" t="s">
        <v>92</v>
      </c>
      <c r="O372" s="7" t="s">
        <v>93</v>
      </c>
      <c r="P372" s="3" t="s">
        <v>673</v>
      </c>
      <c r="Q372" s="8">
        <v>796</v>
      </c>
      <c r="R372" s="7" t="s">
        <v>118</v>
      </c>
      <c r="S372" s="9">
        <v>24</v>
      </c>
      <c r="T372" s="9">
        <v>3091.82</v>
      </c>
      <c r="U372" s="9">
        <f t="shared" si="271"/>
        <v>74203.680000000008</v>
      </c>
      <c r="V372" s="9">
        <f t="shared" si="239"/>
        <v>83108.121600000013</v>
      </c>
      <c r="W372" s="7"/>
      <c r="X372" s="2">
        <v>2016</v>
      </c>
      <c r="Y372" s="2"/>
    </row>
    <row r="373" spans="2:25" s="11" customFormat="1" ht="89.25" customHeight="1" outlineLevel="1" x14ac:dyDescent="0.25">
      <c r="B373" s="2" t="s">
        <v>808</v>
      </c>
      <c r="C373" s="3" t="s">
        <v>83</v>
      </c>
      <c r="D373" s="3" t="s">
        <v>809</v>
      </c>
      <c r="E373" s="3" t="s">
        <v>810</v>
      </c>
      <c r="F373" s="3" t="s">
        <v>811</v>
      </c>
      <c r="G373" s="3" t="s">
        <v>796</v>
      </c>
      <c r="H373" s="2" t="s">
        <v>88</v>
      </c>
      <c r="I373" s="4">
        <v>0</v>
      </c>
      <c r="J373" s="5">
        <v>710000000</v>
      </c>
      <c r="K373" s="5" t="s">
        <v>89</v>
      </c>
      <c r="L373" s="2" t="s">
        <v>90</v>
      </c>
      <c r="M373" s="6" t="s">
        <v>787</v>
      </c>
      <c r="N373" s="7" t="s">
        <v>92</v>
      </c>
      <c r="O373" s="7" t="s">
        <v>93</v>
      </c>
      <c r="P373" s="3" t="s">
        <v>673</v>
      </c>
      <c r="Q373" s="31">
        <v>839</v>
      </c>
      <c r="R373" s="5" t="s">
        <v>812</v>
      </c>
      <c r="S373" s="9">
        <v>5</v>
      </c>
      <c r="T373" s="9">
        <v>15049.46</v>
      </c>
      <c r="U373" s="9">
        <f t="shared" si="271"/>
        <v>75247.299999999988</v>
      </c>
      <c r="V373" s="9">
        <f t="shared" si="239"/>
        <v>84276.975999999995</v>
      </c>
      <c r="W373" s="7"/>
      <c r="X373" s="2">
        <v>2016</v>
      </c>
      <c r="Y373" s="2"/>
    </row>
    <row r="374" spans="2:25" s="11" customFormat="1" ht="89.25" customHeight="1" outlineLevel="1" x14ac:dyDescent="0.25">
      <c r="B374" s="2" t="s">
        <v>813</v>
      </c>
      <c r="C374" s="3" t="s">
        <v>83</v>
      </c>
      <c r="D374" s="3" t="s">
        <v>814</v>
      </c>
      <c r="E374" s="3" t="s">
        <v>810</v>
      </c>
      <c r="F374" s="3" t="s">
        <v>815</v>
      </c>
      <c r="G374" s="3" t="s">
        <v>796</v>
      </c>
      <c r="H374" s="2" t="s">
        <v>88</v>
      </c>
      <c r="I374" s="4">
        <v>0</v>
      </c>
      <c r="J374" s="5">
        <v>710000000</v>
      </c>
      <c r="K374" s="5" t="s">
        <v>89</v>
      </c>
      <c r="L374" s="2" t="s">
        <v>90</v>
      </c>
      <c r="M374" s="6" t="s">
        <v>787</v>
      </c>
      <c r="N374" s="7" t="s">
        <v>92</v>
      </c>
      <c r="O374" s="7" t="s">
        <v>93</v>
      </c>
      <c r="P374" s="3" t="s">
        <v>673</v>
      </c>
      <c r="Q374" s="31">
        <v>839</v>
      </c>
      <c r="R374" s="5" t="s">
        <v>812</v>
      </c>
      <c r="S374" s="9">
        <v>5</v>
      </c>
      <c r="T374" s="9">
        <v>13387.98</v>
      </c>
      <c r="U374" s="9">
        <f t="shared" si="271"/>
        <v>66939.899999999994</v>
      </c>
      <c r="V374" s="9">
        <f t="shared" si="239"/>
        <v>74972.687999999995</v>
      </c>
      <c r="W374" s="7"/>
      <c r="X374" s="2">
        <v>2016</v>
      </c>
      <c r="Y374" s="2"/>
    </row>
    <row r="375" spans="2:25" s="11" customFormat="1" ht="89.25" customHeight="1" outlineLevel="1" x14ac:dyDescent="0.25">
      <c r="B375" s="2" t="s">
        <v>816</v>
      </c>
      <c r="C375" s="3" t="s">
        <v>83</v>
      </c>
      <c r="D375" s="3" t="s">
        <v>817</v>
      </c>
      <c r="E375" s="3" t="s">
        <v>818</v>
      </c>
      <c r="F375" s="3" t="s">
        <v>819</v>
      </c>
      <c r="G375" s="3" t="s">
        <v>796</v>
      </c>
      <c r="H375" s="2" t="s">
        <v>88</v>
      </c>
      <c r="I375" s="4">
        <v>0</v>
      </c>
      <c r="J375" s="5">
        <v>710000000</v>
      </c>
      <c r="K375" s="5" t="s">
        <v>89</v>
      </c>
      <c r="L375" s="2" t="s">
        <v>90</v>
      </c>
      <c r="M375" s="6" t="s">
        <v>787</v>
      </c>
      <c r="N375" s="7" t="s">
        <v>92</v>
      </c>
      <c r="O375" s="7" t="s">
        <v>93</v>
      </c>
      <c r="P375" s="3" t="s">
        <v>673</v>
      </c>
      <c r="Q375" s="8">
        <v>796</v>
      </c>
      <c r="R375" s="7" t="s">
        <v>118</v>
      </c>
      <c r="S375" s="9">
        <v>2</v>
      </c>
      <c r="T375" s="9">
        <v>34814.129999999997</v>
      </c>
      <c r="U375" s="9">
        <f t="shared" si="271"/>
        <v>69628.259999999995</v>
      </c>
      <c r="V375" s="9">
        <f t="shared" si="239"/>
        <v>77983.651200000008</v>
      </c>
      <c r="W375" s="7"/>
      <c r="X375" s="2">
        <v>2016</v>
      </c>
      <c r="Y375" s="2"/>
    </row>
    <row r="376" spans="2:25" s="11" customFormat="1" ht="89.25" customHeight="1" outlineLevel="1" x14ac:dyDescent="0.25">
      <c r="B376" s="2" t="s">
        <v>820</v>
      </c>
      <c r="C376" s="3" t="s">
        <v>83</v>
      </c>
      <c r="D376" s="3" t="s">
        <v>821</v>
      </c>
      <c r="E376" s="3" t="s">
        <v>818</v>
      </c>
      <c r="F376" s="3" t="s">
        <v>822</v>
      </c>
      <c r="G376" s="19" t="s">
        <v>792</v>
      </c>
      <c r="H376" s="2" t="s">
        <v>88</v>
      </c>
      <c r="I376" s="4">
        <v>0</v>
      </c>
      <c r="J376" s="5">
        <v>710000000</v>
      </c>
      <c r="K376" s="5" t="s">
        <v>89</v>
      </c>
      <c r="L376" s="2" t="s">
        <v>90</v>
      </c>
      <c r="M376" s="6" t="s">
        <v>787</v>
      </c>
      <c r="N376" s="7" t="s">
        <v>92</v>
      </c>
      <c r="O376" s="7" t="s">
        <v>93</v>
      </c>
      <c r="P376" s="3" t="s">
        <v>673</v>
      </c>
      <c r="Q376" s="8">
        <v>796</v>
      </c>
      <c r="R376" s="7" t="s">
        <v>118</v>
      </c>
      <c r="S376" s="9">
        <v>2</v>
      </c>
      <c r="T376" s="9">
        <v>30132.400000000001</v>
      </c>
      <c r="U376" s="9">
        <f t="shared" si="271"/>
        <v>60264.800000000003</v>
      </c>
      <c r="V376" s="9">
        <f t="shared" si="239"/>
        <v>67496.576000000015</v>
      </c>
      <c r="W376" s="7"/>
      <c r="X376" s="2">
        <v>2016</v>
      </c>
      <c r="Y376" s="2"/>
    </row>
    <row r="377" spans="2:25" s="11" customFormat="1" ht="89.25" customHeight="1" outlineLevel="1" x14ac:dyDescent="0.25">
      <c r="B377" s="2" t="s">
        <v>823</v>
      </c>
      <c r="C377" s="3" t="s">
        <v>83</v>
      </c>
      <c r="D377" s="3" t="s">
        <v>824</v>
      </c>
      <c r="E377" s="3" t="s">
        <v>825</v>
      </c>
      <c r="F377" s="3" t="s">
        <v>826</v>
      </c>
      <c r="G377" s="19" t="s">
        <v>827</v>
      </c>
      <c r="H377" s="2" t="s">
        <v>88</v>
      </c>
      <c r="I377" s="4">
        <v>0</v>
      </c>
      <c r="J377" s="5">
        <v>710000000</v>
      </c>
      <c r="K377" s="5" t="s">
        <v>89</v>
      </c>
      <c r="L377" s="2" t="s">
        <v>90</v>
      </c>
      <c r="M377" s="6" t="s">
        <v>787</v>
      </c>
      <c r="N377" s="7" t="s">
        <v>92</v>
      </c>
      <c r="O377" s="7" t="s">
        <v>93</v>
      </c>
      <c r="P377" s="3" t="s">
        <v>673</v>
      </c>
      <c r="Q377" s="8">
        <v>796</v>
      </c>
      <c r="R377" s="7" t="s">
        <v>118</v>
      </c>
      <c r="S377" s="9">
        <v>2</v>
      </c>
      <c r="T377" s="9">
        <v>35692.82</v>
      </c>
      <c r="U377" s="9">
        <f t="shared" si="271"/>
        <v>71385.64</v>
      </c>
      <c r="V377" s="9">
        <f t="shared" si="239"/>
        <v>79951.916800000006</v>
      </c>
      <c r="W377" s="7"/>
      <c r="X377" s="2">
        <v>2016</v>
      </c>
      <c r="Y377" s="2"/>
    </row>
    <row r="378" spans="2:25" s="11" customFormat="1" ht="89.25" customHeight="1" outlineLevel="1" x14ac:dyDescent="0.25">
      <c r="B378" s="2" t="s">
        <v>828</v>
      </c>
      <c r="C378" s="3" t="s">
        <v>83</v>
      </c>
      <c r="D378" s="3" t="s">
        <v>829</v>
      </c>
      <c r="E378" s="3" t="s">
        <v>825</v>
      </c>
      <c r="F378" s="3" t="s">
        <v>830</v>
      </c>
      <c r="G378" s="19" t="s">
        <v>827</v>
      </c>
      <c r="H378" s="2" t="s">
        <v>88</v>
      </c>
      <c r="I378" s="4">
        <v>0</v>
      </c>
      <c r="J378" s="5">
        <v>710000000</v>
      </c>
      <c r="K378" s="5" t="s">
        <v>89</v>
      </c>
      <c r="L378" s="2" t="s">
        <v>90</v>
      </c>
      <c r="M378" s="6" t="s">
        <v>787</v>
      </c>
      <c r="N378" s="7" t="s">
        <v>92</v>
      </c>
      <c r="O378" s="7" t="s">
        <v>93</v>
      </c>
      <c r="P378" s="3" t="s">
        <v>673</v>
      </c>
      <c r="Q378" s="8">
        <v>796</v>
      </c>
      <c r="R378" s="7" t="s">
        <v>118</v>
      </c>
      <c r="S378" s="9">
        <v>2</v>
      </c>
      <c r="T378" s="9">
        <v>25683.31</v>
      </c>
      <c r="U378" s="9">
        <f t="shared" si="271"/>
        <v>51366.62</v>
      </c>
      <c r="V378" s="9">
        <f t="shared" si="239"/>
        <v>57530.614400000006</v>
      </c>
      <c r="W378" s="7"/>
      <c r="X378" s="2">
        <v>2016</v>
      </c>
      <c r="Y378" s="2"/>
    </row>
    <row r="379" spans="2:25" s="11" customFormat="1" ht="89.25" customHeight="1" outlineLevel="1" x14ac:dyDescent="0.25">
      <c r="B379" s="2" t="s">
        <v>831</v>
      </c>
      <c r="C379" s="3" t="s">
        <v>83</v>
      </c>
      <c r="D379" s="3" t="s">
        <v>832</v>
      </c>
      <c r="E379" s="3" t="s">
        <v>833</v>
      </c>
      <c r="F379" s="3" t="s">
        <v>834</v>
      </c>
      <c r="G379" s="19" t="s">
        <v>827</v>
      </c>
      <c r="H379" s="2" t="s">
        <v>88</v>
      </c>
      <c r="I379" s="4">
        <v>0</v>
      </c>
      <c r="J379" s="5">
        <v>710000000</v>
      </c>
      <c r="K379" s="5" t="s">
        <v>89</v>
      </c>
      <c r="L379" s="2" t="s">
        <v>90</v>
      </c>
      <c r="M379" s="6" t="s">
        <v>787</v>
      </c>
      <c r="N379" s="7" t="s">
        <v>92</v>
      </c>
      <c r="O379" s="7" t="s">
        <v>93</v>
      </c>
      <c r="P379" s="3" t="s">
        <v>673</v>
      </c>
      <c r="Q379" s="8">
        <v>796</v>
      </c>
      <c r="R379" s="7" t="s">
        <v>118</v>
      </c>
      <c r="S379" s="9">
        <v>4</v>
      </c>
      <c r="T379" s="9">
        <v>5352.8549999999996</v>
      </c>
      <c r="U379" s="9">
        <f t="shared" si="271"/>
        <v>21411.42</v>
      </c>
      <c r="V379" s="9">
        <f t="shared" si="239"/>
        <v>23980.790400000002</v>
      </c>
      <c r="W379" s="7"/>
      <c r="X379" s="2">
        <v>2016</v>
      </c>
      <c r="Y379" s="2"/>
    </row>
    <row r="380" spans="2:25" s="11" customFormat="1" ht="89.25" customHeight="1" outlineLevel="1" x14ac:dyDescent="0.25">
      <c r="B380" s="2" t="s">
        <v>835</v>
      </c>
      <c r="C380" s="3" t="s">
        <v>83</v>
      </c>
      <c r="D380" s="3" t="s">
        <v>836</v>
      </c>
      <c r="E380" s="3" t="s">
        <v>833</v>
      </c>
      <c r="F380" s="3" t="s">
        <v>837</v>
      </c>
      <c r="G380" s="19" t="s">
        <v>838</v>
      </c>
      <c r="H380" s="2" t="s">
        <v>88</v>
      </c>
      <c r="I380" s="4">
        <v>0</v>
      </c>
      <c r="J380" s="5">
        <v>710000000</v>
      </c>
      <c r="K380" s="5" t="s">
        <v>89</v>
      </c>
      <c r="L380" s="2" t="s">
        <v>90</v>
      </c>
      <c r="M380" s="6" t="s">
        <v>787</v>
      </c>
      <c r="N380" s="7" t="s">
        <v>92</v>
      </c>
      <c r="O380" s="7" t="s">
        <v>93</v>
      </c>
      <c r="P380" s="3" t="s">
        <v>673</v>
      </c>
      <c r="Q380" s="8">
        <v>796</v>
      </c>
      <c r="R380" s="7" t="s">
        <v>118</v>
      </c>
      <c r="S380" s="9">
        <v>2</v>
      </c>
      <c r="T380" s="9">
        <v>7142.86</v>
      </c>
      <c r="U380" s="9">
        <f t="shared" si="271"/>
        <v>14285.72</v>
      </c>
      <c r="V380" s="9">
        <f t="shared" si="239"/>
        <v>16000.0064</v>
      </c>
      <c r="W380" s="7"/>
      <c r="X380" s="2">
        <v>2016</v>
      </c>
      <c r="Y380" s="2"/>
    </row>
    <row r="381" spans="2:25" s="11" customFormat="1" ht="89.25" customHeight="1" outlineLevel="1" x14ac:dyDescent="0.25">
      <c r="B381" s="2" t="s">
        <v>839</v>
      </c>
      <c r="C381" s="3" t="s">
        <v>83</v>
      </c>
      <c r="D381" s="3" t="s">
        <v>840</v>
      </c>
      <c r="E381" s="3" t="s">
        <v>841</v>
      </c>
      <c r="F381" s="3" t="s">
        <v>842</v>
      </c>
      <c r="G381" s="19" t="s">
        <v>843</v>
      </c>
      <c r="H381" s="2" t="s">
        <v>88</v>
      </c>
      <c r="I381" s="4">
        <v>0</v>
      </c>
      <c r="J381" s="5">
        <v>710000000</v>
      </c>
      <c r="K381" s="5" t="s">
        <v>89</v>
      </c>
      <c r="L381" s="2" t="s">
        <v>90</v>
      </c>
      <c r="M381" s="6" t="s">
        <v>787</v>
      </c>
      <c r="N381" s="7" t="s">
        <v>92</v>
      </c>
      <c r="O381" s="7" t="s">
        <v>93</v>
      </c>
      <c r="P381" s="3" t="s">
        <v>673</v>
      </c>
      <c r="Q381" s="8">
        <v>796</v>
      </c>
      <c r="R381" s="7" t="s">
        <v>118</v>
      </c>
      <c r="S381" s="9">
        <v>4</v>
      </c>
      <c r="T381" s="9">
        <v>8913.69</v>
      </c>
      <c r="U381" s="9">
        <f t="shared" si="271"/>
        <v>35654.76</v>
      </c>
      <c r="V381" s="9">
        <f t="shared" si="239"/>
        <v>39933.331200000008</v>
      </c>
      <c r="W381" s="7"/>
      <c r="X381" s="2">
        <v>2016</v>
      </c>
      <c r="Y381" s="2"/>
    </row>
    <row r="382" spans="2:25" s="11" customFormat="1" ht="89.25" customHeight="1" outlineLevel="1" x14ac:dyDescent="0.25">
      <c r="B382" s="2" t="s">
        <v>844</v>
      </c>
      <c r="C382" s="3" t="s">
        <v>83</v>
      </c>
      <c r="D382" s="3" t="s">
        <v>840</v>
      </c>
      <c r="E382" s="3" t="s">
        <v>841</v>
      </c>
      <c r="F382" s="3" t="s">
        <v>842</v>
      </c>
      <c r="G382" s="19" t="s">
        <v>845</v>
      </c>
      <c r="H382" s="2" t="s">
        <v>88</v>
      </c>
      <c r="I382" s="4">
        <v>0</v>
      </c>
      <c r="J382" s="5">
        <v>710000000</v>
      </c>
      <c r="K382" s="5" t="s">
        <v>89</v>
      </c>
      <c r="L382" s="2" t="s">
        <v>90</v>
      </c>
      <c r="M382" s="6" t="s">
        <v>787</v>
      </c>
      <c r="N382" s="7" t="s">
        <v>92</v>
      </c>
      <c r="O382" s="7" t="s">
        <v>93</v>
      </c>
      <c r="P382" s="3" t="s">
        <v>673</v>
      </c>
      <c r="Q382" s="8">
        <v>796</v>
      </c>
      <c r="R382" s="7" t="s">
        <v>118</v>
      </c>
      <c r="S382" s="9">
        <v>4</v>
      </c>
      <c r="T382" s="9">
        <v>8913.69</v>
      </c>
      <c r="U382" s="9">
        <f t="shared" si="271"/>
        <v>35654.76</v>
      </c>
      <c r="V382" s="9">
        <f t="shared" si="239"/>
        <v>39933.331200000008</v>
      </c>
      <c r="W382" s="7"/>
      <c r="X382" s="2">
        <v>2016</v>
      </c>
      <c r="Y382" s="2"/>
    </row>
    <row r="383" spans="2:25" s="11" customFormat="1" ht="89.25" customHeight="1" outlineLevel="1" x14ac:dyDescent="0.25">
      <c r="B383" s="2" t="s">
        <v>846</v>
      </c>
      <c r="C383" s="3" t="s">
        <v>83</v>
      </c>
      <c r="D383" s="3" t="s">
        <v>847</v>
      </c>
      <c r="E383" s="3" t="s">
        <v>848</v>
      </c>
      <c r="F383" s="3" t="s">
        <v>849</v>
      </c>
      <c r="G383" s="19" t="s">
        <v>850</v>
      </c>
      <c r="H383" s="2" t="s">
        <v>88</v>
      </c>
      <c r="I383" s="4">
        <v>0</v>
      </c>
      <c r="J383" s="5">
        <v>710000000</v>
      </c>
      <c r="K383" s="5" t="s">
        <v>89</v>
      </c>
      <c r="L383" s="2" t="s">
        <v>90</v>
      </c>
      <c r="M383" s="6" t="s">
        <v>787</v>
      </c>
      <c r="N383" s="7" t="s">
        <v>92</v>
      </c>
      <c r="O383" s="7" t="s">
        <v>93</v>
      </c>
      <c r="P383" s="3" t="s">
        <v>673</v>
      </c>
      <c r="Q383" s="8">
        <v>796</v>
      </c>
      <c r="R383" s="7" t="s">
        <v>118</v>
      </c>
      <c r="S383" s="9">
        <v>2</v>
      </c>
      <c r="T383" s="9">
        <v>17228.25</v>
      </c>
      <c r="U383" s="9">
        <f t="shared" si="271"/>
        <v>34456.5</v>
      </c>
      <c r="V383" s="9">
        <f t="shared" si="239"/>
        <v>38591.280000000006</v>
      </c>
      <c r="W383" s="7"/>
      <c r="X383" s="2">
        <v>2016</v>
      </c>
      <c r="Y383" s="2"/>
    </row>
    <row r="384" spans="2:25" s="11" customFormat="1" ht="89.25" customHeight="1" outlineLevel="1" x14ac:dyDescent="0.25">
      <c r="B384" s="2" t="s">
        <v>851</v>
      </c>
      <c r="C384" s="3" t="s">
        <v>83</v>
      </c>
      <c r="D384" s="3" t="s">
        <v>852</v>
      </c>
      <c r="E384" s="3" t="s">
        <v>853</v>
      </c>
      <c r="F384" s="3" t="s">
        <v>854</v>
      </c>
      <c r="G384" s="19" t="s">
        <v>855</v>
      </c>
      <c r="H384" s="2" t="s">
        <v>88</v>
      </c>
      <c r="I384" s="4">
        <v>0</v>
      </c>
      <c r="J384" s="5">
        <v>710000000</v>
      </c>
      <c r="K384" s="5" t="s">
        <v>89</v>
      </c>
      <c r="L384" s="2" t="s">
        <v>90</v>
      </c>
      <c r="M384" s="6" t="s">
        <v>787</v>
      </c>
      <c r="N384" s="7" t="s">
        <v>92</v>
      </c>
      <c r="O384" s="7" t="s">
        <v>93</v>
      </c>
      <c r="P384" s="3" t="s">
        <v>673</v>
      </c>
      <c r="Q384" s="8">
        <v>796</v>
      </c>
      <c r="R384" s="7" t="s">
        <v>118</v>
      </c>
      <c r="S384" s="9">
        <v>2</v>
      </c>
      <c r="T384" s="9">
        <v>17565.5</v>
      </c>
      <c r="U384" s="9">
        <f t="shared" si="271"/>
        <v>35131</v>
      </c>
      <c r="V384" s="9">
        <f t="shared" si="239"/>
        <v>39346.720000000001</v>
      </c>
      <c r="W384" s="7"/>
      <c r="X384" s="2">
        <v>2016</v>
      </c>
      <c r="Y384" s="2"/>
    </row>
    <row r="385" spans="2:25" s="11" customFormat="1" ht="89.25" customHeight="1" outlineLevel="1" x14ac:dyDescent="0.25">
      <c r="B385" s="2" t="s">
        <v>856</v>
      </c>
      <c r="C385" s="3" t="s">
        <v>83</v>
      </c>
      <c r="D385" s="3" t="s">
        <v>857</v>
      </c>
      <c r="E385" s="3" t="s">
        <v>858</v>
      </c>
      <c r="F385" s="3" t="s">
        <v>859</v>
      </c>
      <c r="G385" s="19" t="s">
        <v>860</v>
      </c>
      <c r="H385" s="2" t="s">
        <v>88</v>
      </c>
      <c r="I385" s="4">
        <v>0</v>
      </c>
      <c r="J385" s="5">
        <v>710000000</v>
      </c>
      <c r="K385" s="5" t="s">
        <v>89</v>
      </c>
      <c r="L385" s="2" t="s">
        <v>90</v>
      </c>
      <c r="M385" s="6" t="s">
        <v>787</v>
      </c>
      <c r="N385" s="7" t="s">
        <v>92</v>
      </c>
      <c r="O385" s="7" t="s">
        <v>93</v>
      </c>
      <c r="P385" s="3" t="s">
        <v>673</v>
      </c>
      <c r="Q385" s="8" t="s">
        <v>861</v>
      </c>
      <c r="R385" s="7" t="s">
        <v>812</v>
      </c>
      <c r="S385" s="9">
        <v>2</v>
      </c>
      <c r="T385" s="9">
        <v>10379.459999999999</v>
      </c>
      <c r="U385" s="9">
        <f t="shared" si="271"/>
        <v>20758.919999999998</v>
      </c>
      <c r="V385" s="9">
        <f t="shared" si="239"/>
        <v>23249.990399999999</v>
      </c>
      <c r="W385" s="7"/>
      <c r="X385" s="2">
        <v>2016</v>
      </c>
      <c r="Y385" s="2"/>
    </row>
    <row r="386" spans="2:25" s="11" customFormat="1" ht="89.25" customHeight="1" outlineLevel="1" x14ac:dyDescent="0.25">
      <c r="B386" s="2" t="s">
        <v>862</v>
      </c>
      <c r="C386" s="3" t="s">
        <v>83</v>
      </c>
      <c r="D386" s="3" t="s">
        <v>863</v>
      </c>
      <c r="E386" s="3" t="s">
        <v>864</v>
      </c>
      <c r="F386" s="3" t="s">
        <v>865</v>
      </c>
      <c r="G386" s="19" t="s">
        <v>827</v>
      </c>
      <c r="H386" s="2" t="s">
        <v>88</v>
      </c>
      <c r="I386" s="4">
        <v>0</v>
      </c>
      <c r="J386" s="5">
        <v>710000000</v>
      </c>
      <c r="K386" s="5" t="s">
        <v>89</v>
      </c>
      <c r="L386" s="2" t="s">
        <v>90</v>
      </c>
      <c r="M386" s="6" t="s">
        <v>787</v>
      </c>
      <c r="N386" s="7" t="s">
        <v>92</v>
      </c>
      <c r="O386" s="7" t="s">
        <v>93</v>
      </c>
      <c r="P386" s="3" t="s">
        <v>673</v>
      </c>
      <c r="Q386" s="8">
        <v>796</v>
      </c>
      <c r="R386" s="7" t="s">
        <v>118</v>
      </c>
      <c r="S386" s="9">
        <v>2</v>
      </c>
      <c r="T386" s="9">
        <v>21428.57</v>
      </c>
      <c r="U386" s="9">
        <f t="shared" si="271"/>
        <v>42857.14</v>
      </c>
      <c r="V386" s="9">
        <f t="shared" si="239"/>
        <v>47999.996800000001</v>
      </c>
      <c r="W386" s="7"/>
      <c r="X386" s="2">
        <v>2016</v>
      </c>
      <c r="Y386" s="2"/>
    </row>
    <row r="387" spans="2:25" s="11" customFormat="1" ht="89.25" customHeight="1" outlineLevel="1" x14ac:dyDescent="0.25">
      <c r="B387" s="2" t="s">
        <v>866</v>
      </c>
      <c r="C387" s="3" t="s">
        <v>83</v>
      </c>
      <c r="D387" s="3" t="s">
        <v>867</v>
      </c>
      <c r="E387" s="3" t="s">
        <v>858</v>
      </c>
      <c r="F387" s="3" t="s">
        <v>868</v>
      </c>
      <c r="G387" s="19" t="s">
        <v>869</v>
      </c>
      <c r="H387" s="2" t="s">
        <v>88</v>
      </c>
      <c r="I387" s="4">
        <v>0</v>
      </c>
      <c r="J387" s="5">
        <v>710000000</v>
      </c>
      <c r="K387" s="5" t="s">
        <v>89</v>
      </c>
      <c r="L387" s="2" t="s">
        <v>90</v>
      </c>
      <c r="M387" s="6" t="s">
        <v>787</v>
      </c>
      <c r="N387" s="7" t="s">
        <v>92</v>
      </c>
      <c r="O387" s="7" t="s">
        <v>93</v>
      </c>
      <c r="P387" s="3" t="s">
        <v>673</v>
      </c>
      <c r="Q387" s="8" t="s">
        <v>861</v>
      </c>
      <c r="R387" s="7" t="s">
        <v>812</v>
      </c>
      <c r="S387" s="9">
        <v>2</v>
      </c>
      <c r="T387" s="9">
        <v>5983.14</v>
      </c>
      <c r="U387" s="9">
        <f t="shared" si="271"/>
        <v>11966.28</v>
      </c>
      <c r="V387" s="9">
        <f t="shared" si="239"/>
        <v>13402.233600000001</v>
      </c>
      <c r="W387" s="7"/>
      <c r="X387" s="2">
        <v>2016</v>
      </c>
      <c r="Y387" s="2"/>
    </row>
    <row r="388" spans="2:25" s="11" customFormat="1" ht="89.25" customHeight="1" outlineLevel="1" x14ac:dyDescent="0.25">
      <c r="B388" s="2" t="s">
        <v>870</v>
      </c>
      <c r="C388" s="3" t="s">
        <v>83</v>
      </c>
      <c r="D388" s="3" t="s">
        <v>871</v>
      </c>
      <c r="E388" s="3" t="s">
        <v>872</v>
      </c>
      <c r="F388" s="3" t="s">
        <v>873</v>
      </c>
      <c r="G388" s="19" t="s">
        <v>827</v>
      </c>
      <c r="H388" s="2" t="s">
        <v>88</v>
      </c>
      <c r="I388" s="4">
        <v>0</v>
      </c>
      <c r="J388" s="5">
        <v>710000000</v>
      </c>
      <c r="K388" s="5" t="s">
        <v>89</v>
      </c>
      <c r="L388" s="2" t="s">
        <v>90</v>
      </c>
      <c r="M388" s="6" t="s">
        <v>787</v>
      </c>
      <c r="N388" s="7" t="s">
        <v>92</v>
      </c>
      <c r="O388" s="7" t="s">
        <v>93</v>
      </c>
      <c r="P388" s="3" t="s">
        <v>673</v>
      </c>
      <c r="Q388" s="8">
        <v>796</v>
      </c>
      <c r="R388" s="7" t="s">
        <v>118</v>
      </c>
      <c r="S388" s="9">
        <v>2</v>
      </c>
      <c r="T388" s="9">
        <v>7564.46</v>
      </c>
      <c r="U388" s="9">
        <f t="shared" si="271"/>
        <v>15128.92</v>
      </c>
      <c r="V388" s="9">
        <f t="shared" si="239"/>
        <v>16944.3904</v>
      </c>
      <c r="W388" s="7"/>
      <c r="X388" s="2">
        <v>2016</v>
      </c>
      <c r="Y388" s="2"/>
    </row>
    <row r="389" spans="2:25" s="11" customFormat="1" ht="89.25" customHeight="1" outlineLevel="1" x14ac:dyDescent="0.25">
      <c r="B389" s="2" t="s">
        <v>874</v>
      </c>
      <c r="C389" s="3" t="s">
        <v>83</v>
      </c>
      <c r="D389" s="3" t="s">
        <v>875</v>
      </c>
      <c r="E389" s="3" t="s">
        <v>876</v>
      </c>
      <c r="F389" s="3" t="s">
        <v>877</v>
      </c>
      <c r="G389" s="19" t="s">
        <v>869</v>
      </c>
      <c r="H389" s="2" t="s">
        <v>88</v>
      </c>
      <c r="I389" s="4">
        <v>0</v>
      </c>
      <c r="J389" s="5">
        <v>710000000</v>
      </c>
      <c r="K389" s="5" t="s">
        <v>89</v>
      </c>
      <c r="L389" s="2" t="s">
        <v>90</v>
      </c>
      <c r="M389" s="6" t="s">
        <v>787</v>
      </c>
      <c r="N389" s="7" t="s">
        <v>92</v>
      </c>
      <c r="O389" s="7" t="s">
        <v>93</v>
      </c>
      <c r="P389" s="3" t="s">
        <v>673</v>
      </c>
      <c r="Q389" s="8">
        <v>796</v>
      </c>
      <c r="R389" s="7" t="s">
        <v>118</v>
      </c>
      <c r="S389" s="9">
        <v>4</v>
      </c>
      <c r="T389" s="9">
        <v>3571.43</v>
      </c>
      <c r="U389" s="9">
        <f t="shared" si="271"/>
        <v>14285.72</v>
      </c>
      <c r="V389" s="9">
        <f t="shared" si="239"/>
        <v>16000.0064</v>
      </c>
      <c r="W389" s="7"/>
      <c r="X389" s="2">
        <v>2016</v>
      </c>
      <c r="Y389" s="2"/>
    </row>
    <row r="390" spans="2:25" s="11" customFormat="1" ht="89.25" customHeight="1" outlineLevel="1" x14ac:dyDescent="0.25">
      <c r="B390" s="2" t="s">
        <v>878</v>
      </c>
      <c r="C390" s="3" t="s">
        <v>83</v>
      </c>
      <c r="D390" s="3" t="s">
        <v>879</v>
      </c>
      <c r="E390" s="3" t="s">
        <v>880</v>
      </c>
      <c r="F390" s="3" t="s">
        <v>881</v>
      </c>
      <c r="G390" s="19" t="s">
        <v>882</v>
      </c>
      <c r="H390" s="2" t="s">
        <v>88</v>
      </c>
      <c r="I390" s="4">
        <v>0</v>
      </c>
      <c r="J390" s="5">
        <v>710000000</v>
      </c>
      <c r="K390" s="5" t="s">
        <v>89</v>
      </c>
      <c r="L390" s="2" t="s">
        <v>90</v>
      </c>
      <c r="M390" s="6" t="s">
        <v>787</v>
      </c>
      <c r="N390" s="7" t="s">
        <v>92</v>
      </c>
      <c r="O390" s="7" t="s">
        <v>93</v>
      </c>
      <c r="P390" s="3" t="s">
        <v>673</v>
      </c>
      <c r="Q390" s="8">
        <v>796</v>
      </c>
      <c r="R390" s="7" t="s">
        <v>118</v>
      </c>
      <c r="S390" s="9">
        <v>4</v>
      </c>
      <c r="T390" s="9">
        <v>14285.71</v>
      </c>
      <c r="U390" s="9">
        <f t="shared" si="271"/>
        <v>57142.84</v>
      </c>
      <c r="V390" s="9">
        <f t="shared" si="239"/>
        <v>63999.980800000005</v>
      </c>
      <c r="W390" s="7"/>
      <c r="X390" s="2">
        <v>2016</v>
      </c>
      <c r="Y390" s="2"/>
    </row>
    <row r="391" spans="2:25" s="11" customFormat="1" ht="89.25" customHeight="1" outlineLevel="1" x14ac:dyDescent="0.25">
      <c r="B391" s="2" t="s">
        <v>883</v>
      </c>
      <c r="C391" s="3" t="s">
        <v>83</v>
      </c>
      <c r="D391" s="3" t="s">
        <v>879</v>
      </c>
      <c r="E391" s="3" t="s">
        <v>880</v>
      </c>
      <c r="F391" s="3" t="s">
        <v>881</v>
      </c>
      <c r="G391" s="19" t="s">
        <v>884</v>
      </c>
      <c r="H391" s="2" t="s">
        <v>88</v>
      </c>
      <c r="I391" s="4">
        <v>0</v>
      </c>
      <c r="J391" s="5">
        <v>710000000</v>
      </c>
      <c r="K391" s="5" t="s">
        <v>89</v>
      </c>
      <c r="L391" s="2" t="s">
        <v>90</v>
      </c>
      <c r="M391" s="6" t="s">
        <v>787</v>
      </c>
      <c r="N391" s="7" t="s">
        <v>92</v>
      </c>
      <c r="O391" s="7" t="s">
        <v>93</v>
      </c>
      <c r="P391" s="3" t="s">
        <v>673</v>
      </c>
      <c r="Q391" s="8">
        <v>796</v>
      </c>
      <c r="R391" s="7" t="s">
        <v>118</v>
      </c>
      <c r="S391" s="9">
        <v>4</v>
      </c>
      <c r="T391" s="9">
        <v>14285.71</v>
      </c>
      <c r="U391" s="9">
        <f t="shared" si="271"/>
        <v>57142.84</v>
      </c>
      <c r="V391" s="9">
        <f t="shared" si="239"/>
        <v>63999.980800000005</v>
      </c>
      <c r="W391" s="7"/>
      <c r="X391" s="2">
        <v>2016</v>
      </c>
      <c r="Y391" s="2"/>
    </row>
    <row r="392" spans="2:25" s="11" customFormat="1" ht="89.25" customHeight="1" outlineLevel="1" x14ac:dyDescent="0.25">
      <c r="B392" s="2" t="s">
        <v>885</v>
      </c>
      <c r="C392" s="3" t="s">
        <v>83</v>
      </c>
      <c r="D392" s="3" t="s">
        <v>886</v>
      </c>
      <c r="E392" s="3" t="s">
        <v>887</v>
      </c>
      <c r="F392" s="3" t="s">
        <v>888</v>
      </c>
      <c r="G392" s="19" t="s">
        <v>889</v>
      </c>
      <c r="H392" s="2" t="s">
        <v>88</v>
      </c>
      <c r="I392" s="4">
        <v>0</v>
      </c>
      <c r="J392" s="5">
        <v>710000000</v>
      </c>
      <c r="K392" s="5" t="s">
        <v>89</v>
      </c>
      <c r="L392" s="2" t="s">
        <v>90</v>
      </c>
      <c r="M392" s="6" t="s">
        <v>787</v>
      </c>
      <c r="N392" s="7" t="s">
        <v>92</v>
      </c>
      <c r="O392" s="7" t="s">
        <v>93</v>
      </c>
      <c r="P392" s="3" t="s">
        <v>673</v>
      </c>
      <c r="Q392" s="8">
        <v>796</v>
      </c>
      <c r="R392" s="7" t="s">
        <v>118</v>
      </c>
      <c r="S392" s="9">
        <v>2</v>
      </c>
      <c r="T392" s="9">
        <v>7721.83</v>
      </c>
      <c r="U392" s="9">
        <f t="shared" si="271"/>
        <v>15443.66</v>
      </c>
      <c r="V392" s="9">
        <f t="shared" si="239"/>
        <v>17296.8992</v>
      </c>
      <c r="W392" s="7"/>
      <c r="X392" s="2">
        <v>2016</v>
      </c>
      <c r="Y392" s="2"/>
    </row>
    <row r="393" spans="2:25" s="11" customFormat="1" ht="89.25" customHeight="1" outlineLevel="1" x14ac:dyDescent="0.25">
      <c r="B393" s="2" t="s">
        <v>890</v>
      </c>
      <c r="C393" s="3" t="s">
        <v>83</v>
      </c>
      <c r="D393" s="3" t="s">
        <v>886</v>
      </c>
      <c r="E393" s="3" t="s">
        <v>887</v>
      </c>
      <c r="F393" s="3" t="s">
        <v>888</v>
      </c>
      <c r="G393" s="19" t="s">
        <v>891</v>
      </c>
      <c r="H393" s="2" t="s">
        <v>88</v>
      </c>
      <c r="I393" s="4">
        <v>0</v>
      </c>
      <c r="J393" s="5">
        <v>710000000</v>
      </c>
      <c r="K393" s="5" t="s">
        <v>89</v>
      </c>
      <c r="L393" s="2" t="s">
        <v>90</v>
      </c>
      <c r="M393" s="6" t="s">
        <v>787</v>
      </c>
      <c r="N393" s="7" t="s">
        <v>92</v>
      </c>
      <c r="O393" s="7" t="s">
        <v>93</v>
      </c>
      <c r="P393" s="3" t="s">
        <v>673</v>
      </c>
      <c r="Q393" s="8">
        <v>796</v>
      </c>
      <c r="R393" s="7" t="s">
        <v>118</v>
      </c>
      <c r="S393" s="9">
        <v>2</v>
      </c>
      <c r="T393" s="9">
        <v>7832.65</v>
      </c>
      <c r="U393" s="9">
        <f t="shared" si="271"/>
        <v>15665.3</v>
      </c>
      <c r="V393" s="9">
        <f t="shared" si="239"/>
        <v>17545.136000000002</v>
      </c>
      <c r="W393" s="7"/>
      <c r="X393" s="2">
        <v>2016</v>
      </c>
      <c r="Y393" s="2"/>
    </row>
    <row r="394" spans="2:25" s="11" customFormat="1" ht="89.25" customHeight="1" outlineLevel="1" x14ac:dyDescent="0.25">
      <c r="B394" s="2" t="s">
        <v>892</v>
      </c>
      <c r="C394" s="3" t="s">
        <v>83</v>
      </c>
      <c r="D394" s="3" t="s">
        <v>893</v>
      </c>
      <c r="E394" s="3" t="s">
        <v>894</v>
      </c>
      <c r="F394" s="3" t="s">
        <v>895</v>
      </c>
      <c r="G394" s="19" t="s">
        <v>827</v>
      </c>
      <c r="H394" s="2" t="s">
        <v>88</v>
      </c>
      <c r="I394" s="4">
        <v>0</v>
      </c>
      <c r="J394" s="5">
        <v>710000000</v>
      </c>
      <c r="K394" s="5" t="s">
        <v>89</v>
      </c>
      <c r="L394" s="2" t="s">
        <v>90</v>
      </c>
      <c r="M394" s="6" t="s">
        <v>787</v>
      </c>
      <c r="N394" s="7" t="s">
        <v>92</v>
      </c>
      <c r="O394" s="7" t="s">
        <v>93</v>
      </c>
      <c r="P394" s="3" t="s">
        <v>673</v>
      </c>
      <c r="Q394" s="8">
        <v>796</v>
      </c>
      <c r="R394" s="7" t="s">
        <v>118</v>
      </c>
      <c r="S394" s="9">
        <v>1</v>
      </c>
      <c r="T394" s="9">
        <v>25410.75</v>
      </c>
      <c r="U394" s="9">
        <f t="shared" si="271"/>
        <v>25410.75</v>
      </c>
      <c r="V394" s="9">
        <f t="shared" si="239"/>
        <v>28460.040000000005</v>
      </c>
      <c r="W394" s="7"/>
      <c r="X394" s="2">
        <v>2016</v>
      </c>
      <c r="Y394" s="2"/>
    </row>
    <row r="395" spans="2:25" s="11" customFormat="1" ht="89.25" customHeight="1" outlineLevel="1" x14ac:dyDescent="0.25">
      <c r="B395" s="2" t="s">
        <v>896</v>
      </c>
      <c r="C395" s="3" t="s">
        <v>83</v>
      </c>
      <c r="D395" s="3" t="s">
        <v>897</v>
      </c>
      <c r="E395" s="3" t="s">
        <v>898</v>
      </c>
      <c r="F395" s="3" t="s">
        <v>899</v>
      </c>
      <c r="G395" s="19" t="s">
        <v>827</v>
      </c>
      <c r="H395" s="2" t="s">
        <v>88</v>
      </c>
      <c r="I395" s="4">
        <v>0</v>
      </c>
      <c r="J395" s="5">
        <v>710000000</v>
      </c>
      <c r="K395" s="5" t="s">
        <v>89</v>
      </c>
      <c r="L395" s="2" t="s">
        <v>90</v>
      </c>
      <c r="M395" s="6" t="s">
        <v>787</v>
      </c>
      <c r="N395" s="7" t="s">
        <v>92</v>
      </c>
      <c r="O395" s="7" t="s">
        <v>93</v>
      </c>
      <c r="P395" s="3" t="s">
        <v>673</v>
      </c>
      <c r="Q395" s="8" t="s">
        <v>861</v>
      </c>
      <c r="R395" s="7" t="s">
        <v>812</v>
      </c>
      <c r="S395" s="9">
        <v>2</v>
      </c>
      <c r="T395" s="9">
        <v>6014.51</v>
      </c>
      <c r="U395" s="9">
        <f t="shared" si="271"/>
        <v>12029.02</v>
      </c>
      <c r="V395" s="9">
        <f t="shared" si="239"/>
        <v>13472.502400000001</v>
      </c>
      <c r="W395" s="7"/>
      <c r="X395" s="2">
        <v>2016</v>
      </c>
      <c r="Y395" s="2"/>
    </row>
    <row r="396" spans="2:25" s="11" customFormat="1" ht="89.25" customHeight="1" outlineLevel="1" x14ac:dyDescent="0.25">
      <c r="B396" s="2" t="s">
        <v>900</v>
      </c>
      <c r="C396" s="3" t="s">
        <v>83</v>
      </c>
      <c r="D396" s="3" t="s">
        <v>901</v>
      </c>
      <c r="E396" s="3" t="s">
        <v>902</v>
      </c>
      <c r="F396" s="3" t="s">
        <v>903</v>
      </c>
      <c r="G396" s="19" t="s">
        <v>827</v>
      </c>
      <c r="H396" s="2" t="s">
        <v>88</v>
      </c>
      <c r="I396" s="4">
        <v>0</v>
      </c>
      <c r="J396" s="5">
        <v>710000000</v>
      </c>
      <c r="K396" s="5" t="s">
        <v>89</v>
      </c>
      <c r="L396" s="2" t="s">
        <v>90</v>
      </c>
      <c r="M396" s="6" t="s">
        <v>787</v>
      </c>
      <c r="N396" s="7" t="s">
        <v>92</v>
      </c>
      <c r="O396" s="7" t="s">
        <v>93</v>
      </c>
      <c r="P396" s="3" t="s">
        <v>673</v>
      </c>
      <c r="Q396" s="8">
        <v>796</v>
      </c>
      <c r="R396" s="7" t="s">
        <v>118</v>
      </c>
      <c r="S396" s="9">
        <v>1</v>
      </c>
      <c r="T396" s="9">
        <v>43087.67</v>
      </c>
      <c r="U396" s="9">
        <f t="shared" si="271"/>
        <v>43087.67</v>
      </c>
      <c r="V396" s="9">
        <f t="shared" si="239"/>
        <v>48258.190399999999</v>
      </c>
      <c r="W396" s="7"/>
      <c r="X396" s="2">
        <v>2016</v>
      </c>
      <c r="Y396" s="2"/>
    </row>
    <row r="397" spans="2:25" s="11" customFormat="1" ht="89.25" customHeight="1" outlineLevel="1" x14ac:dyDescent="0.25">
      <c r="B397" s="2" t="s">
        <v>904</v>
      </c>
      <c r="C397" s="3" t="s">
        <v>83</v>
      </c>
      <c r="D397" s="3" t="s">
        <v>905</v>
      </c>
      <c r="E397" s="3" t="s">
        <v>906</v>
      </c>
      <c r="F397" s="3" t="s">
        <v>907</v>
      </c>
      <c r="G397" s="19" t="s">
        <v>838</v>
      </c>
      <c r="H397" s="2" t="s">
        <v>88</v>
      </c>
      <c r="I397" s="4">
        <v>0</v>
      </c>
      <c r="J397" s="5">
        <v>710000000</v>
      </c>
      <c r="K397" s="5" t="s">
        <v>89</v>
      </c>
      <c r="L397" s="2" t="s">
        <v>90</v>
      </c>
      <c r="M397" s="6" t="s">
        <v>787</v>
      </c>
      <c r="N397" s="7" t="s">
        <v>92</v>
      </c>
      <c r="O397" s="7" t="s">
        <v>93</v>
      </c>
      <c r="P397" s="3" t="s">
        <v>673</v>
      </c>
      <c r="Q397" s="8">
        <v>796</v>
      </c>
      <c r="R397" s="7" t="s">
        <v>118</v>
      </c>
      <c r="S397" s="9">
        <v>1</v>
      </c>
      <c r="T397" s="9">
        <v>39642.120000000003</v>
      </c>
      <c r="U397" s="9">
        <f t="shared" si="271"/>
        <v>39642.120000000003</v>
      </c>
      <c r="V397" s="9">
        <f t="shared" si="239"/>
        <v>44399.174400000011</v>
      </c>
      <c r="W397" s="7"/>
      <c r="X397" s="2">
        <v>2016</v>
      </c>
      <c r="Y397" s="2"/>
    </row>
    <row r="398" spans="2:25" s="11" customFormat="1" ht="89.25" customHeight="1" outlineLevel="1" x14ac:dyDescent="0.25">
      <c r="B398" s="2" t="s">
        <v>908</v>
      </c>
      <c r="C398" s="3" t="s">
        <v>83</v>
      </c>
      <c r="D398" s="3" t="s">
        <v>909</v>
      </c>
      <c r="E398" s="3" t="s">
        <v>910</v>
      </c>
      <c r="F398" s="3" t="s">
        <v>911</v>
      </c>
      <c r="G398" s="19" t="s">
        <v>838</v>
      </c>
      <c r="H398" s="2" t="s">
        <v>88</v>
      </c>
      <c r="I398" s="4">
        <v>0</v>
      </c>
      <c r="J398" s="5">
        <v>710000000</v>
      </c>
      <c r="K398" s="5" t="s">
        <v>89</v>
      </c>
      <c r="L398" s="2" t="s">
        <v>90</v>
      </c>
      <c r="M398" s="6" t="s">
        <v>787</v>
      </c>
      <c r="N398" s="7" t="s">
        <v>92</v>
      </c>
      <c r="O398" s="7" t="s">
        <v>93</v>
      </c>
      <c r="P398" s="3" t="s">
        <v>673</v>
      </c>
      <c r="Q398" s="8">
        <v>796</v>
      </c>
      <c r="R398" s="7" t="s">
        <v>118</v>
      </c>
      <c r="S398" s="9">
        <v>2</v>
      </c>
      <c r="T398" s="9">
        <v>15219.86</v>
      </c>
      <c r="U398" s="9">
        <f t="shared" si="271"/>
        <v>30439.72</v>
      </c>
      <c r="V398" s="9">
        <f t="shared" si="239"/>
        <v>34092.486400000002</v>
      </c>
      <c r="W398" s="7"/>
      <c r="X398" s="2">
        <v>2016</v>
      </c>
      <c r="Y398" s="2"/>
    </row>
    <row r="399" spans="2:25" s="20" customFormat="1" ht="89.25" customHeight="1" outlineLevel="1" x14ac:dyDescent="0.25">
      <c r="B399" s="2" t="s">
        <v>912</v>
      </c>
      <c r="C399" s="3" t="s">
        <v>83</v>
      </c>
      <c r="D399" s="3" t="s">
        <v>913</v>
      </c>
      <c r="E399" s="3" t="s">
        <v>914</v>
      </c>
      <c r="F399" s="3" t="s">
        <v>915</v>
      </c>
      <c r="G399" s="19" t="s">
        <v>838</v>
      </c>
      <c r="H399" s="2" t="s">
        <v>88</v>
      </c>
      <c r="I399" s="4">
        <v>0</v>
      </c>
      <c r="J399" s="5">
        <v>710000000</v>
      </c>
      <c r="K399" s="5" t="s">
        <v>89</v>
      </c>
      <c r="L399" s="2" t="s">
        <v>90</v>
      </c>
      <c r="M399" s="6" t="s">
        <v>787</v>
      </c>
      <c r="N399" s="7" t="s">
        <v>92</v>
      </c>
      <c r="O399" s="7" t="s">
        <v>93</v>
      </c>
      <c r="P399" s="3" t="s">
        <v>673</v>
      </c>
      <c r="Q399" s="8" t="s">
        <v>861</v>
      </c>
      <c r="R399" s="7" t="s">
        <v>812</v>
      </c>
      <c r="S399" s="9">
        <v>3</v>
      </c>
      <c r="T399" s="9">
        <v>8574.11</v>
      </c>
      <c r="U399" s="9">
        <f t="shared" si="271"/>
        <v>25722.33</v>
      </c>
      <c r="V399" s="9">
        <f t="shared" si="239"/>
        <v>28809.009600000005</v>
      </c>
      <c r="W399" s="7"/>
      <c r="X399" s="2">
        <v>2016</v>
      </c>
      <c r="Y399" s="2"/>
    </row>
    <row r="400" spans="2:25" s="11" customFormat="1" ht="89.25" customHeight="1" outlineLevel="1" x14ac:dyDescent="0.25">
      <c r="B400" s="2" t="s">
        <v>916</v>
      </c>
      <c r="C400" s="3" t="s">
        <v>83</v>
      </c>
      <c r="D400" s="3" t="s">
        <v>917</v>
      </c>
      <c r="E400" s="3" t="s">
        <v>918</v>
      </c>
      <c r="F400" s="3" t="s">
        <v>919</v>
      </c>
      <c r="G400" s="19" t="s">
        <v>838</v>
      </c>
      <c r="H400" s="2" t="s">
        <v>88</v>
      </c>
      <c r="I400" s="4">
        <v>0</v>
      </c>
      <c r="J400" s="5">
        <v>710000000</v>
      </c>
      <c r="K400" s="5" t="s">
        <v>89</v>
      </c>
      <c r="L400" s="2" t="s">
        <v>90</v>
      </c>
      <c r="M400" s="6" t="s">
        <v>787</v>
      </c>
      <c r="N400" s="7" t="s">
        <v>92</v>
      </c>
      <c r="O400" s="7" t="s">
        <v>93</v>
      </c>
      <c r="P400" s="3" t="s">
        <v>673</v>
      </c>
      <c r="Q400" s="8">
        <v>796</v>
      </c>
      <c r="R400" s="7" t="s">
        <v>118</v>
      </c>
      <c r="S400" s="9">
        <v>2</v>
      </c>
      <c r="T400" s="9">
        <v>14201.12</v>
      </c>
      <c r="U400" s="9">
        <f t="shared" si="271"/>
        <v>28402.240000000002</v>
      </c>
      <c r="V400" s="9">
        <f t="shared" si="239"/>
        <v>31810.508800000003</v>
      </c>
      <c r="W400" s="7"/>
      <c r="X400" s="2">
        <v>2016</v>
      </c>
      <c r="Y400" s="2"/>
    </row>
    <row r="401" spans="2:25" s="11" customFormat="1" ht="89.25" customHeight="1" outlineLevel="1" x14ac:dyDescent="0.25">
      <c r="B401" s="2" t="s">
        <v>920</v>
      </c>
      <c r="C401" s="3" t="s">
        <v>83</v>
      </c>
      <c r="D401" s="3" t="s">
        <v>921</v>
      </c>
      <c r="E401" s="3" t="s">
        <v>790</v>
      </c>
      <c r="F401" s="3" t="s">
        <v>922</v>
      </c>
      <c r="G401" s="19" t="s">
        <v>923</v>
      </c>
      <c r="H401" s="2" t="s">
        <v>88</v>
      </c>
      <c r="I401" s="4">
        <v>0</v>
      </c>
      <c r="J401" s="5">
        <v>710000000</v>
      </c>
      <c r="K401" s="5" t="s">
        <v>89</v>
      </c>
      <c r="L401" s="2" t="s">
        <v>90</v>
      </c>
      <c r="M401" s="6" t="s">
        <v>787</v>
      </c>
      <c r="N401" s="7" t="s">
        <v>92</v>
      </c>
      <c r="O401" s="7" t="s">
        <v>93</v>
      </c>
      <c r="P401" s="3" t="s">
        <v>673</v>
      </c>
      <c r="Q401" s="8">
        <v>796</v>
      </c>
      <c r="R401" s="7" t="s">
        <v>118</v>
      </c>
      <c r="S401" s="9">
        <v>30</v>
      </c>
      <c r="T401" s="9">
        <v>3201.35</v>
      </c>
      <c r="U401" s="9">
        <f t="shared" si="271"/>
        <v>96040.5</v>
      </c>
      <c r="V401" s="9">
        <f t="shared" si="239"/>
        <v>107565.36000000002</v>
      </c>
      <c r="W401" s="7"/>
      <c r="X401" s="2">
        <v>2016</v>
      </c>
      <c r="Y401" s="2"/>
    </row>
    <row r="402" spans="2:25" s="11" customFormat="1" ht="89.25" customHeight="1" outlineLevel="1" x14ac:dyDescent="0.25">
      <c r="B402" s="2" t="s">
        <v>924</v>
      </c>
      <c r="C402" s="3" t="s">
        <v>83</v>
      </c>
      <c r="D402" s="3" t="s">
        <v>794</v>
      </c>
      <c r="E402" s="3" t="s">
        <v>790</v>
      </c>
      <c r="F402" s="3" t="s">
        <v>795</v>
      </c>
      <c r="G402" s="19" t="s">
        <v>923</v>
      </c>
      <c r="H402" s="2" t="s">
        <v>88</v>
      </c>
      <c r="I402" s="4">
        <v>0</v>
      </c>
      <c r="J402" s="5">
        <v>710000000</v>
      </c>
      <c r="K402" s="5" t="s">
        <v>89</v>
      </c>
      <c r="L402" s="2" t="s">
        <v>90</v>
      </c>
      <c r="M402" s="6" t="s">
        <v>787</v>
      </c>
      <c r="N402" s="7" t="s">
        <v>92</v>
      </c>
      <c r="O402" s="7" t="s">
        <v>93</v>
      </c>
      <c r="P402" s="3" t="s">
        <v>673</v>
      </c>
      <c r="Q402" s="8">
        <v>796</v>
      </c>
      <c r="R402" s="7" t="s">
        <v>118</v>
      </c>
      <c r="S402" s="9">
        <v>30</v>
      </c>
      <c r="T402" s="9">
        <v>11301.18</v>
      </c>
      <c r="U402" s="9">
        <f t="shared" si="271"/>
        <v>339035.4</v>
      </c>
      <c r="V402" s="9">
        <f t="shared" si="239"/>
        <v>379719.64800000004</v>
      </c>
      <c r="W402" s="7"/>
      <c r="X402" s="2">
        <v>2016</v>
      </c>
      <c r="Y402" s="2"/>
    </row>
    <row r="403" spans="2:25" s="11" customFormat="1" ht="89.25" customHeight="1" outlineLevel="1" x14ac:dyDescent="0.25">
      <c r="B403" s="2" t="s">
        <v>925</v>
      </c>
      <c r="C403" s="9" t="s">
        <v>83</v>
      </c>
      <c r="D403" s="9" t="s">
        <v>798</v>
      </c>
      <c r="E403" s="9" t="s">
        <v>790</v>
      </c>
      <c r="F403" s="9" t="s">
        <v>799</v>
      </c>
      <c r="G403" s="19" t="s">
        <v>926</v>
      </c>
      <c r="H403" s="2" t="s">
        <v>88</v>
      </c>
      <c r="I403" s="4">
        <v>0</v>
      </c>
      <c r="J403" s="5">
        <v>710000000</v>
      </c>
      <c r="K403" s="5" t="s">
        <v>89</v>
      </c>
      <c r="L403" s="2" t="s">
        <v>90</v>
      </c>
      <c r="M403" s="6" t="s">
        <v>787</v>
      </c>
      <c r="N403" s="7" t="s">
        <v>92</v>
      </c>
      <c r="O403" s="7" t="s">
        <v>93</v>
      </c>
      <c r="P403" s="3" t="s">
        <v>673</v>
      </c>
      <c r="Q403" s="8">
        <v>796</v>
      </c>
      <c r="R403" s="7" t="s">
        <v>118</v>
      </c>
      <c r="S403" s="9">
        <v>30</v>
      </c>
      <c r="T403" s="9">
        <v>7846.95</v>
      </c>
      <c r="U403" s="9">
        <f t="shared" si="271"/>
        <v>235408.5</v>
      </c>
      <c r="V403" s="9">
        <f t="shared" si="239"/>
        <v>263657.52</v>
      </c>
      <c r="W403" s="7"/>
      <c r="X403" s="2">
        <v>2016</v>
      </c>
      <c r="Y403" s="2"/>
    </row>
    <row r="404" spans="2:25" s="11" customFormat="1" ht="89.25" customHeight="1" outlineLevel="1" x14ac:dyDescent="0.25">
      <c r="B404" s="2" t="s">
        <v>927</v>
      </c>
      <c r="C404" s="3" t="s">
        <v>83</v>
      </c>
      <c r="D404" s="3" t="s">
        <v>802</v>
      </c>
      <c r="E404" s="3" t="s">
        <v>790</v>
      </c>
      <c r="F404" s="3" t="s">
        <v>803</v>
      </c>
      <c r="G404" s="3" t="s">
        <v>923</v>
      </c>
      <c r="H404" s="2" t="s">
        <v>88</v>
      </c>
      <c r="I404" s="4">
        <v>0</v>
      </c>
      <c r="J404" s="5">
        <v>710000000</v>
      </c>
      <c r="K404" s="3" t="s">
        <v>89</v>
      </c>
      <c r="L404" s="2" t="s">
        <v>90</v>
      </c>
      <c r="M404" s="3" t="s">
        <v>787</v>
      </c>
      <c r="N404" s="7" t="s">
        <v>92</v>
      </c>
      <c r="O404" s="7" t="s">
        <v>93</v>
      </c>
      <c r="P404" s="3" t="s">
        <v>673</v>
      </c>
      <c r="Q404" s="8">
        <v>796</v>
      </c>
      <c r="R404" s="7" t="s">
        <v>118</v>
      </c>
      <c r="S404" s="9">
        <v>15</v>
      </c>
      <c r="T404" s="9">
        <v>10153.15</v>
      </c>
      <c r="U404" s="9">
        <f t="shared" si="271"/>
        <v>152297.25</v>
      </c>
      <c r="V404" s="9">
        <f t="shared" si="239"/>
        <v>170572.92</v>
      </c>
      <c r="W404" s="3"/>
      <c r="X404" s="2">
        <v>2016</v>
      </c>
      <c r="Y404" s="3"/>
    </row>
    <row r="405" spans="2:25" s="11" customFormat="1" ht="89.25" customHeight="1" outlineLevel="1" x14ac:dyDescent="0.25">
      <c r="B405" s="2" t="s">
        <v>928</v>
      </c>
      <c r="C405" s="3" t="s">
        <v>83</v>
      </c>
      <c r="D405" s="3" t="s">
        <v>805</v>
      </c>
      <c r="E405" s="3" t="s">
        <v>806</v>
      </c>
      <c r="F405" s="3" t="s">
        <v>807</v>
      </c>
      <c r="G405" s="19" t="s">
        <v>923</v>
      </c>
      <c r="H405" s="2" t="s">
        <v>88</v>
      </c>
      <c r="I405" s="4">
        <v>0</v>
      </c>
      <c r="J405" s="5">
        <v>710000000</v>
      </c>
      <c r="K405" s="5" t="s">
        <v>89</v>
      </c>
      <c r="L405" s="2" t="s">
        <v>90</v>
      </c>
      <c r="M405" s="6" t="s">
        <v>787</v>
      </c>
      <c r="N405" s="7" t="s">
        <v>92</v>
      </c>
      <c r="O405" s="7" t="s">
        <v>93</v>
      </c>
      <c r="P405" s="3" t="s">
        <v>673</v>
      </c>
      <c r="Q405" s="8">
        <v>796</v>
      </c>
      <c r="R405" s="7" t="s">
        <v>118</v>
      </c>
      <c r="S405" s="9">
        <v>80</v>
      </c>
      <c r="T405" s="9">
        <v>3017.22</v>
      </c>
      <c r="U405" s="9">
        <f t="shared" si="271"/>
        <v>241377.59999999998</v>
      </c>
      <c r="V405" s="9">
        <f t="shared" si="239"/>
        <v>270342.91200000001</v>
      </c>
      <c r="W405" s="7"/>
      <c r="X405" s="2">
        <v>2016</v>
      </c>
      <c r="Y405" s="2"/>
    </row>
    <row r="406" spans="2:25" s="11" customFormat="1" ht="89.25" customHeight="1" outlineLevel="1" x14ac:dyDescent="0.25">
      <c r="B406" s="2" t="s">
        <v>929</v>
      </c>
      <c r="C406" s="3" t="s">
        <v>83</v>
      </c>
      <c r="D406" s="3" t="s">
        <v>809</v>
      </c>
      <c r="E406" s="3" t="s">
        <v>810</v>
      </c>
      <c r="F406" s="3" t="s">
        <v>811</v>
      </c>
      <c r="G406" s="3" t="s">
        <v>930</v>
      </c>
      <c r="H406" s="2" t="s">
        <v>88</v>
      </c>
      <c r="I406" s="4">
        <v>0</v>
      </c>
      <c r="J406" s="5">
        <v>710000000</v>
      </c>
      <c r="K406" s="5" t="s">
        <v>89</v>
      </c>
      <c r="L406" s="2" t="s">
        <v>90</v>
      </c>
      <c r="M406" s="6" t="s">
        <v>787</v>
      </c>
      <c r="N406" s="7" t="s">
        <v>92</v>
      </c>
      <c r="O406" s="7" t="s">
        <v>93</v>
      </c>
      <c r="P406" s="3" t="s">
        <v>673</v>
      </c>
      <c r="Q406" s="31">
        <v>839</v>
      </c>
      <c r="R406" s="5" t="s">
        <v>812</v>
      </c>
      <c r="S406" s="9">
        <v>20</v>
      </c>
      <c r="T406" s="9">
        <v>15049.46</v>
      </c>
      <c r="U406" s="9">
        <f t="shared" si="271"/>
        <v>300989.19999999995</v>
      </c>
      <c r="V406" s="9">
        <f t="shared" si="239"/>
        <v>337107.90399999998</v>
      </c>
      <c r="W406" s="7"/>
      <c r="X406" s="2">
        <v>2016</v>
      </c>
      <c r="Y406" s="2"/>
    </row>
    <row r="407" spans="2:25" s="11" customFormat="1" ht="89.25" customHeight="1" outlineLevel="1" x14ac:dyDescent="0.25">
      <c r="B407" s="2" t="s">
        <v>931</v>
      </c>
      <c r="C407" s="3" t="s">
        <v>83</v>
      </c>
      <c r="D407" s="3" t="s">
        <v>814</v>
      </c>
      <c r="E407" s="3" t="s">
        <v>810</v>
      </c>
      <c r="F407" s="3" t="s">
        <v>815</v>
      </c>
      <c r="G407" s="19" t="s">
        <v>930</v>
      </c>
      <c r="H407" s="2" t="s">
        <v>88</v>
      </c>
      <c r="I407" s="4">
        <v>0</v>
      </c>
      <c r="J407" s="5">
        <v>710000000</v>
      </c>
      <c r="K407" s="5" t="s">
        <v>89</v>
      </c>
      <c r="L407" s="2" t="s">
        <v>90</v>
      </c>
      <c r="M407" s="6" t="s">
        <v>787</v>
      </c>
      <c r="N407" s="7" t="s">
        <v>92</v>
      </c>
      <c r="O407" s="7" t="s">
        <v>93</v>
      </c>
      <c r="P407" s="3" t="s">
        <v>673</v>
      </c>
      <c r="Q407" s="31">
        <v>839</v>
      </c>
      <c r="R407" s="5" t="s">
        <v>812</v>
      </c>
      <c r="S407" s="9">
        <v>15</v>
      </c>
      <c r="T407" s="9">
        <v>13387.74</v>
      </c>
      <c r="U407" s="9">
        <f t="shared" si="271"/>
        <v>200816.1</v>
      </c>
      <c r="V407" s="9">
        <f t="shared" si="239"/>
        <v>224914.03200000004</v>
      </c>
      <c r="W407" s="7"/>
      <c r="X407" s="2">
        <v>2016</v>
      </c>
      <c r="Y407" s="2"/>
    </row>
    <row r="408" spans="2:25" s="11" customFormat="1" ht="89.25" customHeight="1" outlineLevel="1" x14ac:dyDescent="0.25">
      <c r="B408" s="2" t="s">
        <v>932</v>
      </c>
      <c r="C408" s="3" t="s">
        <v>83</v>
      </c>
      <c r="D408" s="3" t="s">
        <v>817</v>
      </c>
      <c r="E408" s="3" t="s">
        <v>818</v>
      </c>
      <c r="F408" s="3" t="s">
        <v>819</v>
      </c>
      <c r="G408" s="3" t="s">
        <v>923</v>
      </c>
      <c r="H408" s="2" t="s">
        <v>88</v>
      </c>
      <c r="I408" s="4">
        <v>0</v>
      </c>
      <c r="J408" s="5">
        <v>710000000</v>
      </c>
      <c r="K408" s="5" t="s">
        <v>89</v>
      </c>
      <c r="L408" s="2" t="s">
        <v>90</v>
      </c>
      <c r="M408" s="6" t="s">
        <v>787</v>
      </c>
      <c r="N408" s="7" t="s">
        <v>92</v>
      </c>
      <c r="O408" s="7" t="s">
        <v>93</v>
      </c>
      <c r="P408" s="3" t="s">
        <v>673</v>
      </c>
      <c r="Q408" s="8">
        <v>796</v>
      </c>
      <c r="R408" s="7" t="s">
        <v>118</v>
      </c>
      <c r="S408" s="9">
        <v>8</v>
      </c>
      <c r="T408" s="9">
        <v>34069.870000000003</v>
      </c>
      <c r="U408" s="9">
        <f t="shared" si="271"/>
        <v>272558.96000000002</v>
      </c>
      <c r="V408" s="9">
        <f t="shared" si="239"/>
        <v>305266.03520000004</v>
      </c>
      <c r="W408" s="7"/>
      <c r="X408" s="2">
        <v>2016</v>
      </c>
      <c r="Y408" s="2"/>
    </row>
    <row r="409" spans="2:25" s="11" customFormat="1" ht="89.25" customHeight="1" outlineLevel="1" x14ac:dyDescent="0.25">
      <c r="B409" s="2" t="s">
        <v>933</v>
      </c>
      <c r="C409" s="3" t="s">
        <v>83</v>
      </c>
      <c r="D409" s="3" t="s">
        <v>821</v>
      </c>
      <c r="E409" s="3" t="s">
        <v>818</v>
      </c>
      <c r="F409" s="3" t="s">
        <v>822</v>
      </c>
      <c r="G409" s="3" t="s">
        <v>923</v>
      </c>
      <c r="H409" s="2" t="s">
        <v>88</v>
      </c>
      <c r="I409" s="4">
        <v>0</v>
      </c>
      <c r="J409" s="5">
        <v>710000000</v>
      </c>
      <c r="K409" s="5" t="s">
        <v>89</v>
      </c>
      <c r="L409" s="2" t="s">
        <v>90</v>
      </c>
      <c r="M409" s="6" t="s">
        <v>787</v>
      </c>
      <c r="N409" s="7" t="s">
        <v>92</v>
      </c>
      <c r="O409" s="7" t="s">
        <v>93</v>
      </c>
      <c r="P409" s="3" t="s">
        <v>673</v>
      </c>
      <c r="Q409" s="8">
        <v>796</v>
      </c>
      <c r="R409" s="7" t="s">
        <v>118</v>
      </c>
      <c r="S409" s="9">
        <v>6</v>
      </c>
      <c r="T409" s="9">
        <v>30132.400000000001</v>
      </c>
      <c r="U409" s="9">
        <f t="shared" si="271"/>
        <v>180794.40000000002</v>
      </c>
      <c r="V409" s="9">
        <f t="shared" si="239"/>
        <v>202489.72800000003</v>
      </c>
      <c r="W409" s="7"/>
      <c r="X409" s="2">
        <v>2016</v>
      </c>
      <c r="Y409" s="2"/>
    </row>
    <row r="410" spans="2:25" s="11" customFormat="1" ht="89.25" customHeight="1" outlineLevel="1" x14ac:dyDescent="0.25">
      <c r="B410" s="2" t="s">
        <v>934</v>
      </c>
      <c r="C410" s="3" t="s">
        <v>83</v>
      </c>
      <c r="D410" s="3" t="s">
        <v>935</v>
      </c>
      <c r="E410" s="3" t="s">
        <v>825</v>
      </c>
      <c r="F410" s="3" t="s">
        <v>936</v>
      </c>
      <c r="G410" s="19" t="s">
        <v>923</v>
      </c>
      <c r="H410" s="2" t="s">
        <v>88</v>
      </c>
      <c r="I410" s="4">
        <v>0</v>
      </c>
      <c r="J410" s="5">
        <v>710000000</v>
      </c>
      <c r="K410" s="5" t="s">
        <v>89</v>
      </c>
      <c r="L410" s="2" t="s">
        <v>90</v>
      </c>
      <c r="M410" s="6" t="s">
        <v>787</v>
      </c>
      <c r="N410" s="7" t="s">
        <v>92</v>
      </c>
      <c r="O410" s="7" t="s">
        <v>93</v>
      </c>
      <c r="P410" s="3" t="s">
        <v>673</v>
      </c>
      <c r="Q410" s="8">
        <v>796</v>
      </c>
      <c r="R410" s="7" t="s">
        <v>118</v>
      </c>
      <c r="S410" s="9">
        <v>6</v>
      </c>
      <c r="T410" s="9">
        <v>24483.71</v>
      </c>
      <c r="U410" s="9">
        <f t="shared" si="271"/>
        <v>146902.26</v>
      </c>
      <c r="V410" s="9">
        <f t="shared" si="239"/>
        <v>164530.53120000003</v>
      </c>
      <c r="W410" s="7"/>
      <c r="X410" s="2">
        <v>2016</v>
      </c>
      <c r="Y410" s="2"/>
    </row>
    <row r="411" spans="2:25" s="11" customFormat="1" ht="89.25" customHeight="1" outlineLevel="1" x14ac:dyDescent="0.25">
      <c r="B411" s="2" t="s">
        <v>937</v>
      </c>
      <c r="C411" s="3" t="s">
        <v>83</v>
      </c>
      <c r="D411" s="3" t="s">
        <v>938</v>
      </c>
      <c r="E411" s="3" t="s">
        <v>825</v>
      </c>
      <c r="F411" s="3" t="s">
        <v>939</v>
      </c>
      <c r="G411" s="19" t="s">
        <v>930</v>
      </c>
      <c r="H411" s="2" t="s">
        <v>88</v>
      </c>
      <c r="I411" s="4">
        <v>0</v>
      </c>
      <c r="J411" s="5">
        <v>710000000</v>
      </c>
      <c r="K411" s="5" t="s">
        <v>89</v>
      </c>
      <c r="L411" s="2" t="s">
        <v>90</v>
      </c>
      <c r="M411" s="6" t="s">
        <v>787</v>
      </c>
      <c r="N411" s="7" t="s">
        <v>92</v>
      </c>
      <c r="O411" s="7" t="s">
        <v>93</v>
      </c>
      <c r="P411" s="3" t="s">
        <v>673</v>
      </c>
      <c r="Q411" s="8">
        <v>796</v>
      </c>
      <c r="R411" s="7" t="s">
        <v>118</v>
      </c>
      <c r="S411" s="9">
        <v>6</v>
      </c>
      <c r="T411" s="9">
        <v>16629.650000000001</v>
      </c>
      <c r="U411" s="9">
        <f t="shared" si="271"/>
        <v>99777.900000000009</v>
      </c>
      <c r="V411" s="9">
        <f t="shared" si="239"/>
        <v>111751.24800000002</v>
      </c>
      <c r="W411" s="7"/>
      <c r="X411" s="2">
        <v>2016</v>
      </c>
      <c r="Y411" s="2"/>
    </row>
    <row r="412" spans="2:25" s="11" customFormat="1" ht="89.25" customHeight="1" outlineLevel="1" x14ac:dyDescent="0.25">
      <c r="B412" s="2" t="s">
        <v>940</v>
      </c>
      <c r="C412" s="3" t="s">
        <v>83</v>
      </c>
      <c r="D412" s="3" t="s">
        <v>832</v>
      </c>
      <c r="E412" s="3" t="s">
        <v>833</v>
      </c>
      <c r="F412" s="3" t="s">
        <v>834</v>
      </c>
      <c r="G412" s="19" t="s">
        <v>923</v>
      </c>
      <c r="H412" s="2" t="s">
        <v>88</v>
      </c>
      <c r="I412" s="4">
        <v>0</v>
      </c>
      <c r="J412" s="5">
        <v>710000000</v>
      </c>
      <c r="K412" s="5" t="s">
        <v>89</v>
      </c>
      <c r="L412" s="2" t="s">
        <v>90</v>
      </c>
      <c r="M412" s="6" t="s">
        <v>787</v>
      </c>
      <c r="N412" s="7" t="s">
        <v>92</v>
      </c>
      <c r="O412" s="7" t="s">
        <v>93</v>
      </c>
      <c r="P412" s="3" t="s">
        <v>673</v>
      </c>
      <c r="Q412" s="8">
        <v>796</v>
      </c>
      <c r="R412" s="7" t="s">
        <v>118</v>
      </c>
      <c r="S412" s="9">
        <v>8</v>
      </c>
      <c r="T412" s="9">
        <v>5073.21</v>
      </c>
      <c r="U412" s="9">
        <f t="shared" si="271"/>
        <v>40585.68</v>
      </c>
      <c r="V412" s="9">
        <f t="shared" si="239"/>
        <v>45455.961600000002</v>
      </c>
      <c r="W412" s="7"/>
      <c r="X412" s="2">
        <v>2016</v>
      </c>
      <c r="Y412" s="2"/>
    </row>
    <row r="413" spans="2:25" s="11" customFormat="1" ht="89.25" customHeight="1" outlineLevel="1" x14ac:dyDescent="0.25">
      <c r="B413" s="2" t="s">
        <v>941</v>
      </c>
      <c r="C413" s="3" t="s">
        <v>83</v>
      </c>
      <c r="D413" s="3" t="s">
        <v>836</v>
      </c>
      <c r="E413" s="3" t="s">
        <v>833</v>
      </c>
      <c r="F413" s="3" t="s">
        <v>837</v>
      </c>
      <c r="G413" s="19" t="s">
        <v>930</v>
      </c>
      <c r="H413" s="2" t="s">
        <v>88</v>
      </c>
      <c r="I413" s="4">
        <v>0</v>
      </c>
      <c r="J413" s="5">
        <v>710000000</v>
      </c>
      <c r="K413" s="5" t="s">
        <v>89</v>
      </c>
      <c r="L413" s="2" t="s">
        <v>90</v>
      </c>
      <c r="M413" s="6" t="s">
        <v>787</v>
      </c>
      <c r="N413" s="7" t="s">
        <v>92</v>
      </c>
      <c r="O413" s="7" t="s">
        <v>93</v>
      </c>
      <c r="P413" s="3" t="s">
        <v>673</v>
      </c>
      <c r="Q413" s="8">
        <v>796</v>
      </c>
      <c r="R413" s="7" t="s">
        <v>118</v>
      </c>
      <c r="S413" s="9">
        <v>8</v>
      </c>
      <c r="T413" s="9">
        <v>3633.93</v>
      </c>
      <c r="U413" s="9">
        <f t="shared" si="271"/>
        <v>29071.439999999999</v>
      </c>
      <c r="V413" s="9">
        <f t="shared" si="239"/>
        <v>32560.0128</v>
      </c>
      <c r="W413" s="7"/>
      <c r="X413" s="2">
        <v>2016</v>
      </c>
      <c r="Y413" s="2"/>
    </row>
    <row r="414" spans="2:25" s="11" customFormat="1" ht="89.25" customHeight="1" outlineLevel="1" x14ac:dyDescent="0.25">
      <c r="B414" s="2" t="s">
        <v>942</v>
      </c>
      <c r="C414" s="3" t="s">
        <v>83</v>
      </c>
      <c r="D414" s="3" t="s">
        <v>943</v>
      </c>
      <c r="E414" s="3" t="s">
        <v>944</v>
      </c>
      <c r="F414" s="3" t="s">
        <v>945</v>
      </c>
      <c r="G414" s="19" t="s">
        <v>946</v>
      </c>
      <c r="H414" s="2" t="s">
        <v>88</v>
      </c>
      <c r="I414" s="4">
        <v>0</v>
      </c>
      <c r="J414" s="5">
        <v>710000000</v>
      </c>
      <c r="K414" s="5" t="s">
        <v>89</v>
      </c>
      <c r="L414" s="2" t="s">
        <v>90</v>
      </c>
      <c r="M414" s="6" t="s">
        <v>787</v>
      </c>
      <c r="N414" s="7" t="s">
        <v>92</v>
      </c>
      <c r="O414" s="7" t="s">
        <v>93</v>
      </c>
      <c r="P414" s="3" t="s">
        <v>673</v>
      </c>
      <c r="Q414" s="8">
        <v>796</v>
      </c>
      <c r="R414" s="7" t="s">
        <v>118</v>
      </c>
      <c r="S414" s="9">
        <v>2</v>
      </c>
      <c r="T414" s="9">
        <v>37288.620000000003</v>
      </c>
      <c r="U414" s="9">
        <f t="shared" si="271"/>
        <v>74577.240000000005</v>
      </c>
      <c r="V414" s="9">
        <f t="shared" si="239"/>
        <v>83526.508800000011</v>
      </c>
      <c r="W414" s="7"/>
      <c r="X414" s="2">
        <v>2016</v>
      </c>
      <c r="Y414" s="2"/>
    </row>
    <row r="415" spans="2:25" s="11" customFormat="1" ht="89.25" customHeight="1" outlineLevel="1" x14ac:dyDescent="0.25">
      <c r="B415" s="2" t="s">
        <v>947</v>
      </c>
      <c r="C415" s="3" t="s">
        <v>83</v>
      </c>
      <c r="D415" s="3" t="s">
        <v>943</v>
      </c>
      <c r="E415" s="3" t="s">
        <v>944</v>
      </c>
      <c r="F415" s="3" t="s">
        <v>945</v>
      </c>
      <c r="G415" s="19" t="s">
        <v>948</v>
      </c>
      <c r="H415" s="2" t="s">
        <v>88</v>
      </c>
      <c r="I415" s="4">
        <v>0</v>
      </c>
      <c r="J415" s="5">
        <v>710000000</v>
      </c>
      <c r="K415" s="5" t="s">
        <v>89</v>
      </c>
      <c r="L415" s="2" t="s">
        <v>90</v>
      </c>
      <c r="M415" s="6" t="s">
        <v>787</v>
      </c>
      <c r="N415" s="7" t="s">
        <v>92</v>
      </c>
      <c r="O415" s="7" t="s">
        <v>93</v>
      </c>
      <c r="P415" s="3" t="s">
        <v>673</v>
      </c>
      <c r="Q415" s="8">
        <v>796</v>
      </c>
      <c r="R415" s="7" t="s">
        <v>118</v>
      </c>
      <c r="S415" s="9">
        <v>2</v>
      </c>
      <c r="T415" s="9">
        <v>34121.07</v>
      </c>
      <c r="U415" s="9">
        <f t="shared" si="271"/>
        <v>68242.14</v>
      </c>
      <c r="V415" s="9">
        <f t="shared" si="239"/>
        <v>76431.196800000005</v>
      </c>
      <c r="W415" s="7"/>
      <c r="X415" s="2">
        <v>2016</v>
      </c>
      <c r="Y415" s="2"/>
    </row>
    <row r="416" spans="2:25" s="11" customFormat="1" ht="89.25" customHeight="1" outlineLevel="1" x14ac:dyDescent="0.25">
      <c r="B416" s="2" t="s">
        <v>949</v>
      </c>
      <c r="C416" s="3" t="s">
        <v>83</v>
      </c>
      <c r="D416" s="3" t="s">
        <v>950</v>
      </c>
      <c r="E416" s="3" t="s">
        <v>944</v>
      </c>
      <c r="F416" s="3" t="s">
        <v>951</v>
      </c>
      <c r="G416" s="19" t="s">
        <v>923</v>
      </c>
      <c r="H416" s="2" t="s">
        <v>88</v>
      </c>
      <c r="I416" s="4">
        <v>0</v>
      </c>
      <c r="J416" s="5">
        <v>710000000</v>
      </c>
      <c r="K416" s="5" t="s">
        <v>89</v>
      </c>
      <c r="L416" s="2" t="s">
        <v>90</v>
      </c>
      <c r="M416" s="6" t="s">
        <v>787</v>
      </c>
      <c r="N416" s="7" t="s">
        <v>92</v>
      </c>
      <c r="O416" s="7" t="s">
        <v>93</v>
      </c>
      <c r="P416" s="3" t="s">
        <v>673</v>
      </c>
      <c r="Q416" s="8">
        <v>796</v>
      </c>
      <c r="R416" s="7" t="s">
        <v>118</v>
      </c>
      <c r="S416" s="9">
        <v>6</v>
      </c>
      <c r="T416" s="9">
        <v>17649.580000000002</v>
      </c>
      <c r="U416" s="9">
        <f t="shared" si="271"/>
        <v>105897.48000000001</v>
      </c>
      <c r="V416" s="9">
        <f t="shared" si="239"/>
        <v>118605.17760000002</v>
      </c>
      <c r="W416" s="7"/>
      <c r="X416" s="2">
        <v>2016</v>
      </c>
      <c r="Y416" s="2"/>
    </row>
    <row r="417" spans="2:25" s="11" customFormat="1" ht="89.25" customHeight="1" outlineLevel="1" x14ac:dyDescent="0.25">
      <c r="B417" s="2" t="s">
        <v>952</v>
      </c>
      <c r="C417" s="3" t="s">
        <v>83</v>
      </c>
      <c r="D417" s="3" t="s">
        <v>943</v>
      </c>
      <c r="E417" s="3" t="s">
        <v>944</v>
      </c>
      <c r="F417" s="3" t="s">
        <v>945</v>
      </c>
      <c r="G417" s="19" t="s">
        <v>923</v>
      </c>
      <c r="H417" s="2" t="s">
        <v>88</v>
      </c>
      <c r="I417" s="4">
        <v>0</v>
      </c>
      <c r="J417" s="5">
        <v>710000000</v>
      </c>
      <c r="K417" s="5" t="s">
        <v>89</v>
      </c>
      <c r="L417" s="2" t="s">
        <v>90</v>
      </c>
      <c r="M417" s="6" t="s">
        <v>787</v>
      </c>
      <c r="N417" s="7" t="s">
        <v>92</v>
      </c>
      <c r="O417" s="7" t="s">
        <v>93</v>
      </c>
      <c r="P417" s="3" t="s">
        <v>673</v>
      </c>
      <c r="Q417" s="8">
        <v>796</v>
      </c>
      <c r="R417" s="7" t="s">
        <v>118</v>
      </c>
      <c r="S417" s="9">
        <v>6</v>
      </c>
      <c r="T417" s="9">
        <v>17649.580000000002</v>
      </c>
      <c r="U417" s="9">
        <f t="shared" si="271"/>
        <v>105897.48000000001</v>
      </c>
      <c r="V417" s="9">
        <f t="shared" si="239"/>
        <v>118605.17760000002</v>
      </c>
      <c r="W417" s="7"/>
      <c r="X417" s="2">
        <v>2016</v>
      </c>
      <c r="Y417" s="2"/>
    </row>
    <row r="418" spans="2:25" s="11" customFormat="1" ht="89.25" customHeight="1" outlineLevel="1" x14ac:dyDescent="0.25">
      <c r="B418" s="2" t="s">
        <v>953</v>
      </c>
      <c r="C418" s="3" t="s">
        <v>83</v>
      </c>
      <c r="D418" s="3" t="s">
        <v>954</v>
      </c>
      <c r="E418" s="3" t="s">
        <v>955</v>
      </c>
      <c r="F418" s="3" t="s">
        <v>895</v>
      </c>
      <c r="G418" s="19" t="s">
        <v>923</v>
      </c>
      <c r="H418" s="2" t="s">
        <v>88</v>
      </c>
      <c r="I418" s="4">
        <v>0</v>
      </c>
      <c r="J418" s="5">
        <v>710000000</v>
      </c>
      <c r="K418" s="5" t="s">
        <v>89</v>
      </c>
      <c r="L418" s="2" t="s">
        <v>90</v>
      </c>
      <c r="M418" s="6" t="s">
        <v>787</v>
      </c>
      <c r="N418" s="7" t="s">
        <v>92</v>
      </c>
      <c r="O418" s="7" t="s">
        <v>93</v>
      </c>
      <c r="P418" s="3" t="s">
        <v>673</v>
      </c>
      <c r="Q418" s="8">
        <v>796</v>
      </c>
      <c r="R418" s="7" t="s">
        <v>118</v>
      </c>
      <c r="S418" s="9">
        <v>6</v>
      </c>
      <c r="T418" s="9">
        <v>26464.73</v>
      </c>
      <c r="U418" s="9">
        <f t="shared" si="271"/>
        <v>158788.38</v>
      </c>
      <c r="V418" s="9">
        <f t="shared" si="239"/>
        <v>177842.98560000001</v>
      </c>
      <c r="W418" s="7"/>
      <c r="X418" s="2">
        <v>2016</v>
      </c>
      <c r="Y418" s="2"/>
    </row>
    <row r="419" spans="2:25" s="11" customFormat="1" ht="89.25" customHeight="1" outlineLevel="1" x14ac:dyDescent="0.25">
      <c r="B419" s="2" t="s">
        <v>956</v>
      </c>
      <c r="C419" s="3" t="s">
        <v>83</v>
      </c>
      <c r="D419" s="3" t="s">
        <v>957</v>
      </c>
      <c r="E419" s="3" t="s">
        <v>958</v>
      </c>
      <c r="F419" s="3" t="s">
        <v>895</v>
      </c>
      <c r="G419" s="19" t="s">
        <v>923</v>
      </c>
      <c r="H419" s="2" t="s">
        <v>88</v>
      </c>
      <c r="I419" s="4">
        <v>0</v>
      </c>
      <c r="J419" s="5">
        <v>710000000</v>
      </c>
      <c r="K419" s="5" t="s">
        <v>89</v>
      </c>
      <c r="L419" s="2" t="s">
        <v>90</v>
      </c>
      <c r="M419" s="6" t="s">
        <v>787</v>
      </c>
      <c r="N419" s="7" t="s">
        <v>92</v>
      </c>
      <c r="O419" s="7" t="s">
        <v>93</v>
      </c>
      <c r="P419" s="3" t="s">
        <v>673</v>
      </c>
      <c r="Q419" s="8">
        <v>796</v>
      </c>
      <c r="R419" s="7" t="s">
        <v>118</v>
      </c>
      <c r="S419" s="9">
        <v>6</v>
      </c>
      <c r="T419" s="9">
        <v>21493.62</v>
      </c>
      <c r="U419" s="9">
        <f t="shared" si="271"/>
        <v>128961.72</v>
      </c>
      <c r="V419" s="9">
        <f t="shared" si="239"/>
        <v>144437.12640000001</v>
      </c>
      <c r="W419" s="7"/>
      <c r="X419" s="2">
        <v>2016</v>
      </c>
      <c r="Y419" s="2"/>
    </row>
    <row r="420" spans="2:25" s="11" customFormat="1" ht="89.25" customHeight="1" outlineLevel="1" x14ac:dyDescent="0.25">
      <c r="B420" s="2" t="s">
        <v>959</v>
      </c>
      <c r="C420" s="3" t="s">
        <v>83</v>
      </c>
      <c r="D420" s="3" t="s">
        <v>960</v>
      </c>
      <c r="E420" s="3" t="s">
        <v>961</v>
      </c>
      <c r="F420" s="3" t="s">
        <v>903</v>
      </c>
      <c r="G420" s="19" t="s">
        <v>923</v>
      </c>
      <c r="H420" s="2" t="s">
        <v>88</v>
      </c>
      <c r="I420" s="4">
        <v>0</v>
      </c>
      <c r="J420" s="5">
        <v>710000000</v>
      </c>
      <c r="K420" s="5" t="s">
        <v>89</v>
      </c>
      <c r="L420" s="2" t="s">
        <v>90</v>
      </c>
      <c r="M420" s="6" t="s">
        <v>787</v>
      </c>
      <c r="N420" s="7" t="s">
        <v>92</v>
      </c>
      <c r="O420" s="7" t="s">
        <v>93</v>
      </c>
      <c r="P420" s="3" t="s">
        <v>673</v>
      </c>
      <c r="Q420" s="8">
        <v>796</v>
      </c>
      <c r="R420" s="7" t="s">
        <v>118</v>
      </c>
      <c r="S420" s="9">
        <v>2</v>
      </c>
      <c r="T420" s="9">
        <v>59948.44</v>
      </c>
      <c r="U420" s="9">
        <f t="shared" si="271"/>
        <v>119896.88</v>
      </c>
      <c r="V420" s="9">
        <f t="shared" si="239"/>
        <v>134284.5056</v>
      </c>
      <c r="W420" s="7"/>
      <c r="X420" s="2">
        <v>2016</v>
      </c>
      <c r="Y420" s="2"/>
    </row>
    <row r="421" spans="2:25" s="11" customFormat="1" ht="89.25" customHeight="1" outlineLevel="1" x14ac:dyDescent="0.25">
      <c r="B421" s="2" t="s">
        <v>962</v>
      </c>
      <c r="C421" s="3" t="s">
        <v>83</v>
      </c>
      <c r="D421" s="3" t="s">
        <v>897</v>
      </c>
      <c r="E421" s="3" t="s">
        <v>898</v>
      </c>
      <c r="F421" s="3" t="s">
        <v>899</v>
      </c>
      <c r="G421" s="19" t="s">
        <v>923</v>
      </c>
      <c r="H421" s="2" t="s">
        <v>88</v>
      </c>
      <c r="I421" s="4">
        <v>0</v>
      </c>
      <c r="J421" s="5">
        <v>710000000</v>
      </c>
      <c r="K421" s="5" t="s">
        <v>89</v>
      </c>
      <c r="L421" s="2" t="s">
        <v>90</v>
      </c>
      <c r="M421" s="6" t="s">
        <v>787</v>
      </c>
      <c r="N421" s="7" t="s">
        <v>92</v>
      </c>
      <c r="O421" s="7" t="s">
        <v>93</v>
      </c>
      <c r="P421" s="3" t="s">
        <v>673</v>
      </c>
      <c r="Q421" s="8">
        <v>839</v>
      </c>
      <c r="R421" s="7" t="s">
        <v>812</v>
      </c>
      <c r="S421" s="9">
        <v>6</v>
      </c>
      <c r="T421" s="9">
        <v>3125</v>
      </c>
      <c r="U421" s="9">
        <f t="shared" si="271"/>
        <v>18750</v>
      </c>
      <c r="V421" s="9">
        <f t="shared" si="239"/>
        <v>21000.000000000004</v>
      </c>
      <c r="W421" s="7"/>
      <c r="X421" s="2">
        <v>2016</v>
      </c>
      <c r="Y421" s="2"/>
    </row>
    <row r="422" spans="2:25" s="11" customFormat="1" ht="89.25" customHeight="1" outlineLevel="1" x14ac:dyDescent="0.25">
      <c r="B422" s="2" t="s">
        <v>963</v>
      </c>
      <c r="C422" s="3" t="s">
        <v>83</v>
      </c>
      <c r="D422" s="3" t="s">
        <v>964</v>
      </c>
      <c r="E422" s="3" t="s">
        <v>965</v>
      </c>
      <c r="F422" s="3" t="s">
        <v>966</v>
      </c>
      <c r="G422" s="19" t="s">
        <v>930</v>
      </c>
      <c r="H422" s="2" t="s">
        <v>88</v>
      </c>
      <c r="I422" s="4">
        <v>0</v>
      </c>
      <c r="J422" s="5">
        <v>710000000</v>
      </c>
      <c r="K422" s="5" t="s">
        <v>89</v>
      </c>
      <c r="L422" s="2" t="s">
        <v>90</v>
      </c>
      <c r="M422" s="6" t="s">
        <v>787</v>
      </c>
      <c r="N422" s="7" t="s">
        <v>92</v>
      </c>
      <c r="O422" s="7" t="s">
        <v>93</v>
      </c>
      <c r="P422" s="3" t="s">
        <v>673</v>
      </c>
      <c r="Q422" s="8">
        <v>796</v>
      </c>
      <c r="R422" s="7" t="s">
        <v>118</v>
      </c>
      <c r="S422" s="9">
        <v>1</v>
      </c>
      <c r="T422" s="9">
        <v>56861.61</v>
      </c>
      <c r="U422" s="9">
        <f t="shared" ref="U422:U447" si="272">T422*S422</f>
        <v>56861.61</v>
      </c>
      <c r="V422" s="9">
        <f t="shared" si="239"/>
        <v>63685.003200000006</v>
      </c>
      <c r="W422" s="7"/>
      <c r="X422" s="2">
        <v>2016</v>
      </c>
      <c r="Y422" s="2"/>
    </row>
    <row r="423" spans="2:25" s="11" customFormat="1" ht="89.25" customHeight="1" outlineLevel="1" x14ac:dyDescent="0.25">
      <c r="B423" s="2" t="s">
        <v>967</v>
      </c>
      <c r="C423" s="3" t="s">
        <v>83</v>
      </c>
      <c r="D423" s="3" t="s">
        <v>968</v>
      </c>
      <c r="E423" s="3" t="s">
        <v>969</v>
      </c>
      <c r="F423" s="3" t="s">
        <v>970</v>
      </c>
      <c r="G423" s="19" t="s">
        <v>930</v>
      </c>
      <c r="H423" s="2" t="s">
        <v>88</v>
      </c>
      <c r="I423" s="4">
        <v>0</v>
      </c>
      <c r="J423" s="5">
        <v>710000000</v>
      </c>
      <c r="K423" s="5" t="s">
        <v>89</v>
      </c>
      <c r="L423" s="2" t="s">
        <v>90</v>
      </c>
      <c r="M423" s="6" t="s">
        <v>787</v>
      </c>
      <c r="N423" s="7" t="s">
        <v>92</v>
      </c>
      <c r="O423" s="7" t="s">
        <v>93</v>
      </c>
      <c r="P423" s="3" t="s">
        <v>673</v>
      </c>
      <c r="Q423" s="8">
        <v>796</v>
      </c>
      <c r="R423" s="7" t="s">
        <v>118</v>
      </c>
      <c r="S423" s="9">
        <v>1</v>
      </c>
      <c r="T423" s="9">
        <v>58035.71</v>
      </c>
      <c r="U423" s="9">
        <f t="shared" si="272"/>
        <v>58035.71</v>
      </c>
      <c r="V423" s="9">
        <f t="shared" si="239"/>
        <v>64999.995200000005</v>
      </c>
      <c r="W423" s="7"/>
      <c r="X423" s="2">
        <v>2016</v>
      </c>
      <c r="Y423" s="2"/>
    </row>
    <row r="424" spans="2:25" s="11" customFormat="1" ht="89.25" customHeight="1" outlineLevel="1" x14ac:dyDescent="0.25">
      <c r="B424" s="2" t="s">
        <v>971</v>
      </c>
      <c r="C424" s="3" t="s">
        <v>83</v>
      </c>
      <c r="D424" s="3" t="s">
        <v>905</v>
      </c>
      <c r="E424" s="3" t="s">
        <v>906</v>
      </c>
      <c r="F424" s="3" t="s">
        <v>907</v>
      </c>
      <c r="G424" s="19" t="s">
        <v>930</v>
      </c>
      <c r="H424" s="2" t="s">
        <v>88</v>
      </c>
      <c r="I424" s="4">
        <v>0</v>
      </c>
      <c r="J424" s="5">
        <v>710000000</v>
      </c>
      <c r="K424" s="5" t="s">
        <v>89</v>
      </c>
      <c r="L424" s="2" t="s">
        <v>90</v>
      </c>
      <c r="M424" s="6" t="s">
        <v>787</v>
      </c>
      <c r="N424" s="7" t="s">
        <v>92</v>
      </c>
      <c r="O424" s="7" t="s">
        <v>93</v>
      </c>
      <c r="P424" s="3" t="s">
        <v>673</v>
      </c>
      <c r="Q424" s="8">
        <v>796</v>
      </c>
      <c r="R424" s="7" t="s">
        <v>118</v>
      </c>
      <c r="S424" s="9">
        <v>6</v>
      </c>
      <c r="T424" s="9">
        <v>23578.13</v>
      </c>
      <c r="U424" s="9">
        <f t="shared" si="272"/>
        <v>141468.78</v>
      </c>
      <c r="V424" s="9">
        <f t="shared" si="239"/>
        <v>158445.03360000002</v>
      </c>
      <c r="W424" s="7"/>
      <c r="X424" s="2">
        <v>2016</v>
      </c>
      <c r="Y424" s="2"/>
    </row>
    <row r="425" spans="2:25" s="11" customFormat="1" ht="89.25" customHeight="1" outlineLevel="1" x14ac:dyDescent="0.25">
      <c r="B425" s="2" t="s">
        <v>972</v>
      </c>
      <c r="C425" s="3" t="s">
        <v>83</v>
      </c>
      <c r="D425" s="3" t="s">
        <v>909</v>
      </c>
      <c r="E425" s="3" t="s">
        <v>910</v>
      </c>
      <c r="F425" s="3" t="s">
        <v>911</v>
      </c>
      <c r="G425" s="19" t="s">
        <v>930</v>
      </c>
      <c r="H425" s="2" t="s">
        <v>88</v>
      </c>
      <c r="I425" s="4">
        <v>0</v>
      </c>
      <c r="J425" s="5">
        <v>710000000</v>
      </c>
      <c r="K425" s="5" t="s">
        <v>89</v>
      </c>
      <c r="L425" s="2" t="s">
        <v>90</v>
      </c>
      <c r="M425" s="6" t="s">
        <v>787</v>
      </c>
      <c r="N425" s="7" t="s">
        <v>92</v>
      </c>
      <c r="O425" s="7" t="s">
        <v>93</v>
      </c>
      <c r="P425" s="3" t="s">
        <v>673</v>
      </c>
      <c r="Q425" s="8">
        <v>796</v>
      </c>
      <c r="R425" s="7" t="s">
        <v>118</v>
      </c>
      <c r="S425" s="9">
        <v>4</v>
      </c>
      <c r="T425" s="9">
        <v>11199.86</v>
      </c>
      <c r="U425" s="9">
        <f t="shared" si="272"/>
        <v>44799.44</v>
      </c>
      <c r="V425" s="9">
        <f t="shared" si="239"/>
        <v>50175.372800000005</v>
      </c>
      <c r="W425" s="7"/>
      <c r="X425" s="2">
        <v>2016</v>
      </c>
      <c r="Y425" s="2"/>
    </row>
    <row r="426" spans="2:25" s="11" customFormat="1" ht="89.25" customHeight="1" outlineLevel="1" x14ac:dyDescent="0.25">
      <c r="B426" s="2" t="s">
        <v>973</v>
      </c>
      <c r="C426" s="3" t="s">
        <v>83</v>
      </c>
      <c r="D426" s="3" t="s">
        <v>871</v>
      </c>
      <c r="E426" s="3" t="s">
        <v>872</v>
      </c>
      <c r="F426" s="3" t="s">
        <v>873</v>
      </c>
      <c r="G426" s="19" t="s">
        <v>930</v>
      </c>
      <c r="H426" s="2" t="s">
        <v>88</v>
      </c>
      <c r="I426" s="4">
        <v>0</v>
      </c>
      <c r="J426" s="5">
        <v>710000000</v>
      </c>
      <c r="K426" s="5" t="s">
        <v>89</v>
      </c>
      <c r="L426" s="2" t="s">
        <v>90</v>
      </c>
      <c r="M426" s="6" t="s">
        <v>787</v>
      </c>
      <c r="N426" s="7" t="s">
        <v>92</v>
      </c>
      <c r="O426" s="7" t="s">
        <v>93</v>
      </c>
      <c r="P426" s="3" t="s">
        <v>673</v>
      </c>
      <c r="Q426" s="8">
        <v>796</v>
      </c>
      <c r="R426" s="7" t="s">
        <v>118</v>
      </c>
      <c r="S426" s="9">
        <v>6</v>
      </c>
      <c r="T426" s="9">
        <v>4763.3900000000003</v>
      </c>
      <c r="U426" s="9">
        <f t="shared" si="272"/>
        <v>28580.340000000004</v>
      </c>
      <c r="V426" s="9">
        <f t="shared" si="239"/>
        <v>32009.980800000008</v>
      </c>
      <c r="W426" s="7"/>
      <c r="X426" s="2">
        <v>2016</v>
      </c>
      <c r="Y426" s="2"/>
    </row>
    <row r="427" spans="2:25" s="11" customFormat="1" ht="89.25" customHeight="1" outlineLevel="1" x14ac:dyDescent="0.25">
      <c r="B427" s="2" t="s">
        <v>974</v>
      </c>
      <c r="C427" s="3" t="s">
        <v>83</v>
      </c>
      <c r="D427" s="3" t="s">
        <v>975</v>
      </c>
      <c r="E427" s="3" t="s">
        <v>976</v>
      </c>
      <c r="F427" s="3" t="s">
        <v>977</v>
      </c>
      <c r="G427" s="19" t="s">
        <v>930</v>
      </c>
      <c r="H427" s="2" t="s">
        <v>88</v>
      </c>
      <c r="I427" s="4">
        <v>0</v>
      </c>
      <c r="J427" s="5">
        <v>710000000</v>
      </c>
      <c r="K427" s="5" t="s">
        <v>89</v>
      </c>
      <c r="L427" s="2" t="s">
        <v>90</v>
      </c>
      <c r="M427" s="6" t="s">
        <v>787</v>
      </c>
      <c r="N427" s="7" t="s">
        <v>92</v>
      </c>
      <c r="O427" s="7" t="s">
        <v>93</v>
      </c>
      <c r="P427" s="3" t="s">
        <v>673</v>
      </c>
      <c r="Q427" s="8">
        <v>796</v>
      </c>
      <c r="R427" s="7" t="s">
        <v>118</v>
      </c>
      <c r="S427" s="9">
        <v>6</v>
      </c>
      <c r="T427" s="9">
        <v>8152.01</v>
      </c>
      <c r="U427" s="9">
        <f t="shared" si="272"/>
        <v>48912.06</v>
      </c>
      <c r="V427" s="9">
        <f t="shared" ref="V427:V490" si="273">U427*1.12</f>
        <v>54781.5072</v>
      </c>
      <c r="W427" s="7"/>
      <c r="X427" s="2">
        <v>2016</v>
      </c>
      <c r="Y427" s="2"/>
    </row>
    <row r="428" spans="2:25" s="11" customFormat="1" ht="89.25" customHeight="1" outlineLevel="1" x14ac:dyDescent="0.25">
      <c r="B428" s="2" t="s">
        <v>978</v>
      </c>
      <c r="C428" s="3" t="s">
        <v>83</v>
      </c>
      <c r="D428" s="3" t="s">
        <v>979</v>
      </c>
      <c r="E428" s="3" t="s">
        <v>980</v>
      </c>
      <c r="F428" s="3" t="s">
        <v>981</v>
      </c>
      <c r="G428" s="19" t="s">
        <v>982</v>
      </c>
      <c r="H428" s="2" t="s">
        <v>88</v>
      </c>
      <c r="I428" s="4">
        <v>0</v>
      </c>
      <c r="J428" s="5">
        <v>710000000</v>
      </c>
      <c r="K428" s="5" t="s">
        <v>89</v>
      </c>
      <c r="L428" s="2" t="s">
        <v>90</v>
      </c>
      <c r="M428" s="6" t="s">
        <v>787</v>
      </c>
      <c r="N428" s="7" t="s">
        <v>92</v>
      </c>
      <c r="O428" s="7" t="s">
        <v>93</v>
      </c>
      <c r="P428" s="3" t="s">
        <v>673</v>
      </c>
      <c r="Q428" s="8">
        <v>796</v>
      </c>
      <c r="R428" s="7" t="s">
        <v>118</v>
      </c>
      <c r="S428" s="9">
        <v>6</v>
      </c>
      <c r="T428" s="9">
        <v>6152.09</v>
      </c>
      <c r="U428" s="9">
        <f t="shared" si="272"/>
        <v>36912.54</v>
      </c>
      <c r="V428" s="9">
        <f t="shared" si="273"/>
        <v>41342.044800000003</v>
      </c>
      <c r="W428" s="7"/>
      <c r="X428" s="2">
        <v>2016</v>
      </c>
      <c r="Y428" s="2"/>
    </row>
    <row r="429" spans="2:25" s="11" customFormat="1" ht="89.25" customHeight="1" outlineLevel="1" x14ac:dyDescent="0.25">
      <c r="B429" s="2" t="s">
        <v>983</v>
      </c>
      <c r="C429" s="3" t="s">
        <v>83</v>
      </c>
      <c r="D429" s="3" t="s">
        <v>913</v>
      </c>
      <c r="E429" s="3" t="s">
        <v>914</v>
      </c>
      <c r="F429" s="3" t="s">
        <v>915</v>
      </c>
      <c r="G429" s="19" t="s">
        <v>923</v>
      </c>
      <c r="H429" s="2" t="s">
        <v>88</v>
      </c>
      <c r="I429" s="4">
        <v>0</v>
      </c>
      <c r="J429" s="5">
        <v>710000000</v>
      </c>
      <c r="K429" s="5" t="s">
        <v>89</v>
      </c>
      <c r="L429" s="2" t="s">
        <v>90</v>
      </c>
      <c r="M429" s="6" t="s">
        <v>787</v>
      </c>
      <c r="N429" s="7" t="s">
        <v>92</v>
      </c>
      <c r="O429" s="7" t="s">
        <v>93</v>
      </c>
      <c r="P429" s="3" t="s">
        <v>673</v>
      </c>
      <c r="Q429" s="8" t="s">
        <v>861</v>
      </c>
      <c r="R429" s="7" t="s">
        <v>812</v>
      </c>
      <c r="S429" s="9">
        <v>5</v>
      </c>
      <c r="T429" s="9">
        <v>5803.57</v>
      </c>
      <c r="U429" s="9">
        <f t="shared" si="272"/>
        <v>29017.85</v>
      </c>
      <c r="V429" s="9">
        <f t="shared" si="273"/>
        <v>32499.992000000002</v>
      </c>
      <c r="W429" s="7"/>
      <c r="X429" s="2">
        <v>2016</v>
      </c>
      <c r="Y429" s="2"/>
    </row>
    <row r="430" spans="2:25" s="11" customFormat="1" ht="89.25" customHeight="1" outlineLevel="1" x14ac:dyDescent="0.25">
      <c r="B430" s="2" t="s">
        <v>984</v>
      </c>
      <c r="C430" s="3" t="s">
        <v>83</v>
      </c>
      <c r="D430" s="3" t="s">
        <v>840</v>
      </c>
      <c r="E430" s="3" t="s">
        <v>841</v>
      </c>
      <c r="F430" s="3" t="s">
        <v>842</v>
      </c>
      <c r="G430" s="19" t="s">
        <v>985</v>
      </c>
      <c r="H430" s="2" t="s">
        <v>88</v>
      </c>
      <c r="I430" s="4">
        <v>0</v>
      </c>
      <c r="J430" s="5">
        <v>710000000</v>
      </c>
      <c r="K430" s="5" t="s">
        <v>89</v>
      </c>
      <c r="L430" s="2" t="s">
        <v>90</v>
      </c>
      <c r="M430" s="6" t="s">
        <v>787</v>
      </c>
      <c r="N430" s="7" t="s">
        <v>92</v>
      </c>
      <c r="O430" s="7" t="s">
        <v>93</v>
      </c>
      <c r="P430" s="3" t="s">
        <v>673</v>
      </c>
      <c r="Q430" s="8">
        <v>796</v>
      </c>
      <c r="R430" s="7" t="s">
        <v>118</v>
      </c>
      <c r="S430" s="9">
        <v>30</v>
      </c>
      <c r="T430" s="9">
        <v>2928.91</v>
      </c>
      <c r="U430" s="9">
        <f t="shared" si="272"/>
        <v>87867.299999999988</v>
      </c>
      <c r="V430" s="9">
        <f t="shared" si="273"/>
        <v>98411.375999999989</v>
      </c>
      <c r="W430" s="7"/>
      <c r="X430" s="2">
        <v>2016</v>
      </c>
      <c r="Y430" s="2"/>
    </row>
    <row r="431" spans="2:25" s="11" customFormat="1" ht="89.25" customHeight="1" outlineLevel="1" x14ac:dyDescent="0.25">
      <c r="B431" s="2" t="s">
        <v>986</v>
      </c>
      <c r="C431" s="3" t="s">
        <v>83</v>
      </c>
      <c r="D431" s="3" t="s">
        <v>840</v>
      </c>
      <c r="E431" s="3" t="s">
        <v>841</v>
      </c>
      <c r="F431" s="3" t="s">
        <v>842</v>
      </c>
      <c r="G431" s="19" t="s">
        <v>987</v>
      </c>
      <c r="H431" s="2" t="s">
        <v>88</v>
      </c>
      <c r="I431" s="4">
        <v>0</v>
      </c>
      <c r="J431" s="5">
        <v>710000000</v>
      </c>
      <c r="K431" s="5" t="s">
        <v>89</v>
      </c>
      <c r="L431" s="2" t="s">
        <v>90</v>
      </c>
      <c r="M431" s="6" t="s">
        <v>787</v>
      </c>
      <c r="N431" s="7" t="s">
        <v>92</v>
      </c>
      <c r="O431" s="7" t="s">
        <v>93</v>
      </c>
      <c r="P431" s="3" t="s">
        <v>673</v>
      </c>
      <c r="Q431" s="8">
        <v>796</v>
      </c>
      <c r="R431" s="7" t="s">
        <v>118</v>
      </c>
      <c r="S431" s="9">
        <v>16</v>
      </c>
      <c r="T431" s="9">
        <v>2970.7</v>
      </c>
      <c r="U431" s="9">
        <f t="shared" si="272"/>
        <v>47531.199999999997</v>
      </c>
      <c r="V431" s="9">
        <f t="shared" si="273"/>
        <v>53234.944000000003</v>
      </c>
      <c r="W431" s="7"/>
      <c r="X431" s="2">
        <v>2016</v>
      </c>
      <c r="Y431" s="2"/>
    </row>
    <row r="432" spans="2:25" s="11" customFormat="1" ht="89.25" customHeight="1" outlineLevel="1" x14ac:dyDescent="0.25">
      <c r="B432" s="2" t="s">
        <v>988</v>
      </c>
      <c r="C432" s="3" t="s">
        <v>83</v>
      </c>
      <c r="D432" s="3" t="s">
        <v>847</v>
      </c>
      <c r="E432" s="3" t="s">
        <v>848</v>
      </c>
      <c r="F432" s="3" t="s">
        <v>849</v>
      </c>
      <c r="G432" s="19" t="s">
        <v>989</v>
      </c>
      <c r="H432" s="2" t="s">
        <v>88</v>
      </c>
      <c r="I432" s="4">
        <v>0</v>
      </c>
      <c r="J432" s="5">
        <v>710000000</v>
      </c>
      <c r="K432" s="5" t="s">
        <v>89</v>
      </c>
      <c r="L432" s="2" t="s">
        <v>90</v>
      </c>
      <c r="M432" s="6" t="s">
        <v>787</v>
      </c>
      <c r="N432" s="7" t="s">
        <v>92</v>
      </c>
      <c r="O432" s="7" t="s">
        <v>93</v>
      </c>
      <c r="P432" s="3" t="s">
        <v>673</v>
      </c>
      <c r="Q432" s="8">
        <v>796</v>
      </c>
      <c r="R432" s="7" t="s">
        <v>118</v>
      </c>
      <c r="S432" s="9">
        <v>2</v>
      </c>
      <c r="T432" s="9">
        <v>17349.71</v>
      </c>
      <c r="U432" s="9">
        <f t="shared" si="272"/>
        <v>34699.42</v>
      </c>
      <c r="V432" s="9">
        <f t="shared" si="273"/>
        <v>38863.350400000003</v>
      </c>
      <c r="W432" s="7"/>
      <c r="X432" s="2">
        <v>2016</v>
      </c>
      <c r="Y432" s="2"/>
    </row>
    <row r="433" spans="2:25" s="11" customFormat="1" ht="89.25" customHeight="1" outlineLevel="1" x14ac:dyDescent="0.25">
      <c r="B433" s="2" t="s">
        <v>990</v>
      </c>
      <c r="C433" s="3" t="s">
        <v>83</v>
      </c>
      <c r="D433" s="3" t="s">
        <v>852</v>
      </c>
      <c r="E433" s="3" t="s">
        <v>853</v>
      </c>
      <c r="F433" s="3" t="s">
        <v>854</v>
      </c>
      <c r="G433" s="19" t="s">
        <v>991</v>
      </c>
      <c r="H433" s="2" t="s">
        <v>88</v>
      </c>
      <c r="I433" s="4">
        <v>0</v>
      </c>
      <c r="J433" s="5">
        <v>710000000</v>
      </c>
      <c r="K433" s="5" t="s">
        <v>89</v>
      </c>
      <c r="L433" s="2" t="s">
        <v>90</v>
      </c>
      <c r="M433" s="6" t="s">
        <v>787</v>
      </c>
      <c r="N433" s="7" t="s">
        <v>92</v>
      </c>
      <c r="O433" s="7" t="s">
        <v>93</v>
      </c>
      <c r="P433" s="3" t="s">
        <v>673</v>
      </c>
      <c r="Q433" s="8">
        <v>796</v>
      </c>
      <c r="R433" s="7" t="s">
        <v>118</v>
      </c>
      <c r="S433" s="9">
        <v>2</v>
      </c>
      <c r="T433" s="9">
        <v>16250.89</v>
      </c>
      <c r="U433" s="9">
        <f t="shared" si="272"/>
        <v>32501.78</v>
      </c>
      <c r="V433" s="9">
        <f t="shared" si="273"/>
        <v>36401.993600000002</v>
      </c>
      <c r="W433" s="7"/>
      <c r="X433" s="2">
        <v>2016</v>
      </c>
      <c r="Y433" s="2"/>
    </row>
    <row r="434" spans="2:25" s="11" customFormat="1" ht="89.25" customHeight="1" outlineLevel="1" x14ac:dyDescent="0.25">
      <c r="B434" s="2" t="s">
        <v>992</v>
      </c>
      <c r="C434" s="3" t="s">
        <v>83</v>
      </c>
      <c r="D434" s="3" t="s">
        <v>857</v>
      </c>
      <c r="E434" s="3" t="s">
        <v>858</v>
      </c>
      <c r="F434" s="3" t="s">
        <v>859</v>
      </c>
      <c r="G434" s="19" t="s">
        <v>923</v>
      </c>
      <c r="H434" s="2" t="s">
        <v>88</v>
      </c>
      <c r="I434" s="4">
        <v>0</v>
      </c>
      <c r="J434" s="5">
        <v>710000000</v>
      </c>
      <c r="K434" s="5" t="s">
        <v>89</v>
      </c>
      <c r="L434" s="2" t="s">
        <v>90</v>
      </c>
      <c r="M434" s="6" t="s">
        <v>787</v>
      </c>
      <c r="N434" s="7" t="s">
        <v>92</v>
      </c>
      <c r="O434" s="7" t="s">
        <v>93</v>
      </c>
      <c r="P434" s="3" t="s">
        <v>673</v>
      </c>
      <c r="Q434" s="8" t="s">
        <v>861</v>
      </c>
      <c r="R434" s="7" t="s">
        <v>812</v>
      </c>
      <c r="S434" s="9">
        <v>2</v>
      </c>
      <c r="T434" s="9">
        <v>6232.85</v>
      </c>
      <c r="U434" s="9">
        <f t="shared" si="272"/>
        <v>12465.7</v>
      </c>
      <c r="V434" s="9">
        <f t="shared" si="273"/>
        <v>13961.584000000003</v>
      </c>
      <c r="W434" s="7"/>
      <c r="X434" s="2">
        <v>2016</v>
      </c>
      <c r="Y434" s="2"/>
    </row>
    <row r="435" spans="2:25" s="11" customFormat="1" ht="89.25" customHeight="1" outlineLevel="1" x14ac:dyDescent="0.25">
      <c r="B435" s="2" t="s">
        <v>993</v>
      </c>
      <c r="C435" s="3" t="s">
        <v>83</v>
      </c>
      <c r="D435" s="3" t="s">
        <v>863</v>
      </c>
      <c r="E435" s="3" t="s">
        <v>864</v>
      </c>
      <c r="F435" s="3" t="s">
        <v>865</v>
      </c>
      <c r="G435" s="19" t="s">
        <v>923</v>
      </c>
      <c r="H435" s="2" t="s">
        <v>88</v>
      </c>
      <c r="I435" s="4">
        <v>0</v>
      </c>
      <c r="J435" s="5">
        <v>710000000</v>
      </c>
      <c r="K435" s="5" t="s">
        <v>89</v>
      </c>
      <c r="L435" s="2" t="s">
        <v>90</v>
      </c>
      <c r="M435" s="6" t="s">
        <v>787</v>
      </c>
      <c r="N435" s="7" t="s">
        <v>92</v>
      </c>
      <c r="O435" s="7" t="s">
        <v>93</v>
      </c>
      <c r="P435" s="3" t="s">
        <v>673</v>
      </c>
      <c r="Q435" s="8">
        <v>796</v>
      </c>
      <c r="R435" s="7" t="s">
        <v>118</v>
      </c>
      <c r="S435" s="9">
        <v>2</v>
      </c>
      <c r="T435" s="9">
        <v>16071.43</v>
      </c>
      <c r="U435" s="9">
        <f t="shared" si="272"/>
        <v>32142.86</v>
      </c>
      <c r="V435" s="9">
        <f t="shared" si="273"/>
        <v>36000.003200000006</v>
      </c>
      <c r="W435" s="7"/>
      <c r="X435" s="2">
        <v>2016</v>
      </c>
      <c r="Y435" s="2"/>
    </row>
    <row r="436" spans="2:25" s="11" customFormat="1" ht="89.25" customHeight="1" outlineLevel="1" x14ac:dyDescent="0.25">
      <c r="B436" s="2" t="s">
        <v>994</v>
      </c>
      <c r="C436" s="3" t="s">
        <v>83</v>
      </c>
      <c r="D436" s="3" t="s">
        <v>867</v>
      </c>
      <c r="E436" s="3" t="s">
        <v>858</v>
      </c>
      <c r="F436" s="3" t="s">
        <v>868</v>
      </c>
      <c r="G436" s="19" t="s">
        <v>923</v>
      </c>
      <c r="H436" s="2" t="s">
        <v>88</v>
      </c>
      <c r="I436" s="4">
        <v>0</v>
      </c>
      <c r="J436" s="5">
        <v>710000000</v>
      </c>
      <c r="K436" s="5" t="s">
        <v>89</v>
      </c>
      <c r="L436" s="2" t="s">
        <v>90</v>
      </c>
      <c r="M436" s="6" t="s">
        <v>787</v>
      </c>
      <c r="N436" s="7" t="s">
        <v>92</v>
      </c>
      <c r="O436" s="7" t="s">
        <v>93</v>
      </c>
      <c r="P436" s="3" t="s">
        <v>673</v>
      </c>
      <c r="Q436" s="8" t="s">
        <v>861</v>
      </c>
      <c r="R436" s="7" t="s">
        <v>812</v>
      </c>
      <c r="S436" s="9">
        <v>2</v>
      </c>
      <c r="T436" s="9">
        <v>4555.25</v>
      </c>
      <c r="U436" s="9">
        <f t="shared" si="272"/>
        <v>9110.5</v>
      </c>
      <c r="V436" s="9">
        <f t="shared" si="273"/>
        <v>10203.76</v>
      </c>
      <c r="W436" s="7"/>
      <c r="X436" s="2">
        <v>2016</v>
      </c>
      <c r="Y436" s="2"/>
    </row>
    <row r="437" spans="2:25" s="11" customFormat="1" ht="89.25" customHeight="1" outlineLevel="1" x14ac:dyDescent="0.25">
      <c r="B437" s="2" t="s">
        <v>995</v>
      </c>
      <c r="C437" s="3" t="s">
        <v>83</v>
      </c>
      <c r="D437" s="3" t="s">
        <v>875</v>
      </c>
      <c r="E437" s="3" t="s">
        <v>876</v>
      </c>
      <c r="F437" s="3" t="s">
        <v>877</v>
      </c>
      <c r="G437" s="19" t="s">
        <v>923</v>
      </c>
      <c r="H437" s="2" t="s">
        <v>88</v>
      </c>
      <c r="I437" s="4">
        <v>0</v>
      </c>
      <c r="J437" s="5">
        <v>710000000</v>
      </c>
      <c r="K437" s="5" t="s">
        <v>89</v>
      </c>
      <c r="L437" s="2" t="s">
        <v>90</v>
      </c>
      <c r="M437" s="6" t="s">
        <v>787</v>
      </c>
      <c r="N437" s="7" t="s">
        <v>92</v>
      </c>
      <c r="O437" s="7" t="s">
        <v>93</v>
      </c>
      <c r="P437" s="3" t="s">
        <v>673</v>
      </c>
      <c r="Q437" s="8">
        <v>796</v>
      </c>
      <c r="R437" s="7" t="s">
        <v>118</v>
      </c>
      <c r="S437" s="9">
        <v>8</v>
      </c>
      <c r="T437" s="9">
        <v>5123.78</v>
      </c>
      <c r="U437" s="9">
        <f t="shared" si="272"/>
        <v>40990.239999999998</v>
      </c>
      <c r="V437" s="9">
        <f t="shared" si="273"/>
        <v>45909.068800000001</v>
      </c>
      <c r="W437" s="7"/>
      <c r="X437" s="2">
        <v>2016</v>
      </c>
      <c r="Y437" s="2"/>
    </row>
    <row r="438" spans="2:25" s="11" customFormat="1" ht="89.25" customHeight="1" outlineLevel="1" x14ac:dyDescent="0.25">
      <c r="B438" s="2" t="s">
        <v>996</v>
      </c>
      <c r="C438" s="3" t="s">
        <v>83</v>
      </c>
      <c r="D438" s="3" t="s">
        <v>879</v>
      </c>
      <c r="E438" s="3" t="s">
        <v>880</v>
      </c>
      <c r="F438" s="3" t="s">
        <v>881</v>
      </c>
      <c r="G438" s="19" t="s">
        <v>997</v>
      </c>
      <c r="H438" s="2" t="s">
        <v>88</v>
      </c>
      <c r="I438" s="4">
        <v>0</v>
      </c>
      <c r="J438" s="5">
        <v>710000000</v>
      </c>
      <c r="K438" s="5" t="s">
        <v>89</v>
      </c>
      <c r="L438" s="2" t="s">
        <v>90</v>
      </c>
      <c r="M438" s="6" t="s">
        <v>787</v>
      </c>
      <c r="N438" s="7" t="s">
        <v>92</v>
      </c>
      <c r="O438" s="7" t="s">
        <v>93</v>
      </c>
      <c r="P438" s="3" t="s">
        <v>673</v>
      </c>
      <c r="Q438" s="8">
        <v>796</v>
      </c>
      <c r="R438" s="7" t="s">
        <v>118</v>
      </c>
      <c r="S438" s="9">
        <v>6</v>
      </c>
      <c r="T438" s="9">
        <v>14285.71</v>
      </c>
      <c r="U438" s="9">
        <f t="shared" si="272"/>
        <v>85714.26</v>
      </c>
      <c r="V438" s="9">
        <f t="shared" si="273"/>
        <v>95999.9712</v>
      </c>
      <c r="W438" s="7"/>
      <c r="X438" s="2">
        <v>2016</v>
      </c>
      <c r="Y438" s="2"/>
    </row>
    <row r="439" spans="2:25" s="11" customFormat="1" ht="89.25" customHeight="1" outlineLevel="1" x14ac:dyDescent="0.25">
      <c r="B439" s="2" t="s">
        <v>998</v>
      </c>
      <c r="C439" s="3" t="s">
        <v>83</v>
      </c>
      <c r="D439" s="3" t="s">
        <v>879</v>
      </c>
      <c r="E439" s="3" t="s">
        <v>880</v>
      </c>
      <c r="F439" s="3" t="s">
        <v>881</v>
      </c>
      <c r="G439" s="19" t="s">
        <v>999</v>
      </c>
      <c r="H439" s="2" t="s">
        <v>88</v>
      </c>
      <c r="I439" s="4">
        <v>0</v>
      </c>
      <c r="J439" s="5">
        <v>710000000</v>
      </c>
      <c r="K439" s="5" t="s">
        <v>89</v>
      </c>
      <c r="L439" s="2" t="s">
        <v>90</v>
      </c>
      <c r="M439" s="6" t="s">
        <v>787</v>
      </c>
      <c r="N439" s="7" t="s">
        <v>92</v>
      </c>
      <c r="O439" s="7" t="s">
        <v>93</v>
      </c>
      <c r="P439" s="3" t="s">
        <v>673</v>
      </c>
      <c r="Q439" s="8">
        <v>796</v>
      </c>
      <c r="R439" s="7" t="s">
        <v>118</v>
      </c>
      <c r="S439" s="9">
        <v>6</v>
      </c>
      <c r="T439" s="9">
        <v>14285.71</v>
      </c>
      <c r="U439" s="9">
        <f t="shared" si="272"/>
        <v>85714.26</v>
      </c>
      <c r="V439" s="9">
        <f t="shared" si="273"/>
        <v>95999.9712</v>
      </c>
      <c r="W439" s="7"/>
      <c r="X439" s="2">
        <v>2016</v>
      </c>
      <c r="Y439" s="2"/>
    </row>
    <row r="440" spans="2:25" s="11" customFormat="1" ht="89.25" customHeight="1" outlineLevel="1" x14ac:dyDescent="0.25">
      <c r="B440" s="2" t="s">
        <v>1000</v>
      </c>
      <c r="C440" s="3" t="s">
        <v>83</v>
      </c>
      <c r="D440" s="3" t="s">
        <v>886</v>
      </c>
      <c r="E440" s="3" t="s">
        <v>887</v>
      </c>
      <c r="F440" s="3" t="s">
        <v>888</v>
      </c>
      <c r="G440" s="19" t="s">
        <v>1001</v>
      </c>
      <c r="H440" s="2" t="s">
        <v>88</v>
      </c>
      <c r="I440" s="4">
        <v>0</v>
      </c>
      <c r="J440" s="5">
        <v>710000000</v>
      </c>
      <c r="K440" s="5" t="s">
        <v>89</v>
      </c>
      <c r="L440" s="2" t="s">
        <v>90</v>
      </c>
      <c r="M440" s="6" t="s">
        <v>787</v>
      </c>
      <c r="N440" s="7" t="s">
        <v>92</v>
      </c>
      <c r="O440" s="7" t="s">
        <v>93</v>
      </c>
      <c r="P440" s="3" t="s">
        <v>673</v>
      </c>
      <c r="Q440" s="8">
        <v>796</v>
      </c>
      <c r="R440" s="7" t="s">
        <v>118</v>
      </c>
      <c r="S440" s="9">
        <v>8</v>
      </c>
      <c r="T440" s="9">
        <v>6728.53</v>
      </c>
      <c r="U440" s="9">
        <f t="shared" si="272"/>
        <v>53828.24</v>
      </c>
      <c r="V440" s="9">
        <f t="shared" si="273"/>
        <v>60287.628800000006</v>
      </c>
      <c r="W440" s="7"/>
      <c r="X440" s="2">
        <v>2016</v>
      </c>
      <c r="Y440" s="2"/>
    </row>
    <row r="441" spans="2:25" s="11" customFormat="1" ht="89.25" customHeight="1" outlineLevel="1" x14ac:dyDescent="0.25">
      <c r="B441" s="2" t="s">
        <v>1002</v>
      </c>
      <c r="C441" s="3" t="s">
        <v>83</v>
      </c>
      <c r="D441" s="3" t="s">
        <v>886</v>
      </c>
      <c r="E441" s="3" t="s">
        <v>887</v>
      </c>
      <c r="F441" s="3" t="s">
        <v>888</v>
      </c>
      <c r="G441" s="19" t="s">
        <v>1003</v>
      </c>
      <c r="H441" s="2" t="s">
        <v>88</v>
      </c>
      <c r="I441" s="4">
        <v>0</v>
      </c>
      <c r="J441" s="5">
        <v>710000000</v>
      </c>
      <c r="K441" s="5" t="s">
        <v>89</v>
      </c>
      <c r="L441" s="2" t="s">
        <v>90</v>
      </c>
      <c r="M441" s="6" t="s">
        <v>787</v>
      </c>
      <c r="N441" s="7" t="s">
        <v>92</v>
      </c>
      <c r="O441" s="7" t="s">
        <v>93</v>
      </c>
      <c r="P441" s="3" t="s">
        <v>673</v>
      </c>
      <c r="Q441" s="8">
        <v>796</v>
      </c>
      <c r="R441" s="7" t="s">
        <v>118</v>
      </c>
      <c r="S441" s="9">
        <v>8</v>
      </c>
      <c r="T441" s="9">
        <v>6839.35</v>
      </c>
      <c r="U441" s="9">
        <f t="shared" si="272"/>
        <v>54714.8</v>
      </c>
      <c r="V441" s="9">
        <f t="shared" si="273"/>
        <v>61280.576000000008</v>
      </c>
      <c r="W441" s="7"/>
      <c r="X441" s="2">
        <v>2016</v>
      </c>
      <c r="Y441" s="2"/>
    </row>
    <row r="442" spans="2:25" s="11" customFormat="1" ht="89.25" customHeight="1" outlineLevel="1" x14ac:dyDescent="0.25">
      <c r="B442" s="2" t="s">
        <v>1004</v>
      </c>
      <c r="C442" s="3" t="s">
        <v>83</v>
      </c>
      <c r="D442" s="3" t="s">
        <v>893</v>
      </c>
      <c r="E442" s="3" t="s">
        <v>894</v>
      </c>
      <c r="F442" s="3" t="s">
        <v>895</v>
      </c>
      <c r="G442" s="19" t="s">
        <v>923</v>
      </c>
      <c r="H442" s="2" t="s">
        <v>88</v>
      </c>
      <c r="I442" s="4">
        <v>0</v>
      </c>
      <c r="J442" s="5">
        <v>710000000</v>
      </c>
      <c r="K442" s="5" t="s">
        <v>89</v>
      </c>
      <c r="L442" s="2" t="s">
        <v>90</v>
      </c>
      <c r="M442" s="6" t="s">
        <v>787</v>
      </c>
      <c r="N442" s="7" t="s">
        <v>92</v>
      </c>
      <c r="O442" s="7" t="s">
        <v>93</v>
      </c>
      <c r="P442" s="3" t="s">
        <v>673</v>
      </c>
      <c r="Q442" s="8">
        <v>796</v>
      </c>
      <c r="R442" s="7" t="s">
        <v>118</v>
      </c>
      <c r="S442" s="9">
        <v>4</v>
      </c>
      <c r="T442" s="9">
        <v>17872.88</v>
      </c>
      <c r="U442" s="9">
        <f t="shared" si="272"/>
        <v>71491.520000000004</v>
      </c>
      <c r="V442" s="9">
        <f t="shared" si="273"/>
        <v>80070.502400000012</v>
      </c>
      <c r="W442" s="7"/>
      <c r="X442" s="2">
        <v>2016</v>
      </c>
      <c r="Y442" s="2"/>
    </row>
    <row r="443" spans="2:25" s="11" customFormat="1" ht="89.25" customHeight="1" outlineLevel="1" x14ac:dyDescent="0.25">
      <c r="B443" s="2" t="s">
        <v>1005</v>
      </c>
      <c r="C443" s="3" t="s">
        <v>83</v>
      </c>
      <c r="D443" s="3" t="s">
        <v>979</v>
      </c>
      <c r="E443" s="3" t="s">
        <v>980</v>
      </c>
      <c r="F443" s="3" t="s">
        <v>981</v>
      </c>
      <c r="G443" s="19" t="s">
        <v>923</v>
      </c>
      <c r="H443" s="2" t="s">
        <v>88</v>
      </c>
      <c r="I443" s="4">
        <v>0</v>
      </c>
      <c r="J443" s="5">
        <v>710000000</v>
      </c>
      <c r="K443" s="5" t="s">
        <v>89</v>
      </c>
      <c r="L443" s="2" t="s">
        <v>90</v>
      </c>
      <c r="M443" s="6" t="s">
        <v>787</v>
      </c>
      <c r="N443" s="7" t="s">
        <v>92</v>
      </c>
      <c r="O443" s="7" t="s">
        <v>93</v>
      </c>
      <c r="P443" s="3" t="s">
        <v>673</v>
      </c>
      <c r="Q443" s="19">
        <v>797</v>
      </c>
      <c r="R443" s="19" t="s">
        <v>118</v>
      </c>
      <c r="S443" s="9">
        <v>4</v>
      </c>
      <c r="T443" s="9">
        <v>11446.58</v>
      </c>
      <c r="U443" s="9">
        <f t="shared" si="272"/>
        <v>45786.32</v>
      </c>
      <c r="V443" s="9">
        <f t="shared" si="273"/>
        <v>51280.678400000004</v>
      </c>
      <c r="W443" s="7"/>
      <c r="X443" s="2">
        <v>2016</v>
      </c>
      <c r="Y443" s="2"/>
    </row>
    <row r="444" spans="2:25" s="11" customFormat="1" ht="89.25" customHeight="1" outlineLevel="1" x14ac:dyDescent="0.25">
      <c r="B444" s="2" t="s">
        <v>1006</v>
      </c>
      <c r="C444" s="3" t="s">
        <v>83</v>
      </c>
      <c r="D444" s="3" t="s">
        <v>1007</v>
      </c>
      <c r="E444" s="3" t="s">
        <v>980</v>
      </c>
      <c r="F444" s="3" t="s">
        <v>1008</v>
      </c>
      <c r="G444" s="19" t="s">
        <v>923</v>
      </c>
      <c r="H444" s="2" t="s">
        <v>88</v>
      </c>
      <c r="I444" s="4">
        <v>0</v>
      </c>
      <c r="J444" s="5">
        <v>710000000</v>
      </c>
      <c r="K444" s="5" t="s">
        <v>89</v>
      </c>
      <c r="L444" s="2" t="s">
        <v>90</v>
      </c>
      <c r="M444" s="6" t="s">
        <v>787</v>
      </c>
      <c r="N444" s="7" t="s">
        <v>92</v>
      </c>
      <c r="O444" s="7" t="s">
        <v>93</v>
      </c>
      <c r="P444" s="3" t="s">
        <v>673</v>
      </c>
      <c r="Q444" s="19">
        <v>798</v>
      </c>
      <c r="R444" s="19" t="s">
        <v>118</v>
      </c>
      <c r="S444" s="9">
        <v>5</v>
      </c>
      <c r="T444" s="9">
        <v>19189.95</v>
      </c>
      <c r="U444" s="9">
        <f t="shared" si="272"/>
        <v>95949.75</v>
      </c>
      <c r="V444" s="9">
        <f t="shared" si="273"/>
        <v>107463.72000000002</v>
      </c>
      <c r="W444" s="7"/>
      <c r="X444" s="2">
        <v>2016</v>
      </c>
      <c r="Y444" s="2"/>
    </row>
    <row r="445" spans="2:25" s="20" customFormat="1" ht="89.25" customHeight="1" outlineLevel="1" x14ac:dyDescent="0.25">
      <c r="B445" s="2" t="s">
        <v>1009</v>
      </c>
      <c r="C445" s="3" t="s">
        <v>83</v>
      </c>
      <c r="D445" s="3" t="s">
        <v>1010</v>
      </c>
      <c r="E445" s="3" t="s">
        <v>976</v>
      </c>
      <c r="F445" s="3" t="s">
        <v>1011</v>
      </c>
      <c r="G445" s="19" t="s">
        <v>923</v>
      </c>
      <c r="H445" s="2" t="s">
        <v>88</v>
      </c>
      <c r="I445" s="4">
        <v>0</v>
      </c>
      <c r="J445" s="5">
        <v>710000000</v>
      </c>
      <c r="K445" s="5" t="s">
        <v>89</v>
      </c>
      <c r="L445" s="2" t="s">
        <v>90</v>
      </c>
      <c r="M445" s="6" t="s">
        <v>787</v>
      </c>
      <c r="N445" s="7" t="s">
        <v>92</v>
      </c>
      <c r="O445" s="7" t="s">
        <v>93</v>
      </c>
      <c r="P445" s="3" t="s">
        <v>673</v>
      </c>
      <c r="Q445" s="19">
        <v>799</v>
      </c>
      <c r="R445" s="19" t="s">
        <v>118</v>
      </c>
      <c r="S445" s="9">
        <v>5</v>
      </c>
      <c r="T445" s="9">
        <v>14466.09</v>
      </c>
      <c r="U445" s="9">
        <f t="shared" si="272"/>
        <v>72330.45</v>
      </c>
      <c r="V445" s="9">
        <f t="shared" si="273"/>
        <v>81010.104000000007</v>
      </c>
      <c r="W445" s="7"/>
      <c r="X445" s="2">
        <v>2016</v>
      </c>
      <c r="Y445" s="2"/>
    </row>
    <row r="446" spans="2:25" s="11" customFormat="1" ht="89.25" customHeight="1" outlineLevel="1" x14ac:dyDescent="0.25">
      <c r="B446" s="2" t="s">
        <v>1012</v>
      </c>
      <c r="C446" s="3" t="s">
        <v>83</v>
      </c>
      <c r="D446" s="3" t="s">
        <v>1013</v>
      </c>
      <c r="E446" s="3" t="s">
        <v>1014</v>
      </c>
      <c r="F446" s="3" t="s">
        <v>1015</v>
      </c>
      <c r="G446" s="19" t="s">
        <v>923</v>
      </c>
      <c r="H446" s="2" t="s">
        <v>88</v>
      </c>
      <c r="I446" s="4">
        <v>0</v>
      </c>
      <c r="J446" s="5">
        <v>710000000</v>
      </c>
      <c r="K446" s="5" t="s">
        <v>89</v>
      </c>
      <c r="L446" s="2" t="s">
        <v>90</v>
      </c>
      <c r="M446" s="6" t="s">
        <v>787</v>
      </c>
      <c r="N446" s="7" t="s">
        <v>92</v>
      </c>
      <c r="O446" s="7" t="s">
        <v>93</v>
      </c>
      <c r="P446" s="3" t="s">
        <v>673</v>
      </c>
      <c r="Q446" s="8">
        <v>796</v>
      </c>
      <c r="R446" s="7" t="s">
        <v>118</v>
      </c>
      <c r="S446" s="9">
        <v>5</v>
      </c>
      <c r="T446" s="9">
        <v>3246.29</v>
      </c>
      <c r="U446" s="9">
        <f t="shared" si="272"/>
        <v>16231.45</v>
      </c>
      <c r="V446" s="9">
        <f t="shared" si="273"/>
        <v>18179.224000000002</v>
      </c>
      <c r="W446" s="7"/>
      <c r="X446" s="2">
        <v>2016</v>
      </c>
      <c r="Y446" s="2"/>
    </row>
    <row r="447" spans="2:25" s="20" customFormat="1" ht="89.25" customHeight="1" outlineLevel="1" x14ac:dyDescent="0.25">
      <c r="B447" s="2" t="s">
        <v>1016</v>
      </c>
      <c r="C447" s="3" t="s">
        <v>83</v>
      </c>
      <c r="D447" s="3" t="s">
        <v>1017</v>
      </c>
      <c r="E447" s="3" t="s">
        <v>1014</v>
      </c>
      <c r="F447" s="3" t="s">
        <v>1018</v>
      </c>
      <c r="G447" s="19" t="s">
        <v>923</v>
      </c>
      <c r="H447" s="2" t="s">
        <v>88</v>
      </c>
      <c r="I447" s="4">
        <v>0</v>
      </c>
      <c r="J447" s="5">
        <v>710000000</v>
      </c>
      <c r="K447" s="5" t="s">
        <v>89</v>
      </c>
      <c r="L447" s="2" t="s">
        <v>90</v>
      </c>
      <c r="M447" s="6" t="s">
        <v>787</v>
      </c>
      <c r="N447" s="7" t="s">
        <v>92</v>
      </c>
      <c r="O447" s="7" t="s">
        <v>93</v>
      </c>
      <c r="P447" s="3" t="s">
        <v>673</v>
      </c>
      <c r="Q447" s="8">
        <v>796</v>
      </c>
      <c r="R447" s="7" t="s">
        <v>118</v>
      </c>
      <c r="S447" s="9">
        <v>1</v>
      </c>
      <c r="T447" s="9">
        <v>13146.15</v>
      </c>
      <c r="U447" s="9">
        <f t="shared" si="272"/>
        <v>13146.15</v>
      </c>
      <c r="V447" s="9">
        <f t="shared" si="273"/>
        <v>14723.688</v>
      </c>
      <c r="W447" s="7"/>
      <c r="X447" s="2">
        <v>2016</v>
      </c>
      <c r="Y447" s="2"/>
    </row>
    <row r="448" spans="2:25" s="11" customFormat="1" ht="89.25" customHeight="1" outlineLevel="1" x14ac:dyDescent="0.25">
      <c r="B448" s="2" t="s">
        <v>1019</v>
      </c>
      <c r="C448" s="3" t="s">
        <v>83</v>
      </c>
      <c r="D448" s="3" t="s">
        <v>917</v>
      </c>
      <c r="E448" s="3" t="s">
        <v>918</v>
      </c>
      <c r="F448" s="3" t="s">
        <v>919</v>
      </c>
      <c r="G448" s="19" t="s">
        <v>923</v>
      </c>
      <c r="H448" s="2" t="s">
        <v>88</v>
      </c>
      <c r="I448" s="4">
        <v>0</v>
      </c>
      <c r="J448" s="5">
        <v>710000000</v>
      </c>
      <c r="K448" s="5" t="s">
        <v>89</v>
      </c>
      <c r="L448" s="2" t="s">
        <v>90</v>
      </c>
      <c r="M448" s="6" t="s">
        <v>787</v>
      </c>
      <c r="N448" s="7" t="s">
        <v>92</v>
      </c>
      <c r="O448" s="7" t="s">
        <v>93</v>
      </c>
      <c r="P448" s="3" t="s">
        <v>673</v>
      </c>
      <c r="Q448" s="8">
        <v>796</v>
      </c>
      <c r="R448" s="7" t="s">
        <v>118</v>
      </c>
      <c r="S448" s="9">
        <v>8</v>
      </c>
      <c r="T448" s="9">
        <v>12861.83</v>
      </c>
      <c r="U448" s="9">
        <f>S448*T448</f>
        <v>102894.64</v>
      </c>
      <c r="V448" s="9">
        <f t="shared" si="273"/>
        <v>115241.99680000001</v>
      </c>
      <c r="W448" s="7"/>
      <c r="X448" s="2">
        <v>2016</v>
      </c>
      <c r="Y448" s="2"/>
    </row>
    <row r="449" spans="2:25" s="11" customFormat="1" ht="89.25" customHeight="1" outlineLevel="1" x14ac:dyDescent="0.25">
      <c r="B449" s="2" t="s">
        <v>1020</v>
      </c>
      <c r="C449" s="3" t="s">
        <v>83</v>
      </c>
      <c r="D449" s="3" t="s">
        <v>921</v>
      </c>
      <c r="E449" s="3" t="s">
        <v>790</v>
      </c>
      <c r="F449" s="3" t="s">
        <v>922</v>
      </c>
      <c r="G449" s="19" t="s">
        <v>1021</v>
      </c>
      <c r="H449" s="2" t="s">
        <v>88</v>
      </c>
      <c r="I449" s="4">
        <v>0</v>
      </c>
      <c r="J449" s="5">
        <v>710000000</v>
      </c>
      <c r="K449" s="5" t="s">
        <v>89</v>
      </c>
      <c r="L449" s="2" t="s">
        <v>90</v>
      </c>
      <c r="M449" s="6" t="s">
        <v>787</v>
      </c>
      <c r="N449" s="7" t="s">
        <v>92</v>
      </c>
      <c r="O449" s="7" t="s">
        <v>93</v>
      </c>
      <c r="P449" s="3" t="s">
        <v>673</v>
      </c>
      <c r="Q449" s="8">
        <v>796</v>
      </c>
      <c r="R449" s="7" t="s">
        <v>118</v>
      </c>
      <c r="S449" s="9">
        <v>60</v>
      </c>
      <c r="T449" s="9">
        <v>3035.71</v>
      </c>
      <c r="U449" s="9">
        <f t="shared" ref="U449:U512" si="274">T449*S449</f>
        <v>182142.6</v>
      </c>
      <c r="V449" s="9">
        <f t="shared" si="273"/>
        <v>203999.71200000003</v>
      </c>
      <c r="W449" s="7"/>
      <c r="X449" s="2">
        <v>2016</v>
      </c>
      <c r="Y449" s="2"/>
    </row>
    <row r="450" spans="2:25" s="11" customFormat="1" ht="89.25" customHeight="1" outlineLevel="1" x14ac:dyDescent="0.25">
      <c r="B450" s="2" t="s">
        <v>1022</v>
      </c>
      <c r="C450" s="3" t="s">
        <v>83</v>
      </c>
      <c r="D450" s="3" t="s">
        <v>794</v>
      </c>
      <c r="E450" s="3" t="s">
        <v>790</v>
      </c>
      <c r="F450" s="3" t="s">
        <v>795</v>
      </c>
      <c r="G450" s="3" t="s">
        <v>1021</v>
      </c>
      <c r="H450" s="2" t="s">
        <v>88</v>
      </c>
      <c r="I450" s="4">
        <v>0</v>
      </c>
      <c r="J450" s="5">
        <v>710000000</v>
      </c>
      <c r="K450" s="3" t="s">
        <v>89</v>
      </c>
      <c r="L450" s="2" t="s">
        <v>90</v>
      </c>
      <c r="M450" s="3" t="s">
        <v>787</v>
      </c>
      <c r="N450" s="7" t="s">
        <v>92</v>
      </c>
      <c r="O450" s="7" t="s">
        <v>93</v>
      </c>
      <c r="P450" s="3" t="s">
        <v>673</v>
      </c>
      <c r="Q450" s="8">
        <v>796</v>
      </c>
      <c r="R450" s="7" t="s">
        <v>118</v>
      </c>
      <c r="S450" s="9">
        <v>60</v>
      </c>
      <c r="T450" s="9">
        <v>3601.19</v>
      </c>
      <c r="U450" s="9">
        <f t="shared" si="274"/>
        <v>216071.4</v>
      </c>
      <c r="V450" s="9">
        <f t="shared" si="273"/>
        <v>241999.96800000002</v>
      </c>
      <c r="W450" s="3"/>
      <c r="X450" s="2">
        <v>2016</v>
      </c>
      <c r="Y450" s="3"/>
    </row>
    <row r="451" spans="2:25" s="11" customFormat="1" ht="89.25" customHeight="1" outlineLevel="1" x14ac:dyDescent="0.25">
      <c r="B451" s="2" t="s">
        <v>1023</v>
      </c>
      <c r="C451" s="9" t="s">
        <v>83</v>
      </c>
      <c r="D451" s="9" t="s">
        <v>798</v>
      </c>
      <c r="E451" s="9" t="s">
        <v>790</v>
      </c>
      <c r="F451" s="9" t="s">
        <v>799</v>
      </c>
      <c r="G451" s="19" t="s">
        <v>1024</v>
      </c>
      <c r="H451" s="2" t="s">
        <v>88</v>
      </c>
      <c r="I451" s="4">
        <v>0</v>
      </c>
      <c r="J451" s="5">
        <v>710000000</v>
      </c>
      <c r="K451" s="5" t="s">
        <v>89</v>
      </c>
      <c r="L451" s="2" t="s">
        <v>90</v>
      </c>
      <c r="M451" s="6" t="s">
        <v>787</v>
      </c>
      <c r="N451" s="7" t="s">
        <v>92</v>
      </c>
      <c r="O451" s="7" t="s">
        <v>93</v>
      </c>
      <c r="P451" s="3" t="s">
        <v>673</v>
      </c>
      <c r="Q451" s="8">
        <v>796</v>
      </c>
      <c r="R451" s="7" t="s">
        <v>118</v>
      </c>
      <c r="S451" s="9">
        <v>40</v>
      </c>
      <c r="T451" s="9">
        <v>7172.62</v>
      </c>
      <c r="U451" s="9">
        <f t="shared" si="274"/>
        <v>286904.8</v>
      </c>
      <c r="V451" s="9">
        <f t="shared" si="273"/>
        <v>321333.37599999999</v>
      </c>
      <c r="W451" s="7"/>
      <c r="X451" s="2">
        <v>2016</v>
      </c>
      <c r="Y451" s="2"/>
    </row>
    <row r="452" spans="2:25" s="11" customFormat="1" ht="89.25" customHeight="1" outlineLevel="1" x14ac:dyDescent="0.25">
      <c r="B452" s="2" t="s">
        <v>1025</v>
      </c>
      <c r="C452" s="3" t="s">
        <v>83</v>
      </c>
      <c r="D452" s="3" t="s">
        <v>802</v>
      </c>
      <c r="E452" s="3" t="s">
        <v>790</v>
      </c>
      <c r="F452" s="3" t="s">
        <v>803</v>
      </c>
      <c r="G452" s="3" t="s">
        <v>1021</v>
      </c>
      <c r="H452" s="2" t="s">
        <v>88</v>
      </c>
      <c r="I452" s="4">
        <v>0</v>
      </c>
      <c r="J452" s="5">
        <v>710000000</v>
      </c>
      <c r="K452" s="3" t="s">
        <v>89</v>
      </c>
      <c r="L452" s="2" t="s">
        <v>90</v>
      </c>
      <c r="M452" s="3" t="s">
        <v>787</v>
      </c>
      <c r="N452" s="7" t="s">
        <v>92</v>
      </c>
      <c r="O452" s="7" t="s">
        <v>93</v>
      </c>
      <c r="P452" s="3" t="s">
        <v>673</v>
      </c>
      <c r="Q452" s="8">
        <v>796</v>
      </c>
      <c r="R452" s="7" t="s">
        <v>118</v>
      </c>
      <c r="S452" s="9">
        <v>20</v>
      </c>
      <c r="T452" s="9">
        <v>7708.33</v>
      </c>
      <c r="U452" s="9">
        <f t="shared" si="274"/>
        <v>154166.6</v>
      </c>
      <c r="V452" s="9">
        <f t="shared" si="273"/>
        <v>172666.59200000003</v>
      </c>
      <c r="W452" s="3"/>
      <c r="X452" s="2">
        <v>2016</v>
      </c>
      <c r="Y452" s="3"/>
    </row>
    <row r="453" spans="2:25" s="11" customFormat="1" ht="89.25" customHeight="1" outlineLevel="1" x14ac:dyDescent="0.25">
      <c r="B453" s="2" t="s">
        <v>1026</v>
      </c>
      <c r="C453" s="3" t="s">
        <v>83</v>
      </c>
      <c r="D453" s="3" t="s">
        <v>1027</v>
      </c>
      <c r="E453" s="3" t="s">
        <v>806</v>
      </c>
      <c r="F453" s="3" t="s">
        <v>1028</v>
      </c>
      <c r="G453" s="19" t="s">
        <v>1021</v>
      </c>
      <c r="H453" s="2" t="s">
        <v>88</v>
      </c>
      <c r="I453" s="4">
        <v>0</v>
      </c>
      <c r="J453" s="5">
        <v>710000000</v>
      </c>
      <c r="K453" s="5" t="s">
        <v>89</v>
      </c>
      <c r="L453" s="2" t="s">
        <v>90</v>
      </c>
      <c r="M453" s="6" t="s">
        <v>787</v>
      </c>
      <c r="N453" s="7" t="s">
        <v>92</v>
      </c>
      <c r="O453" s="7" t="s">
        <v>93</v>
      </c>
      <c r="P453" s="3" t="s">
        <v>673</v>
      </c>
      <c r="Q453" s="8">
        <v>796</v>
      </c>
      <c r="R453" s="7" t="s">
        <v>118</v>
      </c>
      <c r="S453" s="9">
        <v>60</v>
      </c>
      <c r="T453" s="9">
        <v>2872.62</v>
      </c>
      <c r="U453" s="9">
        <f t="shared" si="274"/>
        <v>172357.19999999998</v>
      </c>
      <c r="V453" s="9">
        <f t="shared" si="273"/>
        <v>193040.06400000001</v>
      </c>
      <c r="W453" s="7"/>
      <c r="X453" s="2">
        <v>2016</v>
      </c>
      <c r="Y453" s="2"/>
    </row>
    <row r="454" spans="2:25" s="11" customFormat="1" ht="89.25" customHeight="1" outlineLevel="1" x14ac:dyDescent="0.25">
      <c r="B454" s="2" t="s">
        <v>1029</v>
      </c>
      <c r="C454" s="3" t="s">
        <v>83</v>
      </c>
      <c r="D454" s="3" t="s">
        <v>809</v>
      </c>
      <c r="E454" s="3" t="s">
        <v>810</v>
      </c>
      <c r="F454" s="3" t="s">
        <v>811</v>
      </c>
      <c r="G454" s="19" t="s">
        <v>1021</v>
      </c>
      <c r="H454" s="2" t="s">
        <v>88</v>
      </c>
      <c r="I454" s="4">
        <v>0</v>
      </c>
      <c r="J454" s="5">
        <v>710000000</v>
      </c>
      <c r="K454" s="5" t="s">
        <v>89</v>
      </c>
      <c r="L454" s="2" t="s">
        <v>90</v>
      </c>
      <c r="M454" s="6" t="s">
        <v>787</v>
      </c>
      <c r="N454" s="7" t="s">
        <v>92</v>
      </c>
      <c r="O454" s="7" t="s">
        <v>93</v>
      </c>
      <c r="P454" s="3" t="s">
        <v>673</v>
      </c>
      <c r="Q454" s="31">
        <v>839</v>
      </c>
      <c r="R454" s="5" t="s">
        <v>812</v>
      </c>
      <c r="S454" s="9">
        <v>32</v>
      </c>
      <c r="T454" s="9">
        <v>14285.71</v>
      </c>
      <c r="U454" s="9">
        <f t="shared" si="274"/>
        <v>457142.72</v>
      </c>
      <c r="V454" s="9">
        <f t="shared" si="273"/>
        <v>511999.84640000004</v>
      </c>
      <c r="W454" s="7"/>
      <c r="X454" s="2">
        <v>2016</v>
      </c>
      <c r="Y454" s="2"/>
    </row>
    <row r="455" spans="2:25" s="11" customFormat="1" ht="89.25" customHeight="1" outlineLevel="1" x14ac:dyDescent="0.25">
      <c r="B455" s="2" t="s">
        <v>1030</v>
      </c>
      <c r="C455" s="3" t="s">
        <v>83</v>
      </c>
      <c r="D455" s="3" t="s">
        <v>814</v>
      </c>
      <c r="E455" s="3" t="s">
        <v>810</v>
      </c>
      <c r="F455" s="3" t="s">
        <v>815</v>
      </c>
      <c r="G455" s="19" t="s">
        <v>1021</v>
      </c>
      <c r="H455" s="2" t="s">
        <v>88</v>
      </c>
      <c r="I455" s="4">
        <v>0</v>
      </c>
      <c r="J455" s="5">
        <v>710000000</v>
      </c>
      <c r="K455" s="5" t="s">
        <v>89</v>
      </c>
      <c r="L455" s="2" t="s">
        <v>90</v>
      </c>
      <c r="M455" s="6" t="s">
        <v>787</v>
      </c>
      <c r="N455" s="7" t="s">
        <v>92</v>
      </c>
      <c r="O455" s="7" t="s">
        <v>93</v>
      </c>
      <c r="P455" s="3" t="s">
        <v>673</v>
      </c>
      <c r="Q455" s="31">
        <v>839</v>
      </c>
      <c r="R455" s="5" t="s">
        <v>812</v>
      </c>
      <c r="S455" s="9">
        <v>32</v>
      </c>
      <c r="T455" s="9">
        <v>14285.71</v>
      </c>
      <c r="U455" s="9">
        <f t="shared" si="274"/>
        <v>457142.72</v>
      </c>
      <c r="V455" s="9">
        <f t="shared" si="273"/>
        <v>511999.84640000004</v>
      </c>
      <c r="W455" s="7"/>
      <c r="X455" s="2">
        <v>2016</v>
      </c>
      <c r="Y455" s="2"/>
    </row>
    <row r="456" spans="2:25" s="11" customFormat="1" ht="89.25" customHeight="1" outlineLevel="1" x14ac:dyDescent="0.25">
      <c r="B456" s="2" t="s">
        <v>1031</v>
      </c>
      <c r="C456" s="3" t="s">
        <v>83</v>
      </c>
      <c r="D456" s="3" t="s">
        <v>817</v>
      </c>
      <c r="E456" s="3" t="s">
        <v>818</v>
      </c>
      <c r="F456" s="3" t="s">
        <v>819</v>
      </c>
      <c r="G456" s="19" t="s">
        <v>1021</v>
      </c>
      <c r="H456" s="2" t="s">
        <v>88</v>
      </c>
      <c r="I456" s="4">
        <v>0</v>
      </c>
      <c r="J456" s="5">
        <v>710000000</v>
      </c>
      <c r="K456" s="5" t="s">
        <v>89</v>
      </c>
      <c r="L456" s="2" t="s">
        <v>90</v>
      </c>
      <c r="M456" s="6" t="s">
        <v>787</v>
      </c>
      <c r="N456" s="7" t="s">
        <v>92</v>
      </c>
      <c r="O456" s="7" t="s">
        <v>93</v>
      </c>
      <c r="P456" s="3" t="s">
        <v>673</v>
      </c>
      <c r="Q456" s="8">
        <v>796</v>
      </c>
      <c r="R456" s="7" t="s">
        <v>118</v>
      </c>
      <c r="S456" s="9">
        <v>16</v>
      </c>
      <c r="T456" s="9">
        <v>31101.19</v>
      </c>
      <c r="U456" s="9">
        <f t="shared" si="274"/>
        <v>497619.04</v>
      </c>
      <c r="V456" s="9">
        <f t="shared" si="273"/>
        <v>557333.32480000006</v>
      </c>
      <c r="W456" s="7"/>
      <c r="X456" s="2">
        <v>2016</v>
      </c>
      <c r="Y456" s="2"/>
    </row>
    <row r="457" spans="2:25" s="11" customFormat="1" ht="89.25" customHeight="1" outlineLevel="1" x14ac:dyDescent="0.25">
      <c r="B457" s="2" t="s">
        <v>1032</v>
      </c>
      <c r="C457" s="3" t="s">
        <v>83</v>
      </c>
      <c r="D457" s="3" t="s">
        <v>821</v>
      </c>
      <c r="E457" s="3" t="s">
        <v>818</v>
      </c>
      <c r="F457" s="3" t="s">
        <v>822</v>
      </c>
      <c r="G457" s="19" t="s">
        <v>1021</v>
      </c>
      <c r="H457" s="2" t="s">
        <v>88</v>
      </c>
      <c r="I457" s="4">
        <v>0</v>
      </c>
      <c r="J457" s="5">
        <v>710000000</v>
      </c>
      <c r="K457" s="5" t="s">
        <v>89</v>
      </c>
      <c r="L457" s="2" t="s">
        <v>90</v>
      </c>
      <c r="M457" s="6" t="s">
        <v>787</v>
      </c>
      <c r="N457" s="7" t="s">
        <v>92</v>
      </c>
      <c r="O457" s="7" t="s">
        <v>93</v>
      </c>
      <c r="P457" s="3" t="s">
        <v>673</v>
      </c>
      <c r="Q457" s="8">
        <v>796</v>
      </c>
      <c r="R457" s="7" t="s">
        <v>118</v>
      </c>
      <c r="S457" s="9">
        <v>16</v>
      </c>
      <c r="T457" s="9">
        <v>22633.93</v>
      </c>
      <c r="U457" s="9">
        <f t="shared" si="274"/>
        <v>362142.88</v>
      </c>
      <c r="V457" s="9">
        <f t="shared" si="273"/>
        <v>405600.02560000005</v>
      </c>
      <c r="W457" s="7"/>
      <c r="X457" s="2">
        <v>2016</v>
      </c>
      <c r="Y457" s="2"/>
    </row>
    <row r="458" spans="2:25" s="11" customFormat="1" ht="89.25" customHeight="1" outlineLevel="1" x14ac:dyDescent="0.25">
      <c r="B458" s="2" t="s">
        <v>1033</v>
      </c>
      <c r="C458" s="3" t="s">
        <v>83</v>
      </c>
      <c r="D458" s="3" t="s">
        <v>824</v>
      </c>
      <c r="E458" s="3" t="s">
        <v>825</v>
      </c>
      <c r="F458" s="3" t="s">
        <v>826</v>
      </c>
      <c r="G458" s="19" t="s">
        <v>1021</v>
      </c>
      <c r="H458" s="2" t="s">
        <v>88</v>
      </c>
      <c r="I458" s="4">
        <v>0</v>
      </c>
      <c r="J458" s="5">
        <v>710000000</v>
      </c>
      <c r="K458" s="5" t="s">
        <v>89</v>
      </c>
      <c r="L458" s="2" t="s">
        <v>90</v>
      </c>
      <c r="M458" s="6" t="s">
        <v>787</v>
      </c>
      <c r="N458" s="7" t="s">
        <v>92</v>
      </c>
      <c r="O458" s="7" t="s">
        <v>93</v>
      </c>
      <c r="P458" s="3" t="s">
        <v>673</v>
      </c>
      <c r="Q458" s="8">
        <v>796</v>
      </c>
      <c r="R458" s="7" t="s">
        <v>118</v>
      </c>
      <c r="S458" s="9">
        <v>10</v>
      </c>
      <c r="T458" s="9">
        <v>19405.02</v>
      </c>
      <c r="U458" s="9">
        <f t="shared" si="274"/>
        <v>194050.2</v>
      </c>
      <c r="V458" s="9">
        <f t="shared" si="273"/>
        <v>217336.22400000005</v>
      </c>
      <c r="W458" s="7"/>
      <c r="X458" s="2">
        <v>2016</v>
      </c>
      <c r="Y458" s="2"/>
    </row>
    <row r="459" spans="2:25" s="11" customFormat="1" ht="89.25" customHeight="1" outlineLevel="1" x14ac:dyDescent="0.25">
      <c r="B459" s="2" t="s">
        <v>1034</v>
      </c>
      <c r="C459" s="3" t="s">
        <v>83</v>
      </c>
      <c r="D459" s="3" t="s">
        <v>829</v>
      </c>
      <c r="E459" s="3" t="s">
        <v>825</v>
      </c>
      <c r="F459" s="3" t="s">
        <v>830</v>
      </c>
      <c r="G459" s="19" t="s">
        <v>1021</v>
      </c>
      <c r="H459" s="2" t="s">
        <v>88</v>
      </c>
      <c r="I459" s="4">
        <v>0</v>
      </c>
      <c r="J459" s="5">
        <v>710000000</v>
      </c>
      <c r="K459" s="5" t="s">
        <v>89</v>
      </c>
      <c r="L459" s="2" t="s">
        <v>90</v>
      </c>
      <c r="M459" s="6" t="s">
        <v>787</v>
      </c>
      <c r="N459" s="7" t="s">
        <v>92</v>
      </c>
      <c r="O459" s="7" t="s">
        <v>93</v>
      </c>
      <c r="P459" s="3" t="s">
        <v>673</v>
      </c>
      <c r="Q459" s="8">
        <v>796</v>
      </c>
      <c r="R459" s="7" t="s">
        <v>118</v>
      </c>
      <c r="S459" s="9">
        <v>10</v>
      </c>
      <c r="T459" s="9">
        <v>30368.3</v>
      </c>
      <c r="U459" s="9">
        <f t="shared" si="274"/>
        <v>303683</v>
      </c>
      <c r="V459" s="9">
        <f t="shared" si="273"/>
        <v>340124.96</v>
      </c>
      <c r="W459" s="7"/>
      <c r="X459" s="2">
        <v>2016</v>
      </c>
      <c r="Y459" s="2"/>
    </row>
    <row r="460" spans="2:25" s="11" customFormat="1" ht="89.25" customHeight="1" outlineLevel="1" x14ac:dyDescent="0.25">
      <c r="B460" s="2" t="s">
        <v>1035</v>
      </c>
      <c r="C460" s="3" t="s">
        <v>83</v>
      </c>
      <c r="D460" s="3" t="s">
        <v>832</v>
      </c>
      <c r="E460" s="3" t="s">
        <v>833</v>
      </c>
      <c r="F460" s="3" t="s">
        <v>834</v>
      </c>
      <c r="G460" s="19" t="s">
        <v>1021</v>
      </c>
      <c r="H460" s="2" t="s">
        <v>88</v>
      </c>
      <c r="I460" s="4">
        <v>0</v>
      </c>
      <c r="J460" s="5">
        <v>710000000</v>
      </c>
      <c r="K460" s="5" t="s">
        <v>89</v>
      </c>
      <c r="L460" s="2" t="s">
        <v>90</v>
      </c>
      <c r="M460" s="6" t="s">
        <v>787</v>
      </c>
      <c r="N460" s="7" t="s">
        <v>92</v>
      </c>
      <c r="O460" s="7" t="s">
        <v>93</v>
      </c>
      <c r="P460" s="3" t="s">
        <v>673</v>
      </c>
      <c r="Q460" s="8">
        <v>796</v>
      </c>
      <c r="R460" s="7" t="s">
        <v>118</v>
      </c>
      <c r="S460" s="9">
        <v>20</v>
      </c>
      <c r="T460" s="9">
        <v>7019.46</v>
      </c>
      <c r="U460" s="9">
        <f t="shared" si="274"/>
        <v>140389.20000000001</v>
      </c>
      <c r="V460" s="9">
        <f t="shared" si="273"/>
        <v>157235.90400000004</v>
      </c>
      <c r="W460" s="7"/>
      <c r="X460" s="2">
        <v>2016</v>
      </c>
      <c r="Y460" s="2"/>
    </row>
    <row r="461" spans="2:25" s="11" customFormat="1" ht="89.25" customHeight="1" outlineLevel="1" x14ac:dyDescent="0.25">
      <c r="B461" s="2" t="s">
        <v>1036</v>
      </c>
      <c r="C461" s="3" t="s">
        <v>83</v>
      </c>
      <c r="D461" s="3" t="s">
        <v>950</v>
      </c>
      <c r="E461" s="3" t="s">
        <v>944</v>
      </c>
      <c r="F461" s="3" t="s">
        <v>951</v>
      </c>
      <c r="G461" s="19" t="s">
        <v>1037</v>
      </c>
      <c r="H461" s="2" t="s">
        <v>88</v>
      </c>
      <c r="I461" s="4">
        <v>0</v>
      </c>
      <c r="J461" s="5">
        <v>710000000</v>
      </c>
      <c r="K461" s="5" t="s">
        <v>89</v>
      </c>
      <c r="L461" s="2" t="s">
        <v>90</v>
      </c>
      <c r="M461" s="6" t="s">
        <v>787</v>
      </c>
      <c r="N461" s="7" t="s">
        <v>92</v>
      </c>
      <c r="O461" s="7" t="s">
        <v>93</v>
      </c>
      <c r="P461" s="3" t="s">
        <v>673</v>
      </c>
      <c r="Q461" s="8">
        <v>796</v>
      </c>
      <c r="R461" s="7" t="s">
        <v>118</v>
      </c>
      <c r="S461" s="9">
        <v>10</v>
      </c>
      <c r="T461" s="9">
        <v>12718.15</v>
      </c>
      <c r="U461" s="9">
        <f t="shared" si="274"/>
        <v>127181.5</v>
      </c>
      <c r="V461" s="9">
        <f t="shared" si="273"/>
        <v>142443.28000000003</v>
      </c>
      <c r="W461" s="7"/>
      <c r="X461" s="2">
        <v>2016</v>
      </c>
      <c r="Y461" s="2"/>
    </row>
    <row r="462" spans="2:25" s="11" customFormat="1" ht="89.25" customHeight="1" outlineLevel="1" x14ac:dyDescent="0.25">
      <c r="B462" s="2" t="s">
        <v>1038</v>
      </c>
      <c r="C462" s="3" t="s">
        <v>83</v>
      </c>
      <c r="D462" s="3" t="s">
        <v>943</v>
      </c>
      <c r="E462" s="3" t="s">
        <v>944</v>
      </c>
      <c r="F462" s="3" t="s">
        <v>945</v>
      </c>
      <c r="G462" s="19" t="s">
        <v>1039</v>
      </c>
      <c r="H462" s="2" t="s">
        <v>88</v>
      </c>
      <c r="I462" s="4">
        <v>0</v>
      </c>
      <c r="J462" s="5">
        <v>710000000</v>
      </c>
      <c r="K462" s="5" t="s">
        <v>89</v>
      </c>
      <c r="L462" s="2" t="s">
        <v>90</v>
      </c>
      <c r="M462" s="6" t="s">
        <v>787</v>
      </c>
      <c r="N462" s="7" t="s">
        <v>92</v>
      </c>
      <c r="O462" s="7" t="s">
        <v>93</v>
      </c>
      <c r="P462" s="3" t="s">
        <v>673</v>
      </c>
      <c r="Q462" s="8">
        <v>796</v>
      </c>
      <c r="R462" s="7" t="s">
        <v>118</v>
      </c>
      <c r="S462" s="9">
        <v>10</v>
      </c>
      <c r="T462" s="9">
        <v>32142.86</v>
      </c>
      <c r="U462" s="9">
        <f t="shared" si="274"/>
        <v>321428.59999999998</v>
      </c>
      <c r="V462" s="9">
        <f t="shared" si="273"/>
        <v>360000.03200000001</v>
      </c>
      <c r="W462" s="7"/>
      <c r="X462" s="2">
        <v>2016</v>
      </c>
      <c r="Y462" s="2"/>
    </row>
    <row r="463" spans="2:25" s="11" customFormat="1" ht="89.25" customHeight="1" outlineLevel="1" x14ac:dyDescent="0.25">
      <c r="B463" s="2" t="s">
        <v>1040</v>
      </c>
      <c r="C463" s="3" t="s">
        <v>83</v>
      </c>
      <c r="D463" s="3" t="s">
        <v>943</v>
      </c>
      <c r="E463" s="3" t="s">
        <v>944</v>
      </c>
      <c r="F463" s="3" t="s">
        <v>945</v>
      </c>
      <c r="G463" s="19" t="s">
        <v>1041</v>
      </c>
      <c r="H463" s="2" t="s">
        <v>88</v>
      </c>
      <c r="I463" s="4">
        <v>0</v>
      </c>
      <c r="J463" s="5">
        <v>710000000</v>
      </c>
      <c r="K463" s="5" t="s">
        <v>89</v>
      </c>
      <c r="L463" s="2" t="s">
        <v>90</v>
      </c>
      <c r="M463" s="6" t="s">
        <v>787</v>
      </c>
      <c r="N463" s="7" t="s">
        <v>92</v>
      </c>
      <c r="O463" s="7" t="s">
        <v>93</v>
      </c>
      <c r="P463" s="3" t="s">
        <v>673</v>
      </c>
      <c r="Q463" s="8">
        <v>796</v>
      </c>
      <c r="R463" s="7" t="s">
        <v>118</v>
      </c>
      <c r="S463" s="9">
        <v>10</v>
      </c>
      <c r="T463" s="9">
        <v>28571.43</v>
      </c>
      <c r="U463" s="9">
        <f t="shared" si="274"/>
        <v>285714.3</v>
      </c>
      <c r="V463" s="9">
        <f t="shared" si="273"/>
        <v>320000.016</v>
      </c>
      <c r="W463" s="7"/>
      <c r="X463" s="2">
        <v>2016</v>
      </c>
      <c r="Y463" s="2"/>
    </row>
    <row r="464" spans="2:25" s="11" customFormat="1" ht="89.25" customHeight="1" outlineLevel="1" x14ac:dyDescent="0.25">
      <c r="B464" s="2" t="s">
        <v>1042</v>
      </c>
      <c r="C464" s="3" t="s">
        <v>83</v>
      </c>
      <c r="D464" s="3" t="s">
        <v>964</v>
      </c>
      <c r="E464" s="3" t="s">
        <v>965</v>
      </c>
      <c r="F464" s="3" t="s">
        <v>966</v>
      </c>
      <c r="G464" s="19" t="s">
        <v>1021</v>
      </c>
      <c r="H464" s="2" t="s">
        <v>88</v>
      </c>
      <c r="I464" s="4">
        <v>0</v>
      </c>
      <c r="J464" s="5">
        <v>710000000</v>
      </c>
      <c r="K464" s="5" t="s">
        <v>89</v>
      </c>
      <c r="L464" s="2" t="s">
        <v>90</v>
      </c>
      <c r="M464" s="6" t="s">
        <v>787</v>
      </c>
      <c r="N464" s="7" t="s">
        <v>92</v>
      </c>
      <c r="O464" s="7" t="s">
        <v>93</v>
      </c>
      <c r="P464" s="3" t="s">
        <v>673</v>
      </c>
      <c r="Q464" s="8">
        <v>796</v>
      </c>
      <c r="R464" s="7" t="s">
        <v>118</v>
      </c>
      <c r="S464" s="9">
        <v>2</v>
      </c>
      <c r="T464" s="9">
        <v>45758.93</v>
      </c>
      <c r="U464" s="9">
        <f t="shared" si="274"/>
        <v>91517.86</v>
      </c>
      <c r="V464" s="9">
        <f t="shared" si="273"/>
        <v>102500.00320000001</v>
      </c>
      <c r="W464" s="7"/>
      <c r="X464" s="2">
        <v>2016</v>
      </c>
      <c r="Y464" s="2"/>
    </row>
    <row r="465" spans="2:25" s="20" customFormat="1" ht="89.25" customHeight="1" outlineLevel="1" x14ac:dyDescent="0.25">
      <c r="B465" s="2" t="s">
        <v>1043</v>
      </c>
      <c r="C465" s="3" t="s">
        <v>83</v>
      </c>
      <c r="D465" s="3" t="s">
        <v>968</v>
      </c>
      <c r="E465" s="3" t="s">
        <v>969</v>
      </c>
      <c r="F465" s="3" t="s">
        <v>970</v>
      </c>
      <c r="G465" s="19" t="s">
        <v>1021</v>
      </c>
      <c r="H465" s="2" t="s">
        <v>88</v>
      </c>
      <c r="I465" s="4">
        <v>0</v>
      </c>
      <c r="J465" s="5">
        <v>710000000</v>
      </c>
      <c r="K465" s="5" t="s">
        <v>89</v>
      </c>
      <c r="L465" s="2" t="s">
        <v>90</v>
      </c>
      <c r="M465" s="6" t="s">
        <v>787</v>
      </c>
      <c r="N465" s="7" t="s">
        <v>92</v>
      </c>
      <c r="O465" s="7" t="s">
        <v>93</v>
      </c>
      <c r="P465" s="3" t="s">
        <v>673</v>
      </c>
      <c r="Q465" s="8">
        <v>796</v>
      </c>
      <c r="R465" s="7" t="s">
        <v>118</v>
      </c>
      <c r="S465" s="9">
        <v>2</v>
      </c>
      <c r="T465" s="9">
        <v>50000</v>
      </c>
      <c r="U465" s="9">
        <f t="shared" si="274"/>
        <v>100000</v>
      </c>
      <c r="V465" s="9">
        <f t="shared" si="273"/>
        <v>112000.00000000001</v>
      </c>
      <c r="W465" s="7"/>
      <c r="X465" s="2">
        <v>2016</v>
      </c>
      <c r="Y465" s="2"/>
    </row>
    <row r="466" spans="2:25" s="20" customFormat="1" ht="89.25" customHeight="1" outlineLevel="1" x14ac:dyDescent="0.25">
      <c r="B466" s="2" t="s">
        <v>1044</v>
      </c>
      <c r="C466" s="3" t="s">
        <v>83</v>
      </c>
      <c r="D466" s="3" t="s">
        <v>905</v>
      </c>
      <c r="E466" s="3" t="s">
        <v>906</v>
      </c>
      <c r="F466" s="3" t="s">
        <v>907</v>
      </c>
      <c r="G466" s="19" t="s">
        <v>1021</v>
      </c>
      <c r="H466" s="2" t="s">
        <v>88</v>
      </c>
      <c r="I466" s="4">
        <v>0</v>
      </c>
      <c r="J466" s="5">
        <v>710000000</v>
      </c>
      <c r="K466" s="5" t="s">
        <v>89</v>
      </c>
      <c r="L466" s="2" t="s">
        <v>90</v>
      </c>
      <c r="M466" s="6" t="s">
        <v>787</v>
      </c>
      <c r="N466" s="7" t="s">
        <v>92</v>
      </c>
      <c r="O466" s="7" t="s">
        <v>93</v>
      </c>
      <c r="P466" s="3" t="s">
        <v>673</v>
      </c>
      <c r="Q466" s="8">
        <v>796</v>
      </c>
      <c r="R466" s="7" t="s">
        <v>118</v>
      </c>
      <c r="S466" s="9">
        <v>6</v>
      </c>
      <c r="T466" s="9">
        <v>23125</v>
      </c>
      <c r="U466" s="9">
        <f t="shared" si="274"/>
        <v>138750</v>
      </c>
      <c r="V466" s="9">
        <f t="shared" si="273"/>
        <v>155400.00000000003</v>
      </c>
      <c r="W466" s="7"/>
      <c r="X466" s="2">
        <v>2016</v>
      </c>
      <c r="Y466" s="2"/>
    </row>
    <row r="467" spans="2:25" s="11" customFormat="1" ht="89.25" customHeight="1" outlineLevel="1" x14ac:dyDescent="0.25">
      <c r="B467" s="2" t="s">
        <v>1045</v>
      </c>
      <c r="C467" s="3" t="s">
        <v>83</v>
      </c>
      <c r="D467" s="3" t="s">
        <v>913</v>
      </c>
      <c r="E467" s="3" t="s">
        <v>914</v>
      </c>
      <c r="F467" s="3" t="s">
        <v>915</v>
      </c>
      <c r="G467" s="19" t="s">
        <v>1021</v>
      </c>
      <c r="H467" s="2" t="s">
        <v>88</v>
      </c>
      <c r="I467" s="4">
        <v>0</v>
      </c>
      <c r="J467" s="5">
        <v>710000000</v>
      </c>
      <c r="K467" s="5" t="s">
        <v>89</v>
      </c>
      <c r="L467" s="2" t="s">
        <v>90</v>
      </c>
      <c r="M467" s="6" t="s">
        <v>787</v>
      </c>
      <c r="N467" s="7" t="s">
        <v>92</v>
      </c>
      <c r="O467" s="7" t="s">
        <v>93</v>
      </c>
      <c r="P467" s="3" t="s">
        <v>673</v>
      </c>
      <c r="Q467" s="8" t="s">
        <v>861</v>
      </c>
      <c r="R467" s="7" t="s">
        <v>812</v>
      </c>
      <c r="S467" s="9">
        <v>10</v>
      </c>
      <c r="T467" s="9">
        <v>6584.78</v>
      </c>
      <c r="U467" s="9">
        <f t="shared" si="274"/>
        <v>65847.8</v>
      </c>
      <c r="V467" s="9">
        <f t="shared" si="273"/>
        <v>73749.536000000007</v>
      </c>
      <c r="W467" s="7"/>
      <c r="X467" s="2">
        <v>2016</v>
      </c>
      <c r="Y467" s="2"/>
    </row>
    <row r="468" spans="2:25" s="11" customFormat="1" ht="89.25" outlineLevel="1" x14ac:dyDescent="0.25">
      <c r="B468" s="2" t="s">
        <v>1046</v>
      </c>
      <c r="C468" s="3" t="s">
        <v>83</v>
      </c>
      <c r="D468" s="3" t="s">
        <v>921</v>
      </c>
      <c r="E468" s="3" t="s">
        <v>790</v>
      </c>
      <c r="F468" s="3" t="s">
        <v>922</v>
      </c>
      <c r="G468" s="19" t="s">
        <v>1047</v>
      </c>
      <c r="H468" s="2" t="s">
        <v>88</v>
      </c>
      <c r="I468" s="4">
        <v>0</v>
      </c>
      <c r="J468" s="5">
        <v>710000000</v>
      </c>
      <c r="K468" s="5" t="s">
        <v>89</v>
      </c>
      <c r="L468" s="2" t="s">
        <v>90</v>
      </c>
      <c r="M468" s="6" t="s">
        <v>787</v>
      </c>
      <c r="N468" s="7" t="s">
        <v>92</v>
      </c>
      <c r="O468" s="7" t="s">
        <v>93</v>
      </c>
      <c r="P468" s="3" t="s">
        <v>673</v>
      </c>
      <c r="Q468" s="8">
        <v>796</v>
      </c>
      <c r="R468" s="7" t="s">
        <v>118</v>
      </c>
      <c r="S468" s="9">
        <v>6</v>
      </c>
      <c r="T468" s="9">
        <v>3214.29</v>
      </c>
      <c r="U468" s="9">
        <f t="shared" si="274"/>
        <v>19285.739999999998</v>
      </c>
      <c r="V468" s="9">
        <f t="shared" si="273"/>
        <v>21600.0288</v>
      </c>
      <c r="W468" s="7"/>
      <c r="X468" s="2">
        <v>2016</v>
      </c>
      <c r="Y468" s="2"/>
    </row>
    <row r="469" spans="2:25" s="11" customFormat="1" ht="89.25" customHeight="1" outlineLevel="1" x14ac:dyDescent="0.25">
      <c r="B469" s="2" t="s">
        <v>1048</v>
      </c>
      <c r="C469" s="3" t="s">
        <v>83</v>
      </c>
      <c r="D469" s="3" t="s">
        <v>794</v>
      </c>
      <c r="E469" s="3" t="s">
        <v>790</v>
      </c>
      <c r="F469" s="3" t="s">
        <v>795</v>
      </c>
      <c r="G469" s="19" t="s">
        <v>1049</v>
      </c>
      <c r="H469" s="2" t="s">
        <v>88</v>
      </c>
      <c r="I469" s="4">
        <v>0</v>
      </c>
      <c r="J469" s="5">
        <v>710000000</v>
      </c>
      <c r="K469" s="5" t="s">
        <v>89</v>
      </c>
      <c r="L469" s="2" t="s">
        <v>90</v>
      </c>
      <c r="M469" s="6" t="s">
        <v>787</v>
      </c>
      <c r="N469" s="7" t="s">
        <v>92</v>
      </c>
      <c r="O469" s="7" t="s">
        <v>93</v>
      </c>
      <c r="P469" s="3" t="s">
        <v>673</v>
      </c>
      <c r="Q469" s="8">
        <v>796</v>
      </c>
      <c r="R469" s="7" t="s">
        <v>118</v>
      </c>
      <c r="S469" s="9">
        <v>6</v>
      </c>
      <c r="T469" s="9">
        <v>6220.24</v>
      </c>
      <c r="U469" s="9">
        <f t="shared" si="274"/>
        <v>37321.440000000002</v>
      </c>
      <c r="V469" s="9">
        <f t="shared" si="273"/>
        <v>41800.012800000004</v>
      </c>
      <c r="W469" s="7"/>
      <c r="X469" s="2">
        <v>2016</v>
      </c>
      <c r="Y469" s="2"/>
    </row>
    <row r="470" spans="2:25" s="11" customFormat="1" ht="89.25" customHeight="1" outlineLevel="1" x14ac:dyDescent="0.25">
      <c r="B470" s="2" t="s">
        <v>1050</v>
      </c>
      <c r="C470" s="3" t="s">
        <v>83</v>
      </c>
      <c r="D470" s="3" t="s">
        <v>798</v>
      </c>
      <c r="E470" s="3" t="s">
        <v>790</v>
      </c>
      <c r="F470" s="3" t="s">
        <v>799</v>
      </c>
      <c r="G470" s="3" t="s">
        <v>1051</v>
      </c>
      <c r="H470" s="2" t="s">
        <v>88</v>
      </c>
      <c r="I470" s="4">
        <v>0</v>
      </c>
      <c r="J470" s="5">
        <v>710000000</v>
      </c>
      <c r="K470" s="3" t="s">
        <v>89</v>
      </c>
      <c r="L470" s="2" t="s">
        <v>90</v>
      </c>
      <c r="M470" s="3" t="s">
        <v>787</v>
      </c>
      <c r="N470" s="7" t="s">
        <v>92</v>
      </c>
      <c r="O470" s="7" t="s">
        <v>93</v>
      </c>
      <c r="P470" s="3" t="s">
        <v>673</v>
      </c>
      <c r="Q470" s="8">
        <v>796</v>
      </c>
      <c r="R470" s="7" t="s">
        <v>118</v>
      </c>
      <c r="S470" s="9">
        <v>6</v>
      </c>
      <c r="T470" s="9">
        <v>8080.36</v>
      </c>
      <c r="U470" s="9">
        <f t="shared" si="274"/>
        <v>48482.159999999996</v>
      </c>
      <c r="V470" s="9">
        <f t="shared" si="273"/>
        <v>54300.019200000002</v>
      </c>
      <c r="W470" s="3"/>
      <c r="X470" s="2">
        <v>2016</v>
      </c>
      <c r="Y470" s="3"/>
    </row>
    <row r="471" spans="2:25" s="11" customFormat="1" ht="89.25" customHeight="1" outlineLevel="1" x14ac:dyDescent="0.25">
      <c r="B471" s="2" t="s">
        <v>1052</v>
      </c>
      <c r="C471" s="3" t="s">
        <v>83</v>
      </c>
      <c r="D471" s="3" t="s">
        <v>802</v>
      </c>
      <c r="E471" s="3" t="s">
        <v>790</v>
      </c>
      <c r="F471" s="3" t="s">
        <v>803</v>
      </c>
      <c r="G471" s="3" t="s">
        <v>1049</v>
      </c>
      <c r="H471" s="2" t="s">
        <v>88</v>
      </c>
      <c r="I471" s="4">
        <v>0</v>
      </c>
      <c r="J471" s="5">
        <v>710000000</v>
      </c>
      <c r="K471" s="3" t="s">
        <v>89</v>
      </c>
      <c r="L471" s="2" t="s">
        <v>90</v>
      </c>
      <c r="M471" s="3" t="s">
        <v>787</v>
      </c>
      <c r="N471" s="7" t="s">
        <v>92</v>
      </c>
      <c r="O471" s="7" t="s">
        <v>93</v>
      </c>
      <c r="P471" s="3" t="s">
        <v>673</v>
      </c>
      <c r="Q471" s="8">
        <v>796</v>
      </c>
      <c r="R471" s="7" t="s">
        <v>118</v>
      </c>
      <c r="S471" s="9">
        <v>3</v>
      </c>
      <c r="T471" s="9">
        <v>13181.55</v>
      </c>
      <c r="U471" s="9">
        <f t="shared" si="274"/>
        <v>39544.649999999994</v>
      </c>
      <c r="V471" s="9">
        <f t="shared" si="273"/>
        <v>44290.007999999994</v>
      </c>
      <c r="W471" s="3"/>
      <c r="X471" s="2">
        <v>2016</v>
      </c>
      <c r="Y471" s="3"/>
    </row>
    <row r="472" spans="2:25" s="11" customFormat="1" ht="89.25" customHeight="1" outlineLevel="1" x14ac:dyDescent="0.25">
      <c r="B472" s="2" t="s">
        <v>1053</v>
      </c>
      <c r="C472" s="3" t="s">
        <v>83</v>
      </c>
      <c r="D472" s="3" t="s">
        <v>1027</v>
      </c>
      <c r="E472" s="3" t="s">
        <v>806</v>
      </c>
      <c r="F472" s="3" t="s">
        <v>1028</v>
      </c>
      <c r="G472" s="19" t="s">
        <v>1047</v>
      </c>
      <c r="H472" s="2" t="s">
        <v>88</v>
      </c>
      <c r="I472" s="4">
        <v>0</v>
      </c>
      <c r="J472" s="5">
        <v>710000000</v>
      </c>
      <c r="K472" s="5" t="s">
        <v>89</v>
      </c>
      <c r="L472" s="2" t="s">
        <v>90</v>
      </c>
      <c r="M472" s="6" t="s">
        <v>787</v>
      </c>
      <c r="N472" s="7" t="s">
        <v>92</v>
      </c>
      <c r="O472" s="7" t="s">
        <v>93</v>
      </c>
      <c r="P472" s="3" t="s">
        <v>673</v>
      </c>
      <c r="Q472" s="8">
        <v>796</v>
      </c>
      <c r="R472" s="7" t="s">
        <v>118</v>
      </c>
      <c r="S472" s="9">
        <v>18</v>
      </c>
      <c r="T472" s="9">
        <v>2410.71</v>
      </c>
      <c r="U472" s="9">
        <f t="shared" si="274"/>
        <v>43392.78</v>
      </c>
      <c r="V472" s="9">
        <f t="shared" si="273"/>
        <v>48599.9136</v>
      </c>
      <c r="W472" s="7"/>
      <c r="X472" s="2">
        <v>2016</v>
      </c>
      <c r="Y472" s="2"/>
    </row>
    <row r="473" spans="2:25" s="20" customFormat="1" ht="89.25" customHeight="1" outlineLevel="1" x14ac:dyDescent="0.25">
      <c r="B473" s="2" t="s">
        <v>1054</v>
      </c>
      <c r="C473" s="3" t="s">
        <v>83</v>
      </c>
      <c r="D473" s="3" t="s">
        <v>809</v>
      </c>
      <c r="E473" s="3" t="s">
        <v>810</v>
      </c>
      <c r="F473" s="3" t="s">
        <v>811</v>
      </c>
      <c r="G473" s="19" t="s">
        <v>1047</v>
      </c>
      <c r="H473" s="2" t="s">
        <v>88</v>
      </c>
      <c r="I473" s="4">
        <v>0</v>
      </c>
      <c r="J473" s="5">
        <v>710000000</v>
      </c>
      <c r="K473" s="5" t="s">
        <v>89</v>
      </c>
      <c r="L473" s="2" t="s">
        <v>90</v>
      </c>
      <c r="M473" s="6" t="s">
        <v>787</v>
      </c>
      <c r="N473" s="7" t="s">
        <v>92</v>
      </c>
      <c r="O473" s="7" t="s">
        <v>93</v>
      </c>
      <c r="P473" s="3" t="s">
        <v>673</v>
      </c>
      <c r="Q473" s="31">
        <v>839</v>
      </c>
      <c r="R473" s="5" t="s">
        <v>812</v>
      </c>
      <c r="S473" s="9">
        <v>4</v>
      </c>
      <c r="T473" s="9">
        <v>12500</v>
      </c>
      <c r="U473" s="9">
        <f t="shared" si="274"/>
        <v>50000</v>
      </c>
      <c r="V473" s="9">
        <f t="shared" si="273"/>
        <v>56000.000000000007</v>
      </c>
      <c r="W473" s="7"/>
      <c r="X473" s="2">
        <v>2016</v>
      </c>
      <c r="Y473" s="2"/>
    </row>
    <row r="474" spans="2:25" s="20" customFormat="1" ht="89.25" customHeight="1" outlineLevel="1" x14ac:dyDescent="0.25">
      <c r="B474" s="2" t="s">
        <v>1055</v>
      </c>
      <c r="C474" s="3" t="s">
        <v>83</v>
      </c>
      <c r="D474" s="3" t="s">
        <v>814</v>
      </c>
      <c r="E474" s="3" t="s">
        <v>810</v>
      </c>
      <c r="F474" s="3" t="s">
        <v>815</v>
      </c>
      <c r="G474" s="19" t="s">
        <v>1047</v>
      </c>
      <c r="H474" s="2" t="s">
        <v>88</v>
      </c>
      <c r="I474" s="4">
        <v>0</v>
      </c>
      <c r="J474" s="5">
        <v>710000000</v>
      </c>
      <c r="K474" s="5" t="s">
        <v>89</v>
      </c>
      <c r="L474" s="2" t="s">
        <v>90</v>
      </c>
      <c r="M474" s="6" t="s">
        <v>787</v>
      </c>
      <c r="N474" s="7" t="s">
        <v>92</v>
      </c>
      <c r="O474" s="7" t="s">
        <v>93</v>
      </c>
      <c r="P474" s="3" t="s">
        <v>673</v>
      </c>
      <c r="Q474" s="31">
        <v>839</v>
      </c>
      <c r="R474" s="5" t="s">
        <v>812</v>
      </c>
      <c r="S474" s="9">
        <v>4</v>
      </c>
      <c r="T474" s="9">
        <v>10714.29</v>
      </c>
      <c r="U474" s="9">
        <f t="shared" si="274"/>
        <v>42857.16</v>
      </c>
      <c r="V474" s="9">
        <f t="shared" si="273"/>
        <v>48000.01920000001</v>
      </c>
      <c r="W474" s="7"/>
      <c r="X474" s="2">
        <v>2016</v>
      </c>
      <c r="Y474" s="2"/>
    </row>
    <row r="475" spans="2:25" s="11" customFormat="1" ht="89.25" customHeight="1" outlineLevel="1" x14ac:dyDescent="0.25">
      <c r="B475" s="2" t="s">
        <v>1056</v>
      </c>
      <c r="C475" s="3" t="s">
        <v>83</v>
      </c>
      <c r="D475" s="3" t="s">
        <v>817</v>
      </c>
      <c r="E475" s="3" t="s">
        <v>818</v>
      </c>
      <c r="F475" s="3" t="s">
        <v>819</v>
      </c>
      <c r="G475" s="19" t="s">
        <v>1047</v>
      </c>
      <c r="H475" s="2" t="s">
        <v>88</v>
      </c>
      <c r="I475" s="4">
        <v>0</v>
      </c>
      <c r="J475" s="5">
        <v>710000000</v>
      </c>
      <c r="K475" s="5" t="s">
        <v>89</v>
      </c>
      <c r="L475" s="2" t="s">
        <v>90</v>
      </c>
      <c r="M475" s="6" t="s">
        <v>787</v>
      </c>
      <c r="N475" s="7" t="s">
        <v>92</v>
      </c>
      <c r="O475" s="7" t="s">
        <v>93</v>
      </c>
      <c r="P475" s="3" t="s">
        <v>673</v>
      </c>
      <c r="Q475" s="8">
        <v>796</v>
      </c>
      <c r="R475" s="7" t="s">
        <v>118</v>
      </c>
      <c r="S475" s="9">
        <v>2</v>
      </c>
      <c r="T475" s="9">
        <v>23684.52</v>
      </c>
      <c r="U475" s="9">
        <f t="shared" si="274"/>
        <v>47369.04</v>
      </c>
      <c r="V475" s="9">
        <f t="shared" si="273"/>
        <v>53053.324800000009</v>
      </c>
      <c r="W475" s="7"/>
      <c r="X475" s="2">
        <v>2016</v>
      </c>
      <c r="Y475" s="2"/>
    </row>
    <row r="476" spans="2:25" s="11" customFormat="1" ht="89.25" customHeight="1" outlineLevel="1" x14ac:dyDescent="0.25">
      <c r="B476" s="2" t="s">
        <v>1057</v>
      </c>
      <c r="C476" s="3" t="s">
        <v>83</v>
      </c>
      <c r="D476" s="3" t="s">
        <v>821</v>
      </c>
      <c r="E476" s="3" t="s">
        <v>818</v>
      </c>
      <c r="F476" s="3" t="s">
        <v>822</v>
      </c>
      <c r="G476" s="19" t="s">
        <v>1047</v>
      </c>
      <c r="H476" s="2" t="s">
        <v>88</v>
      </c>
      <c r="I476" s="4">
        <v>0</v>
      </c>
      <c r="J476" s="5">
        <v>710000000</v>
      </c>
      <c r="K476" s="5" t="s">
        <v>89</v>
      </c>
      <c r="L476" s="2" t="s">
        <v>90</v>
      </c>
      <c r="M476" s="6" t="s">
        <v>787</v>
      </c>
      <c r="N476" s="7" t="s">
        <v>92</v>
      </c>
      <c r="O476" s="7" t="s">
        <v>93</v>
      </c>
      <c r="P476" s="3" t="s">
        <v>673</v>
      </c>
      <c r="Q476" s="8">
        <v>796</v>
      </c>
      <c r="R476" s="7" t="s">
        <v>118</v>
      </c>
      <c r="S476" s="9">
        <v>2</v>
      </c>
      <c r="T476" s="9">
        <v>20907.740000000002</v>
      </c>
      <c r="U476" s="9">
        <f t="shared" si="274"/>
        <v>41815.480000000003</v>
      </c>
      <c r="V476" s="9">
        <f t="shared" si="273"/>
        <v>46833.337600000006</v>
      </c>
      <c r="W476" s="7"/>
      <c r="X476" s="2">
        <v>2016</v>
      </c>
      <c r="Y476" s="2"/>
    </row>
    <row r="477" spans="2:25" s="11" customFormat="1" ht="89.25" customHeight="1" outlineLevel="1" x14ac:dyDescent="0.25">
      <c r="B477" s="2" t="s">
        <v>1058</v>
      </c>
      <c r="C477" s="3" t="s">
        <v>83</v>
      </c>
      <c r="D477" s="3" t="s">
        <v>824</v>
      </c>
      <c r="E477" s="3" t="s">
        <v>825</v>
      </c>
      <c r="F477" s="3" t="s">
        <v>826</v>
      </c>
      <c r="G477" s="19" t="s">
        <v>1049</v>
      </c>
      <c r="H477" s="2" t="s">
        <v>88</v>
      </c>
      <c r="I477" s="4">
        <v>0</v>
      </c>
      <c r="J477" s="5">
        <v>710000000</v>
      </c>
      <c r="K477" s="5" t="s">
        <v>89</v>
      </c>
      <c r="L477" s="2" t="s">
        <v>90</v>
      </c>
      <c r="M477" s="6" t="s">
        <v>787</v>
      </c>
      <c r="N477" s="7" t="s">
        <v>92</v>
      </c>
      <c r="O477" s="7" t="s">
        <v>93</v>
      </c>
      <c r="P477" s="3" t="s">
        <v>673</v>
      </c>
      <c r="Q477" s="8">
        <v>796</v>
      </c>
      <c r="R477" s="7" t="s">
        <v>118</v>
      </c>
      <c r="S477" s="9">
        <v>4</v>
      </c>
      <c r="T477" s="9">
        <v>23214.29</v>
      </c>
      <c r="U477" s="9">
        <f t="shared" si="274"/>
        <v>92857.16</v>
      </c>
      <c r="V477" s="9">
        <f t="shared" si="273"/>
        <v>104000.01920000001</v>
      </c>
      <c r="W477" s="7"/>
      <c r="X477" s="2">
        <v>2016</v>
      </c>
      <c r="Y477" s="2"/>
    </row>
    <row r="478" spans="2:25" s="11" customFormat="1" ht="89.25" customHeight="1" outlineLevel="1" x14ac:dyDescent="0.25">
      <c r="B478" s="2" t="s">
        <v>1059</v>
      </c>
      <c r="C478" s="3" t="s">
        <v>83</v>
      </c>
      <c r="D478" s="3" t="s">
        <v>829</v>
      </c>
      <c r="E478" s="3" t="s">
        <v>825</v>
      </c>
      <c r="F478" s="3" t="s">
        <v>830</v>
      </c>
      <c r="G478" s="3" t="s">
        <v>1051</v>
      </c>
      <c r="H478" s="2" t="s">
        <v>88</v>
      </c>
      <c r="I478" s="4">
        <v>0</v>
      </c>
      <c r="J478" s="5">
        <v>710000000</v>
      </c>
      <c r="K478" s="3" t="s">
        <v>89</v>
      </c>
      <c r="L478" s="2" t="s">
        <v>90</v>
      </c>
      <c r="M478" s="3" t="s">
        <v>787</v>
      </c>
      <c r="N478" s="7" t="s">
        <v>92</v>
      </c>
      <c r="O478" s="7" t="s">
        <v>93</v>
      </c>
      <c r="P478" s="3" t="s">
        <v>673</v>
      </c>
      <c r="Q478" s="8">
        <v>796</v>
      </c>
      <c r="R478" s="7" t="s">
        <v>118</v>
      </c>
      <c r="S478" s="9">
        <v>4</v>
      </c>
      <c r="T478" s="9">
        <v>21428.57</v>
      </c>
      <c r="U478" s="9">
        <f t="shared" si="274"/>
        <v>85714.28</v>
      </c>
      <c r="V478" s="9">
        <f t="shared" si="273"/>
        <v>95999.993600000002</v>
      </c>
      <c r="W478" s="3"/>
      <c r="X478" s="2">
        <v>2016</v>
      </c>
      <c r="Y478" s="3"/>
    </row>
    <row r="479" spans="2:25" s="11" customFormat="1" ht="89.25" customHeight="1" outlineLevel="1" x14ac:dyDescent="0.25">
      <c r="B479" s="2" t="s">
        <v>1060</v>
      </c>
      <c r="C479" s="3" t="s">
        <v>83</v>
      </c>
      <c r="D479" s="3" t="s">
        <v>832</v>
      </c>
      <c r="E479" s="3" t="s">
        <v>833</v>
      </c>
      <c r="F479" s="3" t="s">
        <v>834</v>
      </c>
      <c r="G479" s="3" t="s">
        <v>1049</v>
      </c>
      <c r="H479" s="2" t="s">
        <v>88</v>
      </c>
      <c r="I479" s="4">
        <v>0</v>
      </c>
      <c r="J479" s="5">
        <v>710000000</v>
      </c>
      <c r="K479" s="3" t="s">
        <v>89</v>
      </c>
      <c r="L479" s="2" t="s">
        <v>90</v>
      </c>
      <c r="M479" s="3" t="s">
        <v>787</v>
      </c>
      <c r="N479" s="7" t="s">
        <v>92</v>
      </c>
      <c r="O479" s="7" t="s">
        <v>93</v>
      </c>
      <c r="P479" s="3" t="s">
        <v>673</v>
      </c>
      <c r="Q479" s="8">
        <v>796</v>
      </c>
      <c r="R479" s="7" t="s">
        <v>118</v>
      </c>
      <c r="S479" s="9">
        <v>4</v>
      </c>
      <c r="T479" s="9">
        <v>6193.08</v>
      </c>
      <c r="U479" s="9">
        <f t="shared" si="274"/>
        <v>24772.32</v>
      </c>
      <c r="V479" s="9">
        <f t="shared" si="273"/>
        <v>27744.998400000004</v>
      </c>
      <c r="W479" s="3"/>
      <c r="X479" s="2">
        <v>2016</v>
      </c>
      <c r="Y479" s="3"/>
    </row>
    <row r="480" spans="2:25" s="11" customFormat="1" ht="89.25" customHeight="1" outlineLevel="1" x14ac:dyDescent="0.25">
      <c r="B480" s="2" t="s">
        <v>1061</v>
      </c>
      <c r="C480" s="3" t="s">
        <v>83</v>
      </c>
      <c r="D480" s="3" t="s">
        <v>836</v>
      </c>
      <c r="E480" s="3" t="s">
        <v>833</v>
      </c>
      <c r="F480" s="3" t="s">
        <v>837</v>
      </c>
      <c r="G480" s="19" t="s">
        <v>1047</v>
      </c>
      <c r="H480" s="2" t="s">
        <v>88</v>
      </c>
      <c r="I480" s="4">
        <v>0</v>
      </c>
      <c r="J480" s="5">
        <v>710000000</v>
      </c>
      <c r="K480" s="5" t="s">
        <v>89</v>
      </c>
      <c r="L480" s="2" t="s">
        <v>90</v>
      </c>
      <c r="M480" s="6" t="s">
        <v>787</v>
      </c>
      <c r="N480" s="7" t="s">
        <v>92</v>
      </c>
      <c r="O480" s="7" t="s">
        <v>93</v>
      </c>
      <c r="P480" s="3" t="s">
        <v>673</v>
      </c>
      <c r="Q480" s="8">
        <v>796</v>
      </c>
      <c r="R480" s="7" t="s">
        <v>118</v>
      </c>
      <c r="S480" s="9">
        <v>4</v>
      </c>
      <c r="T480" s="9">
        <v>6360.27</v>
      </c>
      <c r="U480" s="9">
        <f t="shared" si="274"/>
        <v>25441.08</v>
      </c>
      <c r="V480" s="9">
        <f t="shared" si="273"/>
        <v>28494.009600000005</v>
      </c>
      <c r="W480" s="7"/>
      <c r="X480" s="2">
        <v>2016</v>
      </c>
      <c r="Y480" s="2"/>
    </row>
    <row r="481" spans="2:25" s="11" customFormat="1" ht="89.25" customHeight="1" outlineLevel="1" x14ac:dyDescent="0.25">
      <c r="B481" s="2" t="s">
        <v>1062</v>
      </c>
      <c r="C481" s="3" t="s">
        <v>83</v>
      </c>
      <c r="D481" s="3" t="s">
        <v>875</v>
      </c>
      <c r="E481" s="3" t="s">
        <v>876</v>
      </c>
      <c r="F481" s="3" t="s">
        <v>877</v>
      </c>
      <c r="G481" s="19" t="s">
        <v>1047</v>
      </c>
      <c r="H481" s="2" t="s">
        <v>88</v>
      </c>
      <c r="I481" s="4">
        <v>0</v>
      </c>
      <c r="J481" s="5">
        <v>710000000</v>
      </c>
      <c r="K481" s="5" t="s">
        <v>89</v>
      </c>
      <c r="L481" s="2" t="s">
        <v>90</v>
      </c>
      <c r="M481" s="6" t="s">
        <v>787</v>
      </c>
      <c r="N481" s="7" t="s">
        <v>92</v>
      </c>
      <c r="O481" s="7" t="s">
        <v>93</v>
      </c>
      <c r="P481" s="3" t="s">
        <v>673</v>
      </c>
      <c r="Q481" s="31">
        <v>796</v>
      </c>
      <c r="R481" s="5" t="s">
        <v>118</v>
      </c>
      <c r="S481" s="9">
        <v>4</v>
      </c>
      <c r="T481" s="9">
        <v>5618.53</v>
      </c>
      <c r="U481" s="9">
        <f t="shared" si="274"/>
        <v>22474.12</v>
      </c>
      <c r="V481" s="9">
        <f t="shared" si="273"/>
        <v>25171.0144</v>
      </c>
      <c r="W481" s="7"/>
      <c r="X481" s="2">
        <v>2016</v>
      </c>
      <c r="Y481" s="2"/>
    </row>
    <row r="482" spans="2:25" s="40" customFormat="1" ht="89.25" customHeight="1" outlineLevel="1" x14ac:dyDescent="0.25">
      <c r="B482" s="2" t="s">
        <v>1063</v>
      </c>
      <c r="C482" s="3" t="s">
        <v>83</v>
      </c>
      <c r="D482" s="3" t="s">
        <v>957</v>
      </c>
      <c r="E482" s="3" t="s">
        <v>958</v>
      </c>
      <c r="F482" s="3" t="s">
        <v>895</v>
      </c>
      <c r="G482" s="19" t="s">
        <v>1047</v>
      </c>
      <c r="H482" s="2" t="s">
        <v>88</v>
      </c>
      <c r="I482" s="4">
        <v>0</v>
      </c>
      <c r="J482" s="5">
        <v>710000000</v>
      </c>
      <c r="K482" s="5" t="s">
        <v>89</v>
      </c>
      <c r="L482" s="2" t="s">
        <v>90</v>
      </c>
      <c r="M482" s="6" t="s">
        <v>787</v>
      </c>
      <c r="N482" s="7" t="s">
        <v>92</v>
      </c>
      <c r="O482" s="7" t="s">
        <v>93</v>
      </c>
      <c r="P482" s="3" t="s">
        <v>673</v>
      </c>
      <c r="Q482" s="31">
        <v>796</v>
      </c>
      <c r="R482" s="5" t="s">
        <v>118</v>
      </c>
      <c r="S482" s="9">
        <v>1</v>
      </c>
      <c r="T482" s="9">
        <v>35937.5</v>
      </c>
      <c r="U482" s="9">
        <f t="shared" si="274"/>
        <v>35937.5</v>
      </c>
      <c r="V482" s="9">
        <f t="shared" si="273"/>
        <v>40250.000000000007</v>
      </c>
      <c r="W482" s="7"/>
      <c r="X482" s="2">
        <v>2016</v>
      </c>
      <c r="Y482" s="2"/>
    </row>
    <row r="483" spans="2:25" s="20" customFormat="1" ht="89.25" outlineLevel="1" x14ac:dyDescent="0.25">
      <c r="B483" s="2" t="s">
        <v>1064</v>
      </c>
      <c r="C483" s="3" t="s">
        <v>83</v>
      </c>
      <c r="D483" s="3" t="s">
        <v>913</v>
      </c>
      <c r="E483" s="3" t="s">
        <v>914</v>
      </c>
      <c r="F483" s="3" t="s">
        <v>915</v>
      </c>
      <c r="G483" s="19" t="s">
        <v>1047</v>
      </c>
      <c r="H483" s="2" t="s">
        <v>88</v>
      </c>
      <c r="I483" s="4">
        <v>0</v>
      </c>
      <c r="J483" s="5">
        <v>710000000</v>
      </c>
      <c r="K483" s="5" t="s">
        <v>89</v>
      </c>
      <c r="L483" s="2" t="s">
        <v>90</v>
      </c>
      <c r="M483" s="6" t="s">
        <v>787</v>
      </c>
      <c r="N483" s="7" t="s">
        <v>92</v>
      </c>
      <c r="O483" s="7" t="s">
        <v>93</v>
      </c>
      <c r="P483" s="3" t="s">
        <v>673</v>
      </c>
      <c r="Q483" s="8">
        <v>839</v>
      </c>
      <c r="R483" s="7" t="s">
        <v>812</v>
      </c>
      <c r="S483" s="9">
        <v>2</v>
      </c>
      <c r="T483" s="9">
        <v>7602.68</v>
      </c>
      <c r="U483" s="9">
        <f t="shared" si="274"/>
        <v>15205.36</v>
      </c>
      <c r="V483" s="9">
        <f t="shared" si="273"/>
        <v>17030.003200000003</v>
      </c>
      <c r="W483" s="7"/>
      <c r="X483" s="2">
        <v>2016</v>
      </c>
      <c r="Y483" s="2"/>
    </row>
    <row r="484" spans="2:25" s="11" customFormat="1" ht="89.25" customHeight="1" outlineLevel="1" x14ac:dyDescent="0.25">
      <c r="B484" s="2" t="s">
        <v>1065</v>
      </c>
      <c r="C484" s="3" t="s">
        <v>83</v>
      </c>
      <c r="D484" s="3" t="s">
        <v>917</v>
      </c>
      <c r="E484" s="3" t="s">
        <v>918</v>
      </c>
      <c r="F484" s="3" t="s">
        <v>919</v>
      </c>
      <c r="G484" s="19" t="s">
        <v>1047</v>
      </c>
      <c r="H484" s="2" t="s">
        <v>88</v>
      </c>
      <c r="I484" s="4">
        <v>0</v>
      </c>
      <c r="J484" s="5">
        <v>710000000</v>
      </c>
      <c r="K484" s="5" t="s">
        <v>89</v>
      </c>
      <c r="L484" s="2" t="s">
        <v>90</v>
      </c>
      <c r="M484" s="6" t="s">
        <v>787</v>
      </c>
      <c r="N484" s="7" t="s">
        <v>92</v>
      </c>
      <c r="O484" s="7" t="s">
        <v>93</v>
      </c>
      <c r="P484" s="3" t="s">
        <v>673</v>
      </c>
      <c r="Q484" s="8">
        <v>796</v>
      </c>
      <c r="R484" s="7" t="s">
        <v>118</v>
      </c>
      <c r="S484" s="9">
        <v>4</v>
      </c>
      <c r="T484" s="9">
        <v>12500</v>
      </c>
      <c r="U484" s="9">
        <f t="shared" si="274"/>
        <v>50000</v>
      </c>
      <c r="V484" s="9">
        <f t="shared" si="273"/>
        <v>56000.000000000007</v>
      </c>
      <c r="W484" s="7"/>
      <c r="X484" s="2">
        <v>2016</v>
      </c>
      <c r="Y484" s="2"/>
    </row>
    <row r="485" spans="2:25" s="11" customFormat="1" ht="89.25" outlineLevel="1" x14ac:dyDescent="0.25">
      <c r="B485" s="2" t="s">
        <v>1066</v>
      </c>
      <c r="C485" s="3" t="s">
        <v>83</v>
      </c>
      <c r="D485" s="3" t="s">
        <v>921</v>
      </c>
      <c r="E485" s="3" t="s">
        <v>790</v>
      </c>
      <c r="F485" s="3" t="s">
        <v>922</v>
      </c>
      <c r="G485" s="19" t="s">
        <v>1067</v>
      </c>
      <c r="H485" s="2" t="s">
        <v>88</v>
      </c>
      <c r="I485" s="4">
        <v>0</v>
      </c>
      <c r="J485" s="5">
        <v>710000000</v>
      </c>
      <c r="K485" s="5" t="s">
        <v>89</v>
      </c>
      <c r="L485" s="2" t="s">
        <v>90</v>
      </c>
      <c r="M485" s="6" t="s">
        <v>787</v>
      </c>
      <c r="N485" s="7" t="s">
        <v>92</v>
      </c>
      <c r="O485" s="7" t="s">
        <v>93</v>
      </c>
      <c r="P485" s="3" t="s">
        <v>673</v>
      </c>
      <c r="Q485" s="8">
        <v>796</v>
      </c>
      <c r="R485" s="7" t="s">
        <v>118</v>
      </c>
      <c r="S485" s="9">
        <v>52</v>
      </c>
      <c r="T485" s="9">
        <v>2192.7800000000002</v>
      </c>
      <c r="U485" s="9">
        <f t="shared" si="274"/>
        <v>114024.56000000001</v>
      </c>
      <c r="V485" s="9">
        <f t="shared" si="273"/>
        <v>127707.50720000002</v>
      </c>
      <c r="W485" s="7"/>
      <c r="X485" s="2">
        <v>2016</v>
      </c>
      <c r="Y485" s="2"/>
    </row>
    <row r="486" spans="2:25" s="11" customFormat="1" ht="89.25" outlineLevel="1" x14ac:dyDescent="0.25">
      <c r="B486" s="2" t="s">
        <v>1068</v>
      </c>
      <c r="C486" s="3" t="s">
        <v>83</v>
      </c>
      <c r="D486" s="3" t="s">
        <v>794</v>
      </c>
      <c r="E486" s="3" t="s">
        <v>790</v>
      </c>
      <c r="F486" s="3" t="s">
        <v>795</v>
      </c>
      <c r="G486" s="19" t="s">
        <v>1069</v>
      </c>
      <c r="H486" s="2" t="s">
        <v>88</v>
      </c>
      <c r="I486" s="4">
        <v>0</v>
      </c>
      <c r="J486" s="5">
        <v>710000000</v>
      </c>
      <c r="K486" s="5" t="s">
        <v>89</v>
      </c>
      <c r="L486" s="2" t="s">
        <v>90</v>
      </c>
      <c r="M486" s="6" t="s">
        <v>787</v>
      </c>
      <c r="N486" s="7" t="s">
        <v>92</v>
      </c>
      <c r="O486" s="7" t="s">
        <v>93</v>
      </c>
      <c r="P486" s="3" t="s">
        <v>673</v>
      </c>
      <c r="Q486" s="8">
        <v>796</v>
      </c>
      <c r="R486" s="7" t="s">
        <v>118</v>
      </c>
      <c r="S486" s="9">
        <v>34</v>
      </c>
      <c r="T486" s="9">
        <v>5580.19</v>
      </c>
      <c r="U486" s="9">
        <f t="shared" si="274"/>
        <v>189726.46</v>
      </c>
      <c r="V486" s="9">
        <f t="shared" si="273"/>
        <v>212493.63520000002</v>
      </c>
      <c r="W486" s="7"/>
      <c r="X486" s="2">
        <v>2016</v>
      </c>
      <c r="Y486" s="2"/>
    </row>
    <row r="487" spans="2:25" s="11" customFormat="1" ht="89.25" outlineLevel="1" x14ac:dyDescent="0.25">
      <c r="B487" s="2" t="s">
        <v>1070</v>
      </c>
      <c r="C487" s="9" t="s">
        <v>83</v>
      </c>
      <c r="D487" s="9" t="s">
        <v>798</v>
      </c>
      <c r="E487" s="9" t="s">
        <v>790</v>
      </c>
      <c r="F487" s="9" t="s">
        <v>799</v>
      </c>
      <c r="G487" s="9" t="s">
        <v>1069</v>
      </c>
      <c r="H487" s="2" t="s">
        <v>88</v>
      </c>
      <c r="I487" s="4">
        <v>0</v>
      </c>
      <c r="J487" s="5">
        <v>710000000</v>
      </c>
      <c r="K487" s="9" t="s">
        <v>89</v>
      </c>
      <c r="L487" s="2" t="s">
        <v>90</v>
      </c>
      <c r="M487" s="9" t="s">
        <v>787</v>
      </c>
      <c r="N487" s="7" t="s">
        <v>92</v>
      </c>
      <c r="O487" s="7" t="s">
        <v>93</v>
      </c>
      <c r="P487" s="3" t="s">
        <v>673</v>
      </c>
      <c r="Q487" s="8">
        <v>796</v>
      </c>
      <c r="R487" s="7" t="s">
        <v>118</v>
      </c>
      <c r="S487" s="9">
        <v>34</v>
      </c>
      <c r="T487" s="9">
        <v>6161.68</v>
      </c>
      <c r="U487" s="9">
        <f t="shared" si="274"/>
        <v>209497.12</v>
      </c>
      <c r="V487" s="9">
        <f t="shared" si="273"/>
        <v>234636.77440000002</v>
      </c>
      <c r="W487" s="9"/>
      <c r="X487" s="2">
        <v>2016</v>
      </c>
      <c r="Y487" s="9"/>
    </row>
    <row r="488" spans="2:25" s="11" customFormat="1" ht="89.25" outlineLevel="1" x14ac:dyDescent="0.25">
      <c r="B488" s="2" t="s">
        <v>1071</v>
      </c>
      <c r="C488" s="3" t="s">
        <v>83</v>
      </c>
      <c r="D488" s="3" t="s">
        <v>802</v>
      </c>
      <c r="E488" s="3" t="s">
        <v>790</v>
      </c>
      <c r="F488" s="3" t="s">
        <v>803</v>
      </c>
      <c r="G488" s="3" t="s">
        <v>1069</v>
      </c>
      <c r="H488" s="2" t="s">
        <v>88</v>
      </c>
      <c r="I488" s="4">
        <v>0</v>
      </c>
      <c r="J488" s="5">
        <v>710000000</v>
      </c>
      <c r="K488" s="3" t="s">
        <v>89</v>
      </c>
      <c r="L488" s="2" t="s">
        <v>90</v>
      </c>
      <c r="M488" s="3" t="s">
        <v>787</v>
      </c>
      <c r="N488" s="7" t="s">
        <v>92</v>
      </c>
      <c r="O488" s="7" t="s">
        <v>93</v>
      </c>
      <c r="P488" s="3" t="s">
        <v>673</v>
      </c>
      <c r="Q488" s="8">
        <v>796</v>
      </c>
      <c r="R488" s="7" t="s">
        <v>118</v>
      </c>
      <c r="S488" s="9">
        <v>14</v>
      </c>
      <c r="T488" s="9">
        <v>12720.9</v>
      </c>
      <c r="U488" s="9">
        <f t="shared" si="274"/>
        <v>178092.6</v>
      </c>
      <c r="V488" s="9">
        <f t="shared" si="273"/>
        <v>199463.71200000003</v>
      </c>
      <c r="W488" s="3"/>
      <c r="X488" s="2">
        <v>2016</v>
      </c>
      <c r="Y488" s="3"/>
    </row>
    <row r="489" spans="2:25" s="11" customFormat="1" ht="89.25" outlineLevel="1" x14ac:dyDescent="0.25">
      <c r="B489" s="2" t="s">
        <v>1072</v>
      </c>
      <c r="C489" s="3" t="s">
        <v>83</v>
      </c>
      <c r="D489" s="3" t="s">
        <v>805</v>
      </c>
      <c r="E489" s="3" t="s">
        <v>806</v>
      </c>
      <c r="F489" s="3" t="s">
        <v>807</v>
      </c>
      <c r="G489" s="19" t="s">
        <v>1069</v>
      </c>
      <c r="H489" s="2" t="s">
        <v>88</v>
      </c>
      <c r="I489" s="4">
        <v>0</v>
      </c>
      <c r="J489" s="5">
        <v>710000000</v>
      </c>
      <c r="K489" s="5" t="s">
        <v>89</v>
      </c>
      <c r="L489" s="2" t="s">
        <v>90</v>
      </c>
      <c r="M489" s="6" t="s">
        <v>787</v>
      </c>
      <c r="N489" s="7" t="s">
        <v>92</v>
      </c>
      <c r="O489" s="7" t="s">
        <v>93</v>
      </c>
      <c r="P489" s="3" t="s">
        <v>673</v>
      </c>
      <c r="Q489" s="8">
        <v>796</v>
      </c>
      <c r="R489" s="7" t="s">
        <v>118</v>
      </c>
      <c r="S489" s="9">
        <v>60</v>
      </c>
      <c r="T489" s="9">
        <v>2414.54</v>
      </c>
      <c r="U489" s="9">
        <f t="shared" si="274"/>
        <v>144872.4</v>
      </c>
      <c r="V489" s="9">
        <f t="shared" si="273"/>
        <v>162257.08800000002</v>
      </c>
      <c r="W489" s="7"/>
      <c r="X489" s="2">
        <v>2016</v>
      </c>
      <c r="Y489" s="2"/>
    </row>
    <row r="490" spans="2:25" s="11" customFormat="1" ht="89.25" outlineLevel="1" x14ac:dyDescent="0.25">
      <c r="B490" s="2" t="s">
        <v>1073</v>
      </c>
      <c r="C490" s="3" t="s">
        <v>83</v>
      </c>
      <c r="D490" s="3" t="s">
        <v>809</v>
      </c>
      <c r="E490" s="3" t="s">
        <v>810</v>
      </c>
      <c r="F490" s="3" t="s">
        <v>811</v>
      </c>
      <c r="G490" s="3" t="s">
        <v>1069</v>
      </c>
      <c r="H490" s="2" t="s">
        <v>88</v>
      </c>
      <c r="I490" s="4">
        <v>0</v>
      </c>
      <c r="J490" s="5">
        <v>710000000</v>
      </c>
      <c r="K490" s="5" t="s">
        <v>89</v>
      </c>
      <c r="L490" s="2" t="s">
        <v>90</v>
      </c>
      <c r="M490" s="6" t="s">
        <v>787</v>
      </c>
      <c r="N490" s="7" t="s">
        <v>92</v>
      </c>
      <c r="O490" s="7" t="s">
        <v>93</v>
      </c>
      <c r="P490" s="3" t="s">
        <v>673</v>
      </c>
      <c r="Q490" s="31">
        <v>839</v>
      </c>
      <c r="R490" s="5" t="s">
        <v>812</v>
      </c>
      <c r="S490" s="9">
        <v>26</v>
      </c>
      <c r="T490" s="9">
        <v>12301.86</v>
      </c>
      <c r="U490" s="9">
        <f t="shared" si="274"/>
        <v>319848.36</v>
      </c>
      <c r="V490" s="9">
        <f t="shared" si="273"/>
        <v>358230.16320000001</v>
      </c>
      <c r="W490" s="7"/>
      <c r="X490" s="2">
        <v>2016</v>
      </c>
      <c r="Y490" s="2"/>
    </row>
    <row r="491" spans="2:25" s="11" customFormat="1" ht="89.25" outlineLevel="1" x14ac:dyDescent="0.25">
      <c r="B491" s="2" t="s">
        <v>1074</v>
      </c>
      <c r="C491" s="3" t="s">
        <v>83</v>
      </c>
      <c r="D491" s="3" t="s">
        <v>814</v>
      </c>
      <c r="E491" s="3" t="s">
        <v>810</v>
      </c>
      <c r="F491" s="3" t="s">
        <v>815</v>
      </c>
      <c r="G491" s="9" t="s">
        <v>1069</v>
      </c>
      <c r="H491" s="2" t="s">
        <v>88</v>
      </c>
      <c r="I491" s="4">
        <v>0</v>
      </c>
      <c r="J491" s="5">
        <v>710000000</v>
      </c>
      <c r="K491" s="5" t="s">
        <v>89</v>
      </c>
      <c r="L491" s="2" t="s">
        <v>90</v>
      </c>
      <c r="M491" s="6" t="s">
        <v>787</v>
      </c>
      <c r="N491" s="7" t="s">
        <v>92</v>
      </c>
      <c r="O491" s="7" t="s">
        <v>93</v>
      </c>
      <c r="P491" s="3" t="s">
        <v>673</v>
      </c>
      <c r="Q491" s="31">
        <v>839</v>
      </c>
      <c r="R491" s="5" t="s">
        <v>812</v>
      </c>
      <c r="S491" s="9">
        <v>20</v>
      </c>
      <c r="T491" s="9">
        <v>9663.2900000000009</v>
      </c>
      <c r="U491" s="9">
        <f t="shared" si="274"/>
        <v>193265.80000000002</v>
      </c>
      <c r="V491" s="9">
        <f t="shared" ref="V491:V554" si="275">U491*1.12</f>
        <v>216457.69600000005</v>
      </c>
      <c r="W491" s="7"/>
      <c r="X491" s="2">
        <v>2016</v>
      </c>
      <c r="Y491" s="2"/>
    </row>
    <row r="492" spans="2:25" s="11" customFormat="1" ht="89.25" outlineLevel="1" x14ac:dyDescent="0.25">
      <c r="B492" s="2" t="s">
        <v>1075</v>
      </c>
      <c r="C492" s="3" t="s">
        <v>83</v>
      </c>
      <c r="D492" s="3" t="s">
        <v>817</v>
      </c>
      <c r="E492" s="3" t="s">
        <v>818</v>
      </c>
      <c r="F492" s="3" t="s">
        <v>819</v>
      </c>
      <c r="G492" s="3" t="s">
        <v>1069</v>
      </c>
      <c r="H492" s="2" t="s">
        <v>88</v>
      </c>
      <c r="I492" s="4">
        <v>0</v>
      </c>
      <c r="J492" s="5">
        <v>710000000</v>
      </c>
      <c r="K492" s="5" t="s">
        <v>89</v>
      </c>
      <c r="L492" s="2" t="s">
        <v>90</v>
      </c>
      <c r="M492" s="6" t="s">
        <v>787</v>
      </c>
      <c r="N492" s="7" t="s">
        <v>92</v>
      </c>
      <c r="O492" s="7" t="s">
        <v>93</v>
      </c>
      <c r="P492" s="3" t="s">
        <v>673</v>
      </c>
      <c r="Q492" s="8">
        <v>796</v>
      </c>
      <c r="R492" s="7" t="s">
        <v>118</v>
      </c>
      <c r="S492" s="9">
        <v>14</v>
      </c>
      <c r="T492" s="9">
        <v>22180.400000000001</v>
      </c>
      <c r="U492" s="9">
        <f t="shared" si="274"/>
        <v>310525.60000000003</v>
      </c>
      <c r="V492" s="9">
        <f t="shared" si="275"/>
        <v>347788.67200000008</v>
      </c>
      <c r="W492" s="7"/>
      <c r="X492" s="2">
        <v>2016</v>
      </c>
      <c r="Y492" s="2"/>
    </row>
    <row r="493" spans="2:25" s="11" customFormat="1" ht="89.25" outlineLevel="1" x14ac:dyDescent="0.25">
      <c r="B493" s="2" t="s">
        <v>1076</v>
      </c>
      <c r="C493" s="3" t="s">
        <v>83</v>
      </c>
      <c r="D493" s="3" t="s">
        <v>821</v>
      </c>
      <c r="E493" s="3" t="s">
        <v>818</v>
      </c>
      <c r="F493" s="3" t="s">
        <v>822</v>
      </c>
      <c r="G493" s="19" t="s">
        <v>1069</v>
      </c>
      <c r="H493" s="2" t="s">
        <v>88</v>
      </c>
      <c r="I493" s="4">
        <v>0</v>
      </c>
      <c r="J493" s="5">
        <v>710000000</v>
      </c>
      <c r="K493" s="5" t="s">
        <v>89</v>
      </c>
      <c r="L493" s="2" t="s">
        <v>90</v>
      </c>
      <c r="M493" s="6" t="s">
        <v>787</v>
      </c>
      <c r="N493" s="7" t="s">
        <v>92</v>
      </c>
      <c r="O493" s="7" t="s">
        <v>93</v>
      </c>
      <c r="P493" s="3" t="s">
        <v>673</v>
      </c>
      <c r="Q493" s="8">
        <v>796</v>
      </c>
      <c r="R493" s="7" t="s">
        <v>118</v>
      </c>
      <c r="S493" s="9">
        <v>14</v>
      </c>
      <c r="T493" s="9">
        <v>21668.09</v>
      </c>
      <c r="U493" s="9">
        <f t="shared" si="274"/>
        <v>303353.26</v>
      </c>
      <c r="V493" s="9">
        <f t="shared" si="275"/>
        <v>339755.65120000002</v>
      </c>
      <c r="W493" s="7"/>
      <c r="X493" s="2">
        <v>2016</v>
      </c>
      <c r="Y493" s="2"/>
    </row>
    <row r="494" spans="2:25" s="11" customFormat="1" ht="89.25" outlineLevel="1" x14ac:dyDescent="0.25">
      <c r="B494" s="2" t="s">
        <v>1077</v>
      </c>
      <c r="C494" s="3" t="s">
        <v>83</v>
      </c>
      <c r="D494" s="3" t="s">
        <v>824</v>
      </c>
      <c r="E494" s="3" t="s">
        <v>825</v>
      </c>
      <c r="F494" s="3" t="s">
        <v>826</v>
      </c>
      <c r="G494" s="3" t="s">
        <v>1078</v>
      </c>
      <c r="H494" s="2" t="s">
        <v>88</v>
      </c>
      <c r="I494" s="4">
        <v>0</v>
      </c>
      <c r="J494" s="5">
        <v>710000000</v>
      </c>
      <c r="K494" s="5" t="s">
        <v>89</v>
      </c>
      <c r="L494" s="2" t="s">
        <v>90</v>
      </c>
      <c r="M494" s="6" t="s">
        <v>787</v>
      </c>
      <c r="N494" s="7" t="s">
        <v>92</v>
      </c>
      <c r="O494" s="7" t="s">
        <v>93</v>
      </c>
      <c r="P494" s="3" t="s">
        <v>673</v>
      </c>
      <c r="Q494" s="8">
        <v>796</v>
      </c>
      <c r="R494" s="7" t="s">
        <v>118</v>
      </c>
      <c r="S494" s="9">
        <v>4</v>
      </c>
      <c r="T494" s="9">
        <v>16071.43</v>
      </c>
      <c r="U494" s="9">
        <f t="shared" si="274"/>
        <v>64285.72</v>
      </c>
      <c r="V494" s="9">
        <f t="shared" si="275"/>
        <v>72000.006400000013</v>
      </c>
      <c r="W494" s="7"/>
      <c r="X494" s="2">
        <v>2016</v>
      </c>
      <c r="Y494" s="2"/>
    </row>
    <row r="495" spans="2:25" s="11" customFormat="1" ht="89.25" outlineLevel="1" x14ac:dyDescent="0.25">
      <c r="B495" s="2" t="s">
        <v>1079</v>
      </c>
      <c r="C495" s="3" t="s">
        <v>83</v>
      </c>
      <c r="D495" s="3" t="s">
        <v>829</v>
      </c>
      <c r="E495" s="3" t="s">
        <v>825</v>
      </c>
      <c r="F495" s="3" t="s">
        <v>830</v>
      </c>
      <c r="G495" s="9" t="s">
        <v>1080</v>
      </c>
      <c r="H495" s="2" t="s">
        <v>88</v>
      </c>
      <c r="I495" s="4">
        <v>0</v>
      </c>
      <c r="J495" s="5">
        <v>710000000</v>
      </c>
      <c r="K495" s="5" t="s">
        <v>89</v>
      </c>
      <c r="L495" s="2" t="s">
        <v>90</v>
      </c>
      <c r="M495" s="6" t="s">
        <v>787</v>
      </c>
      <c r="N495" s="7" t="s">
        <v>92</v>
      </c>
      <c r="O495" s="7" t="s">
        <v>93</v>
      </c>
      <c r="P495" s="3" t="s">
        <v>673</v>
      </c>
      <c r="Q495" s="8">
        <v>796</v>
      </c>
      <c r="R495" s="7" t="s">
        <v>118</v>
      </c>
      <c r="S495" s="9">
        <v>4</v>
      </c>
      <c r="T495" s="9">
        <v>16071.43</v>
      </c>
      <c r="U495" s="9">
        <f t="shared" si="274"/>
        <v>64285.72</v>
      </c>
      <c r="V495" s="9">
        <f t="shared" si="275"/>
        <v>72000.006400000013</v>
      </c>
      <c r="W495" s="7"/>
      <c r="X495" s="2">
        <v>2016</v>
      </c>
      <c r="Y495" s="2"/>
    </row>
    <row r="496" spans="2:25" s="11" customFormat="1" ht="89.25" outlineLevel="1" x14ac:dyDescent="0.25">
      <c r="B496" s="2" t="s">
        <v>1081</v>
      </c>
      <c r="C496" s="3" t="s">
        <v>83</v>
      </c>
      <c r="D496" s="3" t="s">
        <v>832</v>
      </c>
      <c r="E496" s="3" t="s">
        <v>833</v>
      </c>
      <c r="F496" s="3" t="s">
        <v>834</v>
      </c>
      <c r="G496" s="3" t="s">
        <v>1069</v>
      </c>
      <c r="H496" s="2" t="s">
        <v>88</v>
      </c>
      <c r="I496" s="4">
        <v>0</v>
      </c>
      <c r="J496" s="5">
        <v>710000000</v>
      </c>
      <c r="K496" s="5" t="s">
        <v>89</v>
      </c>
      <c r="L496" s="2" t="s">
        <v>90</v>
      </c>
      <c r="M496" s="6" t="s">
        <v>787</v>
      </c>
      <c r="N496" s="7" t="s">
        <v>92</v>
      </c>
      <c r="O496" s="7" t="s">
        <v>93</v>
      </c>
      <c r="P496" s="3" t="s">
        <v>673</v>
      </c>
      <c r="Q496" s="8">
        <v>796</v>
      </c>
      <c r="R496" s="7" t="s">
        <v>118</v>
      </c>
      <c r="S496" s="9">
        <v>4</v>
      </c>
      <c r="T496" s="9">
        <v>4465.8500000000004</v>
      </c>
      <c r="U496" s="9">
        <f t="shared" si="274"/>
        <v>17863.400000000001</v>
      </c>
      <c r="V496" s="9">
        <f t="shared" si="275"/>
        <v>20007.008000000005</v>
      </c>
      <c r="W496" s="7"/>
      <c r="X496" s="2">
        <v>2016</v>
      </c>
      <c r="Y496" s="2"/>
    </row>
    <row r="497" spans="2:25" s="11" customFormat="1" ht="89.25" outlineLevel="1" x14ac:dyDescent="0.25">
      <c r="B497" s="2" t="s">
        <v>1082</v>
      </c>
      <c r="C497" s="3" t="s">
        <v>83</v>
      </c>
      <c r="D497" s="3" t="s">
        <v>836</v>
      </c>
      <c r="E497" s="3" t="s">
        <v>833</v>
      </c>
      <c r="F497" s="3" t="s">
        <v>837</v>
      </c>
      <c r="G497" s="19" t="s">
        <v>1069</v>
      </c>
      <c r="H497" s="2" t="s">
        <v>88</v>
      </c>
      <c r="I497" s="4">
        <v>0</v>
      </c>
      <c r="J497" s="5">
        <v>710000000</v>
      </c>
      <c r="K497" s="5" t="s">
        <v>89</v>
      </c>
      <c r="L497" s="2" t="s">
        <v>90</v>
      </c>
      <c r="M497" s="6" t="s">
        <v>787</v>
      </c>
      <c r="N497" s="7" t="s">
        <v>92</v>
      </c>
      <c r="O497" s="7" t="s">
        <v>93</v>
      </c>
      <c r="P497" s="3" t="s">
        <v>673</v>
      </c>
      <c r="Q497" s="8">
        <v>796</v>
      </c>
      <c r="R497" s="7" t="s">
        <v>118</v>
      </c>
      <c r="S497" s="9">
        <v>4</v>
      </c>
      <c r="T497" s="9">
        <v>4316.74</v>
      </c>
      <c r="U497" s="9">
        <f t="shared" si="274"/>
        <v>17266.96</v>
      </c>
      <c r="V497" s="9">
        <f t="shared" si="275"/>
        <v>19338.995200000001</v>
      </c>
      <c r="W497" s="7"/>
      <c r="X497" s="2">
        <v>2016</v>
      </c>
      <c r="Y497" s="2"/>
    </row>
    <row r="498" spans="2:25" s="11" customFormat="1" ht="89.25" outlineLevel="1" x14ac:dyDescent="0.25">
      <c r="B498" s="2" t="s">
        <v>1083</v>
      </c>
      <c r="C498" s="3" t="s">
        <v>83</v>
      </c>
      <c r="D498" s="3" t="s">
        <v>943</v>
      </c>
      <c r="E498" s="3" t="s">
        <v>944</v>
      </c>
      <c r="F498" s="3" t="s">
        <v>945</v>
      </c>
      <c r="G498" s="19" t="s">
        <v>1084</v>
      </c>
      <c r="H498" s="2" t="s">
        <v>88</v>
      </c>
      <c r="I498" s="4">
        <v>0</v>
      </c>
      <c r="J498" s="5">
        <v>710000000</v>
      </c>
      <c r="K498" s="5" t="s">
        <v>89</v>
      </c>
      <c r="L498" s="2" t="s">
        <v>90</v>
      </c>
      <c r="M498" s="6" t="s">
        <v>787</v>
      </c>
      <c r="N498" s="7" t="s">
        <v>92</v>
      </c>
      <c r="O498" s="7" t="s">
        <v>93</v>
      </c>
      <c r="P498" s="3" t="s">
        <v>673</v>
      </c>
      <c r="Q498" s="8">
        <v>796</v>
      </c>
      <c r="R498" s="7" t="s">
        <v>118</v>
      </c>
      <c r="S498" s="9">
        <v>4</v>
      </c>
      <c r="T498" s="9">
        <v>14285.71</v>
      </c>
      <c r="U498" s="9">
        <f t="shared" si="274"/>
        <v>57142.84</v>
      </c>
      <c r="V498" s="9">
        <f t="shared" si="275"/>
        <v>63999.980800000005</v>
      </c>
      <c r="W498" s="7"/>
      <c r="X498" s="2">
        <v>2016</v>
      </c>
      <c r="Y498" s="2"/>
    </row>
    <row r="499" spans="2:25" s="11" customFormat="1" ht="89.25" outlineLevel="1" x14ac:dyDescent="0.25">
      <c r="B499" s="2" t="s">
        <v>1085</v>
      </c>
      <c r="C499" s="3" t="s">
        <v>83</v>
      </c>
      <c r="D499" s="3" t="s">
        <v>879</v>
      </c>
      <c r="E499" s="3" t="s">
        <v>880</v>
      </c>
      <c r="F499" s="3" t="s">
        <v>881</v>
      </c>
      <c r="G499" s="19" t="s">
        <v>1086</v>
      </c>
      <c r="H499" s="2" t="s">
        <v>88</v>
      </c>
      <c r="I499" s="4">
        <v>0</v>
      </c>
      <c r="J499" s="5">
        <v>710000000</v>
      </c>
      <c r="K499" s="5" t="s">
        <v>89</v>
      </c>
      <c r="L499" s="2" t="s">
        <v>90</v>
      </c>
      <c r="M499" s="6" t="s">
        <v>787</v>
      </c>
      <c r="N499" s="7" t="s">
        <v>92</v>
      </c>
      <c r="O499" s="7" t="s">
        <v>93</v>
      </c>
      <c r="P499" s="3" t="s">
        <v>673</v>
      </c>
      <c r="Q499" s="8">
        <v>796</v>
      </c>
      <c r="R499" s="7" t="s">
        <v>118</v>
      </c>
      <c r="S499" s="9">
        <v>4</v>
      </c>
      <c r="T499" s="9">
        <v>8035.71</v>
      </c>
      <c r="U499" s="9">
        <f t="shared" si="274"/>
        <v>32142.84</v>
      </c>
      <c r="V499" s="9">
        <f t="shared" si="275"/>
        <v>35999.980800000005</v>
      </c>
      <c r="W499" s="7"/>
      <c r="X499" s="2">
        <v>2016</v>
      </c>
      <c r="Y499" s="2"/>
    </row>
    <row r="500" spans="2:25" s="11" customFormat="1" ht="89.25" outlineLevel="1" x14ac:dyDescent="0.25">
      <c r="B500" s="2" t="s">
        <v>1087</v>
      </c>
      <c r="C500" s="3" t="s">
        <v>83</v>
      </c>
      <c r="D500" s="3" t="s">
        <v>950</v>
      </c>
      <c r="E500" s="3" t="s">
        <v>944</v>
      </c>
      <c r="F500" s="3" t="s">
        <v>951</v>
      </c>
      <c r="G500" s="19" t="s">
        <v>1088</v>
      </c>
      <c r="H500" s="2" t="s">
        <v>88</v>
      </c>
      <c r="I500" s="4">
        <v>0</v>
      </c>
      <c r="J500" s="5">
        <v>710000000</v>
      </c>
      <c r="K500" s="5" t="s">
        <v>89</v>
      </c>
      <c r="L500" s="2" t="s">
        <v>90</v>
      </c>
      <c r="M500" s="6" t="s">
        <v>787</v>
      </c>
      <c r="N500" s="7" t="s">
        <v>92</v>
      </c>
      <c r="O500" s="7" t="s">
        <v>93</v>
      </c>
      <c r="P500" s="3" t="s">
        <v>673</v>
      </c>
      <c r="Q500" s="8">
        <v>796</v>
      </c>
      <c r="R500" s="7" t="s">
        <v>118</v>
      </c>
      <c r="S500" s="9">
        <v>4</v>
      </c>
      <c r="T500" s="9">
        <v>11196.27</v>
      </c>
      <c r="U500" s="9">
        <f t="shared" si="274"/>
        <v>44785.08</v>
      </c>
      <c r="V500" s="9">
        <f t="shared" si="275"/>
        <v>50159.289600000004</v>
      </c>
      <c r="W500" s="7"/>
      <c r="X500" s="2">
        <v>2016</v>
      </c>
      <c r="Y500" s="2"/>
    </row>
    <row r="501" spans="2:25" s="11" customFormat="1" ht="89.25" outlineLevel="1" x14ac:dyDescent="0.25">
      <c r="B501" s="2" t="s">
        <v>1089</v>
      </c>
      <c r="C501" s="3" t="s">
        <v>83</v>
      </c>
      <c r="D501" s="3" t="s">
        <v>943</v>
      </c>
      <c r="E501" s="3" t="s">
        <v>944</v>
      </c>
      <c r="F501" s="3" t="s">
        <v>945</v>
      </c>
      <c r="G501" s="19" t="s">
        <v>1090</v>
      </c>
      <c r="H501" s="2" t="s">
        <v>88</v>
      </c>
      <c r="I501" s="4">
        <v>0</v>
      </c>
      <c r="J501" s="5">
        <v>710000000</v>
      </c>
      <c r="K501" s="5" t="s">
        <v>89</v>
      </c>
      <c r="L501" s="2" t="s">
        <v>90</v>
      </c>
      <c r="M501" s="6" t="s">
        <v>787</v>
      </c>
      <c r="N501" s="7" t="s">
        <v>92</v>
      </c>
      <c r="O501" s="7" t="s">
        <v>93</v>
      </c>
      <c r="P501" s="3" t="s">
        <v>673</v>
      </c>
      <c r="Q501" s="8">
        <v>796</v>
      </c>
      <c r="R501" s="7" t="s">
        <v>118</v>
      </c>
      <c r="S501" s="9">
        <v>4</v>
      </c>
      <c r="T501" s="9">
        <v>11274.61</v>
      </c>
      <c r="U501" s="9">
        <f t="shared" si="274"/>
        <v>45098.44</v>
      </c>
      <c r="V501" s="9">
        <f t="shared" si="275"/>
        <v>50510.252800000009</v>
      </c>
      <c r="W501" s="7"/>
      <c r="X501" s="2">
        <v>2016</v>
      </c>
      <c r="Y501" s="2"/>
    </row>
    <row r="502" spans="2:25" s="11" customFormat="1" ht="89.25" outlineLevel="1" x14ac:dyDescent="0.25">
      <c r="B502" s="2" t="s">
        <v>1091</v>
      </c>
      <c r="C502" s="3" t="s">
        <v>83</v>
      </c>
      <c r="D502" s="3" t="s">
        <v>943</v>
      </c>
      <c r="E502" s="3" t="s">
        <v>944</v>
      </c>
      <c r="F502" s="3" t="s">
        <v>945</v>
      </c>
      <c r="G502" s="19" t="s">
        <v>1092</v>
      </c>
      <c r="H502" s="2" t="s">
        <v>88</v>
      </c>
      <c r="I502" s="4">
        <v>0</v>
      </c>
      <c r="J502" s="5">
        <v>710000000</v>
      </c>
      <c r="K502" s="5" t="s">
        <v>89</v>
      </c>
      <c r="L502" s="2" t="s">
        <v>90</v>
      </c>
      <c r="M502" s="6" t="s">
        <v>787</v>
      </c>
      <c r="N502" s="7" t="s">
        <v>92</v>
      </c>
      <c r="O502" s="7" t="s">
        <v>93</v>
      </c>
      <c r="P502" s="3" t="s">
        <v>673</v>
      </c>
      <c r="Q502" s="8">
        <v>796</v>
      </c>
      <c r="R502" s="7" t="s">
        <v>118</v>
      </c>
      <c r="S502" s="9">
        <v>4</v>
      </c>
      <c r="T502" s="9">
        <v>11563.84</v>
      </c>
      <c r="U502" s="9">
        <f t="shared" si="274"/>
        <v>46255.360000000001</v>
      </c>
      <c r="V502" s="9">
        <f t="shared" si="275"/>
        <v>51806.003200000006</v>
      </c>
      <c r="W502" s="7"/>
      <c r="X502" s="2">
        <v>2016</v>
      </c>
      <c r="Y502" s="2"/>
    </row>
    <row r="503" spans="2:25" s="11" customFormat="1" ht="89.25" outlineLevel="1" x14ac:dyDescent="0.25">
      <c r="B503" s="2" t="s">
        <v>1093</v>
      </c>
      <c r="C503" s="3" t="s">
        <v>83</v>
      </c>
      <c r="D503" s="3" t="s">
        <v>1094</v>
      </c>
      <c r="E503" s="3" t="s">
        <v>1095</v>
      </c>
      <c r="F503" s="3" t="s">
        <v>1096</v>
      </c>
      <c r="G503" s="19" t="s">
        <v>1092</v>
      </c>
      <c r="H503" s="2" t="s">
        <v>88</v>
      </c>
      <c r="I503" s="4">
        <v>0</v>
      </c>
      <c r="J503" s="5">
        <v>710000000</v>
      </c>
      <c r="K503" s="5" t="s">
        <v>89</v>
      </c>
      <c r="L503" s="2" t="s">
        <v>90</v>
      </c>
      <c r="M503" s="6" t="s">
        <v>787</v>
      </c>
      <c r="N503" s="7" t="s">
        <v>92</v>
      </c>
      <c r="O503" s="7" t="s">
        <v>93</v>
      </c>
      <c r="P503" s="3" t="s">
        <v>673</v>
      </c>
      <c r="Q503" s="8">
        <v>796</v>
      </c>
      <c r="R503" s="7" t="s">
        <v>118</v>
      </c>
      <c r="S503" s="9">
        <v>4</v>
      </c>
      <c r="T503" s="9">
        <v>19642.86</v>
      </c>
      <c r="U503" s="9">
        <f t="shared" si="274"/>
        <v>78571.44</v>
      </c>
      <c r="V503" s="9">
        <f t="shared" si="275"/>
        <v>88000.012800000011</v>
      </c>
      <c r="W503" s="7"/>
      <c r="X503" s="2">
        <v>2016</v>
      </c>
      <c r="Y503" s="2"/>
    </row>
    <row r="504" spans="2:25" s="11" customFormat="1" ht="89.25" customHeight="1" outlineLevel="1" x14ac:dyDescent="0.25">
      <c r="B504" s="2" t="s">
        <v>1097</v>
      </c>
      <c r="C504" s="3" t="s">
        <v>83</v>
      </c>
      <c r="D504" s="3" t="s">
        <v>1098</v>
      </c>
      <c r="E504" s="3" t="s">
        <v>1095</v>
      </c>
      <c r="F504" s="3" t="s">
        <v>1099</v>
      </c>
      <c r="G504" s="19" t="s">
        <v>1092</v>
      </c>
      <c r="H504" s="2" t="s">
        <v>88</v>
      </c>
      <c r="I504" s="4">
        <v>0</v>
      </c>
      <c r="J504" s="5">
        <v>710000000</v>
      </c>
      <c r="K504" s="5" t="s">
        <v>89</v>
      </c>
      <c r="L504" s="2" t="s">
        <v>90</v>
      </c>
      <c r="M504" s="6" t="s">
        <v>787</v>
      </c>
      <c r="N504" s="7" t="s">
        <v>92</v>
      </c>
      <c r="O504" s="7" t="s">
        <v>93</v>
      </c>
      <c r="P504" s="3" t="s">
        <v>673</v>
      </c>
      <c r="Q504" s="8">
        <v>796</v>
      </c>
      <c r="R504" s="7" t="s">
        <v>118</v>
      </c>
      <c r="S504" s="9">
        <v>4</v>
      </c>
      <c r="T504" s="9">
        <v>8552.99</v>
      </c>
      <c r="U504" s="9">
        <f t="shared" si="274"/>
        <v>34211.96</v>
      </c>
      <c r="V504" s="9">
        <f t="shared" si="275"/>
        <v>38317.395200000006</v>
      </c>
      <c r="W504" s="7"/>
      <c r="X504" s="2">
        <v>2016</v>
      </c>
      <c r="Y504" s="2"/>
    </row>
    <row r="505" spans="2:25" s="11" customFormat="1" ht="89.25" outlineLevel="1" x14ac:dyDescent="0.25">
      <c r="B505" s="2" t="s">
        <v>1100</v>
      </c>
      <c r="C505" s="3" t="s">
        <v>83</v>
      </c>
      <c r="D505" s="3" t="s">
        <v>979</v>
      </c>
      <c r="E505" s="3" t="s">
        <v>980</v>
      </c>
      <c r="F505" s="3" t="s">
        <v>981</v>
      </c>
      <c r="G505" s="19" t="s">
        <v>1090</v>
      </c>
      <c r="H505" s="2" t="s">
        <v>88</v>
      </c>
      <c r="I505" s="4">
        <v>0</v>
      </c>
      <c r="J505" s="5">
        <v>710000000</v>
      </c>
      <c r="K505" s="5" t="s">
        <v>89</v>
      </c>
      <c r="L505" s="2" t="s">
        <v>90</v>
      </c>
      <c r="M505" s="6" t="s">
        <v>787</v>
      </c>
      <c r="N505" s="7" t="s">
        <v>92</v>
      </c>
      <c r="O505" s="7" t="s">
        <v>93</v>
      </c>
      <c r="P505" s="3" t="s">
        <v>673</v>
      </c>
      <c r="Q505" s="8">
        <v>796</v>
      </c>
      <c r="R505" s="7" t="s">
        <v>118</v>
      </c>
      <c r="S505" s="9">
        <v>4</v>
      </c>
      <c r="T505" s="9">
        <v>8262.0499999999993</v>
      </c>
      <c r="U505" s="9">
        <f t="shared" si="274"/>
        <v>33048.199999999997</v>
      </c>
      <c r="V505" s="9">
        <f t="shared" si="275"/>
        <v>37013.983999999997</v>
      </c>
      <c r="W505" s="7"/>
      <c r="X505" s="2">
        <v>2016</v>
      </c>
      <c r="Y505" s="2"/>
    </row>
    <row r="506" spans="2:25" s="11" customFormat="1" ht="89.25" outlineLevel="1" x14ac:dyDescent="0.25">
      <c r="B506" s="2" t="s">
        <v>1101</v>
      </c>
      <c r="C506" s="3" t="s">
        <v>83</v>
      </c>
      <c r="D506" s="3" t="s">
        <v>957</v>
      </c>
      <c r="E506" s="3" t="s">
        <v>958</v>
      </c>
      <c r="F506" s="3" t="s">
        <v>895</v>
      </c>
      <c r="G506" s="19" t="s">
        <v>1088</v>
      </c>
      <c r="H506" s="2" t="s">
        <v>88</v>
      </c>
      <c r="I506" s="4">
        <v>0</v>
      </c>
      <c r="J506" s="5">
        <v>710000000</v>
      </c>
      <c r="K506" s="5" t="s">
        <v>89</v>
      </c>
      <c r="L506" s="2" t="s">
        <v>90</v>
      </c>
      <c r="M506" s="6" t="s">
        <v>787</v>
      </c>
      <c r="N506" s="7" t="s">
        <v>92</v>
      </c>
      <c r="O506" s="7" t="s">
        <v>93</v>
      </c>
      <c r="P506" s="3" t="s">
        <v>673</v>
      </c>
      <c r="Q506" s="8">
        <v>796</v>
      </c>
      <c r="R506" s="7" t="s">
        <v>118</v>
      </c>
      <c r="S506" s="9">
        <v>4</v>
      </c>
      <c r="T506" s="9">
        <v>19577</v>
      </c>
      <c r="U506" s="9">
        <f t="shared" si="274"/>
        <v>78308</v>
      </c>
      <c r="V506" s="9">
        <f t="shared" si="275"/>
        <v>87704.960000000006</v>
      </c>
      <c r="W506" s="7"/>
      <c r="X506" s="2">
        <v>2016</v>
      </c>
      <c r="Y506" s="2"/>
    </row>
    <row r="507" spans="2:25" s="11" customFormat="1" ht="89.25" outlineLevel="1" x14ac:dyDescent="0.25">
      <c r="B507" s="2" t="s">
        <v>1102</v>
      </c>
      <c r="C507" s="3" t="s">
        <v>83</v>
      </c>
      <c r="D507" s="3" t="s">
        <v>960</v>
      </c>
      <c r="E507" s="3" t="s">
        <v>961</v>
      </c>
      <c r="F507" s="3" t="s">
        <v>903</v>
      </c>
      <c r="G507" s="19" t="s">
        <v>1103</v>
      </c>
      <c r="H507" s="2" t="s">
        <v>88</v>
      </c>
      <c r="I507" s="4">
        <v>0</v>
      </c>
      <c r="J507" s="5">
        <v>710000000</v>
      </c>
      <c r="K507" s="5" t="s">
        <v>89</v>
      </c>
      <c r="L507" s="2" t="s">
        <v>90</v>
      </c>
      <c r="M507" s="6" t="s">
        <v>787</v>
      </c>
      <c r="N507" s="7" t="s">
        <v>92</v>
      </c>
      <c r="O507" s="7" t="s">
        <v>93</v>
      </c>
      <c r="P507" s="3" t="s">
        <v>673</v>
      </c>
      <c r="Q507" s="8">
        <v>796</v>
      </c>
      <c r="R507" s="7" t="s">
        <v>118</v>
      </c>
      <c r="S507" s="9">
        <v>2</v>
      </c>
      <c r="T507" s="9">
        <v>40178.57</v>
      </c>
      <c r="U507" s="9">
        <f t="shared" si="274"/>
        <v>80357.14</v>
      </c>
      <c r="V507" s="9">
        <f t="shared" si="275"/>
        <v>89999.996800000008</v>
      </c>
      <c r="W507" s="7"/>
      <c r="X507" s="2">
        <v>2016</v>
      </c>
      <c r="Y507" s="2"/>
    </row>
    <row r="508" spans="2:25" s="11" customFormat="1" ht="89.25" customHeight="1" outlineLevel="1" x14ac:dyDescent="0.25">
      <c r="B508" s="2" t="s">
        <v>1104</v>
      </c>
      <c r="C508" s="3" t="s">
        <v>83</v>
      </c>
      <c r="D508" s="3" t="s">
        <v>897</v>
      </c>
      <c r="E508" s="3" t="s">
        <v>898</v>
      </c>
      <c r="F508" s="3" t="s">
        <v>899</v>
      </c>
      <c r="G508" s="19" t="s">
        <v>1092</v>
      </c>
      <c r="H508" s="2" t="s">
        <v>88</v>
      </c>
      <c r="I508" s="4">
        <v>0</v>
      </c>
      <c r="J508" s="5">
        <v>710000000</v>
      </c>
      <c r="K508" s="5" t="s">
        <v>89</v>
      </c>
      <c r="L508" s="2" t="s">
        <v>90</v>
      </c>
      <c r="M508" s="6" t="s">
        <v>787</v>
      </c>
      <c r="N508" s="7" t="s">
        <v>92</v>
      </c>
      <c r="O508" s="7" t="s">
        <v>93</v>
      </c>
      <c r="P508" s="3" t="s">
        <v>673</v>
      </c>
      <c r="Q508" s="8" t="s">
        <v>861</v>
      </c>
      <c r="R508" s="7" t="s">
        <v>812</v>
      </c>
      <c r="S508" s="9">
        <v>4</v>
      </c>
      <c r="T508" s="9">
        <v>2232.14</v>
      </c>
      <c r="U508" s="9">
        <f t="shared" si="274"/>
        <v>8928.56</v>
      </c>
      <c r="V508" s="9">
        <f t="shared" si="275"/>
        <v>9999.9871999999996</v>
      </c>
      <c r="W508" s="7"/>
      <c r="X508" s="2">
        <v>2016</v>
      </c>
      <c r="Y508" s="2"/>
    </row>
    <row r="509" spans="2:25" s="11" customFormat="1" ht="89.25" customHeight="1" outlineLevel="1" x14ac:dyDescent="0.25">
      <c r="B509" s="2" t="s">
        <v>1105</v>
      </c>
      <c r="C509" s="3" t="s">
        <v>83</v>
      </c>
      <c r="D509" s="3" t="s">
        <v>964</v>
      </c>
      <c r="E509" s="3" t="s">
        <v>965</v>
      </c>
      <c r="F509" s="3" t="s">
        <v>966</v>
      </c>
      <c r="G509" s="19" t="s">
        <v>1090</v>
      </c>
      <c r="H509" s="2" t="s">
        <v>88</v>
      </c>
      <c r="I509" s="4">
        <v>0</v>
      </c>
      <c r="J509" s="5">
        <v>710000000</v>
      </c>
      <c r="K509" s="5" t="s">
        <v>89</v>
      </c>
      <c r="L509" s="2" t="s">
        <v>90</v>
      </c>
      <c r="M509" s="6" t="s">
        <v>787</v>
      </c>
      <c r="N509" s="7" t="s">
        <v>92</v>
      </c>
      <c r="O509" s="7" t="s">
        <v>93</v>
      </c>
      <c r="P509" s="3" t="s">
        <v>673</v>
      </c>
      <c r="Q509" s="8">
        <v>796</v>
      </c>
      <c r="R509" s="7" t="s">
        <v>118</v>
      </c>
      <c r="S509" s="9">
        <v>2</v>
      </c>
      <c r="T509" s="9">
        <v>46844.639999999999</v>
      </c>
      <c r="U509" s="9">
        <f t="shared" si="274"/>
        <v>93689.279999999999</v>
      </c>
      <c r="V509" s="9">
        <f t="shared" si="275"/>
        <v>104931.9936</v>
      </c>
      <c r="W509" s="7"/>
      <c r="X509" s="2">
        <v>2016</v>
      </c>
      <c r="Y509" s="2"/>
    </row>
    <row r="510" spans="2:25" s="11" customFormat="1" ht="89.25" customHeight="1" outlineLevel="1" x14ac:dyDescent="0.25">
      <c r="B510" s="2" t="s">
        <v>1106</v>
      </c>
      <c r="C510" s="3" t="s">
        <v>83</v>
      </c>
      <c r="D510" s="3" t="s">
        <v>1107</v>
      </c>
      <c r="E510" s="3" t="s">
        <v>969</v>
      </c>
      <c r="F510" s="3" t="s">
        <v>1108</v>
      </c>
      <c r="G510" s="19" t="s">
        <v>1092</v>
      </c>
      <c r="H510" s="2" t="s">
        <v>88</v>
      </c>
      <c r="I510" s="4">
        <v>0</v>
      </c>
      <c r="J510" s="5">
        <v>710000000</v>
      </c>
      <c r="K510" s="5" t="s">
        <v>89</v>
      </c>
      <c r="L510" s="2" t="s">
        <v>90</v>
      </c>
      <c r="M510" s="6" t="s">
        <v>787</v>
      </c>
      <c r="N510" s="7" t="s">
        <v>92</v>
      </c>
      <c r="O510" s="7" t="s">
        <v>93</v>
      </c>
      <c r="P510" s="3" t="s">
        <v>673</v>
      </c>
      <c r="Q510" s="8">
        <v>796</v>
      </c>
      <c r="R510" s="7" t="s">
        <v>118</v>
      </c>
      <c r="S510" s="9">
        <v>2</v>
      </c>
      <c r="T510" s="9">
        <v>54420.76</v>
      </c>
      <c r="U510" s="9">
        <f t="shared" si="274"/>
        <v>108841.52</v>
      </c>
      <c r="V510" s="9">
        <f t="shared" si="275"/>
        <v>121902.50240000001</v>
      </c>
      <c r="W510" s="7"/>
      <c r="X510" s="2">
        <v>2016</v>
      </c>
      <c r="Y510" s="2"/>
    </row>
    <row r="511" spans="2:25" s="11" customFormat="1" ht="89.25" outlineLevel="1" x14ac:dyDescent="0.25">
      <c r="B511" s="2" t="s">
        <v>1109</v>
      </c>
      <c r="C511" s="3" t="s">
        <v>83</v>
      </c>
      <c r="D511" s="3" t="s">
        <v>905</v>
      </c>
      <c r="E511" s="3" t="s">
        <v>906</v>
      </c>
      <c r="F511" s="3" t="s">
        <v>907</v>
      </c>
      <c r="G511" s="19" t="s">
        <v>1090</v>
      </c>
      <c r="H511" s="2" t="s">
        <v>88</v>
      </c>
      <c r="I511" s="4">
        <v>0</v>
      </c>
      <c r="J511" s="5">
        <v>710000000</v>
      </c>
      <c r="K511" s="5" t="s">
        <v>89</v>
      </c>
      <c r="L511" s="2" t="s">
        <v>90</v>
      </c>
      <c r="M511" s="6" t="s">
        <v>787</v>
      </c>
      <c r="N511" s="7" t="s">
        <v>92</v>
      </c>
      <c r="O511" s="7" t="s">
        <v>93</v>
      </c>
      <c r="P511" s="3" t="s">
        <v>673</v>
      </c>
      <c r="Q511" s="8">
        <v>796</v>
      </c>
      <c r="R511" s="7" t="s">
        <v>118</v>
      </c>
      <c r="S511" s="9">
        <v>4</v>
      </c>
      <c r="T511" s="9">
        <v>18168.75</v>
      </c>
      <c r="U511" s="9">
        <f t="shared" si="274"/>
        <v>72675</v>
      </c>
      <c r="V511" s="9">
        <f t="shared" si="275"/>
        <v>81396.000000000015</v>
      </c>
      <c r="W511" s="7"/>
      <c r="X511" s="2">
        <v>2016</v>
      </c>
      <c r="Y511" s="2"/>
    </row>
    <row r="512" spans="2:25" s="11" customFormat="1" ht="89.25" customHeight="1" outlineLevel="1" x14ac:dyDescent="0.25">
      <c r="B512" s="2" t="s">
        <v>1110</v>
      </c>
      <c r="C512" s="3" t="s">
        <v>83</v>
      </c>
      <c r="D512" s="3" t="s">
        <v>909</v>
      </c>
      <c r="E512" s="3" t="s">
        <v>910</v>
      </c>
      <c r="F512" s="3" t="s">
        <v>911</v>
      </c>
      <c r="G512" s="19" t="s">
        <v>1090</v>
      </c>
      <c r="H512" s="2" t="s">
        <v>88</v>
      </c>
      <c r="I512" s="4">
        <v>0</v>
      </c>
      <c r="J512" s="5">
        <v>710000000</v>
      </c>
      <c r="K512" s="5" t="s">
        <v>89</v>
      </c>
      <c r="L512" s="2" t="s">
        <v>90</v>
      </c>
      <c r="M512" s="6" t="s">
        <v>787</v>
      </c>
      <c r="N512" s="7" t="s">
        <v>92</v>
      </c>
      <c r="O512" s="7" t="s">
        <v>93</v>
      </c>
      <c r="P512" s="3" t="s">
        <v>673</v>
      </c>
      <c r="Q512" s="8">
        <v>796</v>
      </c>
      <c r="R512" s="7" t="s">
        <v>118</v>
      </c>
      <c r="S512" s="9">
        <v>4</v>
      </c>
      <c r="T512" s="9">
        <v>11232.82</v>
      </c>
      <c r="U512" s="9">
        <f t="shared" si="274"/>
        <v>44931.28</v>
      </c>
      <c r="V512" s="9">
        <f t="shared" si="275"/>
        <v>50323.033600000002</v>
      </c>
      <c r="W512" s="7"/>
      <c r="X512" s="2">
        <v>2016</v>
      </c>
      <c r="Y512" s="2"/>
    </row>
    <row r="513" spans="2:25" s="11" customFormat="1" ht="89.25" outlineLevel="1" x14ac:dyDescent="0.25">
      <c r="B513" s="2" t="s">
        <v>1111</v>
      </c>
      <c r="C513" s="3" t="s">
        <v>83</v>
      </c>
      <c r="D513" s="3" t="s">
        <v>975</v>
      </c>
      <c r="E513" s="3" t="s">
        <v>976</v>
      </c>
      <c r="F513" s="3" t="s">
        <v>977</v>
      </c>
      <c r="G513" s="19" t="s">
        <v>1103</v>
      </c>
      <c r="H513" s="2" t="s">
        <v>88</v>
      </c>
      <c r="I513" s="4">
        <v>0</v>
      </c>
      <c r="J513" s="5">
        <v>710000000</v>
      </c>
      <c r="K513" s="5" t="s">
        <v>89</v>
      </c>
      <c r="L513" s="2" t="s">
        <v>90</v>
      </c>
      <c r="M513" s="6" t="s">
        <v>787</v>
      </c>
      <c r="N513" s="7" t="s">
        <v>92</v>
      </c>
      <c r="O513" s="7" t="s">
        <v>93</v>
      </c>
      <c r="P513" s="3" t="s">
        <v>673</v>
      </c>
      <c r="Q513" s="8">
        <v>796</v>
      </c>
      <c r="R513" s="7" t="s">
        <v>118</v>
      </c>
      <c r="S513" s="9">
        <v>4</v>
      </c>
      <c r="T513" s="9">
        <v>7142.86</v>
      </c>
      <c r="U513" s="9">
        <f t="shared" ref="U513:U576" si="276">T513*S513</f>
        <v>28571.439999999999</v>
      </c>
      <c r="V513" s="9">
        <f t="shared" si="275"/>
        <v>32000.0128</v>
      </c>
      <c r="W513" s="7"/>
      <c r="X513" s="2">
        <v>2016</v>
      </c>
      <c r="Y513" s="2"/>
    </row>
    <row r="514" spans="2:25" s="11" customFormat="1" ht="89.25" customHeight="1" outlineLevel="1" x14ac:dyDescent="0.25">
      <c r="B514" s="2" t="s">
        <v>1112</v>
      </c>
      <c r="C514" s="3" t="s">
        <v>83</v>
      </c>
      <c r="D514" s="3" t="s">
        <v>913</v>
      </c>
      <c r="E514" s="3" t="s">
        <v>914</v>
      </c>
      <c r="F514" s="3" t="s">
        <v>915</v>
      </c>
      <c r="G514" s="19" t="s">
        <v>1103</v>
      </c>
      <c r="H514" s="2" t="s">
        <v>88</v>
      </c>
      <c r="I514" s="4">
        <v>0</v>
      </c>
      <c r="J514" s="5">
        <v>710000000</v>
      </c>
      <c r="K514" s="5" t="s">
        <v>89</v>
      </c>
      <c r="L514" s="2" t="s">
        <v>90</v>
      </c>
      <c r="M514" s="6" t="s">
        <v>787</v>
      </c>
      <c r="N514" s="7" t="s">
        <v>92</v>
      </c>
      <c r="O514" s="7" t="s">
        <v>93</v>
      </c>
      <c r="P514" s="3" t="s">
        <v>673</v>
      </c>
      <c r="Q514" s="8">
        <v>839</v>
      </c>
      <c r="R514" s="7" t="s">
        <v>812</v>
      </c>
      <c r="S514" s="9">
        <v>4</v>
      </c>
      <c r="T514" s="9">
        <v>4017.86</v>
      </c>
      <c r="U514" s="9">
        <f t="shared" si="276"/>
        <v>16071.44</v>
      </c>
      <c r="V514" s="9">
        <f t="shared" si="275"/>
        <v>18000.012800000004</v>
      </c>
      <c r="W514" s="7"/>
      <c r="X514" s="2">
        <v>2016</v>
      </c>
      <c r="Y514" s="2"/>
    </row>
    <row r="515" spans="2:25" s="11" customFormat="1" ht="89.25" outlineLevel="1" x14ac:dyDescent="0.25">
      <c r="B515" s="2" t="s">
        <v>1113</v>
      </c>
      <c r="C515" s="3" t="s">
        <v>83</v>
      </c>
      <c r="D515" s="3" t="s">
        <v>886</v>
      </c>
      <c r="E515" s="3" t="s">
        <v>887</v>
      </c>
      <c r="F515" s="3" t="s">
        <v>888</v>
      </c>
      <c r="G515" s="19" t="s">
        <v>1103</v>
      </c>
      <c r="H515" s="2" t="s">
        <v>88</v>
      </c>
      <c r="I515" s="4">
        <v>0</v>
      </c>
      <c r="J515" s="5">
        <v>710000000</v>
      </c>
      <c r="K515" s="5" t="s">
        <v>89</v>
      </c>
      <c r="L515" s="2" t="s">
        <v>90</v>
      </c>
      <c r="M515" s="6" t="s">
        <v>787</v>
      </c>
      <c r="N515" s="7" t="s">
        <v>92</v>
      </c>
      <c r="O515" s="7" t="s">
        <v>93</v>
      </c>
      <c r="P515" s="3" t="s">
        <v>673</v>
      </c>
      <c r="Q515" s="8">
        <v>796</v>
      </c>
      <c r="R515" s="7" t="s">
        <v>118</v>
      </c>
      <c r="S515" s="9">
        <v>10</v>
      </c>
      <c r="T515" s="9">
        <v>5745.54</v>
      </c>
      <c r="U515" s="9">
        <f t="shared" si="276"/>
        <v>57455.4</v>
      </c>
      <c r="V515" s="9">
        <f t="shared" si="275"/>
        <v>64350.04800000001</v>
      </c>
      <c r="W515" s="7"/>
      <c r="X515" s="2">
        <v>2016</v>
      </c>
      <c r="Y515" s="2"/>
    </row>
    <row r="516" spans="2:25" s="11" customFormat="1" ht="89.25" outlineLevel="1" x14ac:dyDescent="0.25">
      <c r="B516" s="2" t="s">
        <v>1114</v>
      </c>
      <c r="C516" s="3" t="s">
        <v>83</v>
      </c>
      <c r="D516" s="3" t="s">
        <v>886</v>
      </c>
      <c r="E516" s="3" t="s">
        <v>887</v>
      </c>
      <c r="F516" s="3" t="s">
        <v>888</v>
      </c>
      <c r="G516" s="19" t="s">
        <v>1103</v>
      </c>
      <c r="H516" s="2" t="s">
        <v>88</v>
      </c>
      <c r="I516" s="4">
        <v>0</v>
      </c>
      <c r="J516" s="5">
        <v>710000000</v>
      </c>
      <c r="K516" s="5" t="s">
        <v>89</v>
      </c>
      <c r="L516" s="2" t="s">
        <v>90</v>
      </c>
      <c r="M516" s="6" t="s">
        <v>787</v>
      </c>
      <c r="N516" s="7" t="s">
        <v>92</v>
      </c>
      <c r="O516" s="7" t="s">
        <v>93</v>
      </c>
      <c r="P516" s="3" t="s">
        <v>673</v>
      </c>
      <c r="Q516" s="8">
        <v>796</v>
      </c>
      <c r="R516" s="7" t="s">
        <v>118</v>
      </c>
      <c r="S516" s="9">
        <v>10</v>
      </c>
      <c r="T516" s="9">
        <v>5974.78</v>
      </c>
      <c r="U516" s="9">
        <f t="shared" si="276"/>
        <v>59747.799999999996</v>
      </c>
      <c r="V516" s="9">
        <f t="shared" si="275"/>
        <v>66917.536000000007</v>
      </c>
      <c r="W516" s="7"/>
      <c r="X516" s="2">
        <v>2016</v>
      </c>
      <c r="Y516" s="2"/>
    </row>
    <row r="517" spans="2:25" s="11" customFormat="1" ht="89.25" outlineLevel="1" x14ac:dyDescent="0.25">
      <c r="B517" s="2" t="s">
        <v>1115</v>
      </c>
      <c r="C517" s="3" t="s">
        <v>83</v>
      </c>
      <c r="D517" s="3" t="s">
        <v>1013</v>
      </c>
      <c r="E517" s="3" t="s">
        <v>1014</v>
      </c>
      <c r="F517" s="3" t="s">
        <v>1015</v>
      </c>
      <c r="G517" s="19" t="s">
        <v>1103</v>
      </c>
      <c r="H517" s="2" t="s">
        <v>88</v>
      </c>
      <c r="I517" s="4">
        <v>0</v>
      </c>
      <c r="J517" s="5">
        <v>710000000</v>
      </c>
      <c r="K517" s="5" t="s">
        <v>89</v>
      </c>
      <c r="L517" s="2" t="s">
        <v>90</v>
      </c>
      <c r="M517" s="6" t="s">
        <v>787</v>
      </c>
      <c r="N517" s="7" t="s">
        <v>92</v>
      </c>
      <c r="O517" s="7" t="s">
        <v>93</v>
      </c>
      <c r="P517" s="3" t="s">
        <v>673</v>
      </c>
      <c r="Q517" s="8">
        <v>796</v>
      </c>
      <c r="R517" s="7" t="s">
        <v>118</v>
      </c>
      <c r="S517" s="9">
        <v>10</v>
      </c>
      <c r="T517" s="9">
        <v>3625.78</v>
      </c>
      <c r="U517" s="9">
        <f t="shared" si="276"/>
        <v>36257.800000000003</v>
      </c>
      <c r="V517" s="9">
        <f t="shared" si="275"/>
        <v>40608.736000000004</v>
      </c>
      <c r="W517" s="7"/>
      <c r="X517" s="2">
        <v>2016</v>
      </c>
      <c r="Y517" s="2"/>
    </row>
    <row r="518" spans="2:25" s="11" customFormat="1" ht="89.25" customHeight="1" outlineLevel="1" x14ac:dyDescent="0.25">
      <c r="B518" s="2" t="s">
        <v>1116</v>
      </c>
      <c r="C518" s="3" t="s">
        <v>83</v>
      </c>
      <c r="D518" s="3" t="s">
        <v>1017</v>
      </c>
      <c r="E518" s="3" t="s">
        <v>1014</v>
      </c>
      <c r="F518" s="3" t="s">
        <v>1018</v>
      </c>
      <c r="G518" s="19" t="s">
        <v>1103</v>
      </c>
      <c r="H518" s="2" t="s">
        <v>88</v>
      </c>
      <c r="I518" s="4">
        <v>0</v>
      </c>
      <c r="J518" s="5">
        <v>710000000</v>
      </c>
      <c r="K518" s="5" t="s">
        <v>89</v>
      </c>
      <c r="L518" s="2" t="s">
        <v>90</v>
      </c>
      <c r="M518" s="6" t="s">
        <v>787</v>
      </c>
      <c r="N518" s="7" t="s">
        <v>92</v>
      </c>
      <c r="O518" s="7" t="s">
        <v>93</v>
      </c>
      <c r="P518" s="3" t="s">
        <v>673</v>
      </c>
      <c r="Q518" s="8">
        <v>796</v>
      </c>
      <c r="R518" s="7" t="s">
        <v>118</v>
      </c>
      <c r="S518" s="9">
        <v>2</v>
      </c>
      <c r="T518" s="9">
        <v>7375.78</v>
      </c>
      <c r="U518" s="9">
        <f t="shared" si="276"/>
        <v>14751.56</v>
      </c>
      <c r="V518" s="9">
        <f t="shared" si="275"/>
        <v>16521.747200000002</v>
      </c>
      <c r="W518" s="7"/>
      <c r="X518" s="2">
        <v>2016</v>
      </c>
      <c r="Y518" s="2"/>
    </row>
    <row r="519" spans="2:25" s="11" customFormat="1" ht="89.25" outlineLevel="1" x14ac:dyDescent="0.25">
      <c r="B519" s="2" t="s">
        <v>1117</v>
      </c>
      <c r="C519" s="3" t="s">
        <v>83</v>
      </c>
      <c r="D519" s="3" t="s">
        <v>893</v>
      </c>
      <c r="E519" s="3" t="s">
        <v>894</v>
      </c>
      <c r="F519" s="3" t="s">
        <v>895</v>
      </c>
      <c r="G519" s="19" t="s">
        <v>1103</v>
      </c>
      <c r="H519" s="2" t="s">
        <v>88</v>
      </c>
      <c r="I519" s="4">
        <v>0</v>
      </c>
      <c r="J519" s="5">
        <v>710000000</v>
      </c>
      <c r="K519" s="5" t="s">
        <v>89</v>
      </c>
      <c r="L519" s="2" t="s">
        <v>90</v>
      </c>
      <c r="M519" s="6" t="s">
        <v>787</v>
      </c>
      <c r="N519" s="7" t="s">
        <v>92</v>
      </c>
      <c r="O519" s="7" t="s">
        <v>93</v>
      </c>
      <c r="P519" s="3" t="s">
        <v>673</v>
      </c>
      <c r="Q519" s="8">
        <v>796</v>
      </c>
      <c r="R519" s="7" t="s">
        <v>118</v>
      </c>
      <c r="S519" s="9">
        <v>4</v>
      </c>
      <c r="T519" s="9">
        <v>17248.66</v>
      </c>
      <c r="U519" s="9">
        <f t="shared" si="276"/>
        <v>68994.64</v>
      </c>
      <c r="V519" s="9">
        <f t="shared" si="275"/>
        <v>77273.996800000008</v>
      </c>
      <c r="W519" s="7"/>
      <c r="X519" s="2">
        <v>2016</v>
      </c>
      <c r="Y519" s="2"/>
    </row>
    <row r="520" spans="2:25" s="11" customFormat="1" ht="89.25" outlineLevel="1" x14ac:dyDescent="0.25">
      <c r="B520" s="2" t="s">
        <v>1118</v>
      </c>
      <c r="C520" s="3" t="s">
        <v>83</v>
      </c>
      <c r="D520" s="3" t="s">
        <v>1119</v>
      </c>
      <c r="E520" s="3" t="s">
        <v>841</v>
      </c>
      <c r="F520" s="3" t="s">
        <v>1120</v>
      </c>
      <c r="G520" s="19" t="s">
        <v>1121</v>
      </c>
      <c r="H520" s="2" t="s">
        <v>88</v>
      </c>
      <c r="I520" s="4">
        <v>0</v>
      </c>
      <c r="J520" s="5">
        <v>710000000</v>
      </c>
      <c r="K520" s="5" t="s">
        <v>89</v>
      </c>
      <c r="L520" s="2" t="s">
        <v>90</v>
      </c>
      <c r="M520" s="6" t="s">
        <v>787</v>
      </c>
      <c r="N520" s="7" t="s">
        <v>92</v>
      </c>
      <c r="O520" s="7" t="s">
        <v>93</v>
      </c>
      <c r="P520" s="3" t="s">
        <v>673</v>
      </c>
      <c r="Q520" s="8">
        <v>796</v>
      </c>
      <c r="R520" s="7" t="s">
        <v>118</v>
      </c>
      <c r="S520" s="9">
        <v>40</v>
      </c>
      <c r="T520" s="9">
        <v>4110.1099999999997</v>
      </c>
      <c r="U520" s="9">
        <f t="shared" si="276"/>
        <v>164404.4</v>
      </c>
      <c r="V520" s="9">
        <f t="shared" si="275"/>
        <v>184132.92800000001</v>
      </c>
      <c r="W520" s="7"/>
      <c r="X520" s="2">
        <v>2016</v>
      </c>
      <c r="Y520" s="2"/>
    </row>
    <row r="521" spans="2:25" s="11" customFormat="1" ht="89.25" outlineLevel="1" x14ac:dyDescent="0.25">
      <c r="B521" s="2" t="s">
        <v>1122</v>
      </c>
      <c r="C521" s="3" t="s">
        <v>83</v>
      </c>
      <c r="D521" s="3" t="s">
        <v>1119</v>
      </c>
      <c r="E521" s="3" t="s">
        <v>841</v>
      </c>
      <c r="F521" s="3" t="s">
        <v>1120</v>
      </c>
      <c r="G521" s="19" t="s">
        <v>1123</v>
      </c>
      <c r="H521" s="2" t="s">
        <v>88</v>
      </c>
      <c r="I521" s="4">
        <v>0</v>
      </c>
      <c r="J521" s="5">
        <v>710000000</v>
      </c>
      <c r="K521" s="5" t="s">
        <v>89</v>
      </c>
      <c r="L521" s="2" t="s">
        <v>90</v>
      </c>
      <c r="M521" s="6" t="s">
        <v>787</v>
      </c>
      <c r="N521" s="7" t="s">
        <v>92</v>
      </c>
      <c r="O521" s="7" t="s">
        <v>93</v>
      </c>
      <c r="P521" s="3" t="s">
        <v>673</v>
      </c>
      <c r="Q521" s="8">
        <v>796</v>
      </c>
      <c r="R521" s="7" t="s">
        <v>118</v>
      </c>
      <c r="S521" s="9">
        <v>20</v>
      </c>
      <c r="T521" s="9">
        <v>3975.17</v>
      </c>
      <c r="U521" s="9">
        <f t="shared" si="276"/>
        <v>79503.399999999994</v>
      </c>
      <c r="V521" s="9">
        <f t="shared" si="275"/>
        <v>89043.808000000005</v>
      </c>
      <c r="W521" s="7"/>
      <c r="X521" s="2">
        <v>2016</v>
      </c>
      <c r="Y521" s="2"/>
    </row>
    <row r="522" spans="2:25" s="11" customFormat="1" ht="89.25" customHeight="1" outlineLevel="1" x14ac:dyDescent="0.25">
      <c r="B522" s="2" t="s">
        <v>1124</v>
      </c>
      <c r="C522" s="3" t="s">
        <v>83</v>
      </c>
      <c r="D522" s="3" t="s">
        <v>847</v>
      </c>
      <c r="E522" s="3" t="s">
        <v>848</v>
      </c>
      <c r="F522" s="3" t="s">
        <v>849</v>
      </c>
      <c r="G522" s="19" t="s">
        <v>1125</v>
      </c>
      <c r="H522" s="2" t="s">
        <v>88</v>
      </c>
      <c r="I522" s="4">
        <v>0</v>
      </c>
      <c r="J522" s="5">
        <v>710000000</v>
      </c>
      <c r="K522" s="5" t="s">
        <v>89</v>
      </c>
      <c r="L522" s="2" t="s">
        <v>90</v>
      </c>
      <c r="M522" s="6" t="s">
        <v>787</v>
      </c>
      <c r="N522" s="7" t="s">
        <v>92</v>
      </c>
      <c r="O522" s="7" t="s">
        <v>93</v>
      </c>
      <c r="P522" s="3" t="s">
        <v>673</v>
      </c>
      <c r="Q522" s="8">
        <v>796</v>
      </c>
      <c r="R522" s="7" t="s">
        <v>118</v>
      </c>
      <c r="S522" s="9">
        <v>4</v>
      </c>
      <c r="T522" s="9">
        <v>13592.86</v>
      </c>
      <c r="U522" s="9">
        <f t="shared" si="276"/>
        <v>54371.44</v>
      </c>
      <c r="V522" s="9">
        <f t="shared" si="275"/>
        <v>60896.012800000011</v>
      </c>
      <c r="W522" s="7"/>
      <c r="X522" s="2">
        <v>2016</v>
      </c>
      <c r="Y522" s="2"/>
    </row>
    <row r="523" spans="2:25" s="11" customFormat="1" ht="89.25" outlineLevel="1" x14ac:dyDescent="0.25">
      <c r="B523" s="2" t="s">
        <v>1126</v>
      </c>
      <c r="C523" s="3" t="s">
        <v>83</v>
      </c>
      <c r="D523" s="3" t="s">
        <v>852</v>
      </c>
      <c r="E523" s="3" t="s">
        <v>853</v>
      </c>
      <c r="F523" s="3" t="s">
        <v>854</v>
      </c>
      <c r="G523" s="19" t="s">
        <v>1127</v>
      </c>
      <c r="H523" s="2" t="s">
        <v>88</v>
      </c>
      <c r="I523" s="4">
        <v>0</v>
      </c>
      <c r="J523" s="5">
        <v>710000000</v>
      </c>
      <c r="K523" s="5" t="s">
        <v>89</v>
      </c>
      <c r="L523" s="2" t="s">
        <v>90</v>
      </c>
      <c r="M523" s="6" t="s">
        <v>787</v>
      </c>
      <c r="N523" s="7" t="s">
        <v>92</v>
      </c>
      <c r="O523" s="7" t="s">
        <v>93</v>
      </c>
      <c r="P523" s="3" t="s">
        <v>673</v>
      </c>
      <c r="Q523" s="8">
        <v>796</v>
      </c>
      <c r="R523" s="7" t="s">
        <v>118</v>
      </c>
      <c r="S523" s="9">
        <v>4</v>
      </c>
      <c r="T523" s="9">
        <v>15061.83</v>
      </c>
      <c r="U523" s="9">
        <f t="shared" si="276"/>
        <v>60247.32</v>
      </c>
      <c r="V523" s="9">
        <f t="shared" si="275"/>
        <v>67476.998400000011</v>
      </c>
      <c r="W523" s="7"/>
      <c r="X523" s="2">
        <v>2016</v>
      </c>
      <c r="Y523" s="2"/>
    </row>
    <row r="524" spans="2:25" s="11" customFormat="1" ht="89.25" customHeight="1" outlineLevel="1" x14ac:dyDescent="0.25">
      <c r="B524" s="2" t="s">
        <v>1128</v>
      </c>
      <c r="C524" s="3" t="s">
        <v>83</v>
      </c>
      <c r="D524" s="3" t="s">
        <v>857</v>
      </c>
      <c r="E524" s="3" t="s">
        <v>858</v>
      </c>
      <c r="F524" s="3" t="s">
        <v>859</v>
      </c>
      <c r="G524" s="19" t="s">
        <v>1067</v>
      </c>
      <c r="H524" s="2" t="s">
        <v>88</v>
      </c>
      <c r="I524" s="4">
        <v>0</v>
      </c>
      <c r="J524" s="5">
        <v>710000000</v>
      </c>
      <c r="K524" s="5" t="s">
        <v>89</v>
      </c>
      <c r="L524" s="2" t="s">
        <v>90</v>
      </c>
      <c r="M524" s="6" t="s">
        <v>787</v>
      </c>
      <c r="N524" s="7" t="s">
        <v>92</v>
      </c>
      <c r="O524" s="7" t="s">
        <v>93</v>
      </c>
      <c r="P524" s="3" t="s">
        <v>673</v>
      </c>
      <c r="Q524" s="8" t="s">
        <v>861</v>
      </c>
      <c r="R524" s="7" t="s">
        <v>812</v>
      </c>
      <c r="S524" s="9">
        <v>4</v>
      </c>
      <c r="T524" s="9">
        <v>5112.46</v>
      </c>
      <c r="U524" s="9">
        <f t="shared" si="276"/>
        <v>20449.84</v>
      </c>
      <c r="V524" s="9">
        <f t="shared" si="275"/>
        <v>22903.820800000001</v>
      </c>
      <c r="W524" s="7"/>
      <c r="X524" s="2">
        <v>2016</v>
      </c>
      <c r="Y524" s="2"/>
    </row>
    <row r="525" spans="2:25" s="11" customFormat="1" ht="89.25" outlineLevel="1" x14ac:dyDescent="0.25">
      <c r="B525" s="2" t="s">
        <v>1129</v>
      </c>
      <c r="C525" s="3" t="s">
        <v>83</v>
      </c>
      <c r="D525" s="3" t="s">
        <v>863</v>
      </c>
      <c r="E525" s="3" t="s">
        <v>864</v>
      </c>
      <c r="F525" s="3" t="s">
        <v>865</v>
      </c>
      <c r="G525" s="19" t="s">
        <v>1067</v>
      </c>
      <c r="H525" s="2" t="s">
        <v>88</v>
      </c>
      <c r="I525" s="4">
        <v>0</v>
      </c>
      <c r="J525" s="5">
        <v>710000000</v>
      </c>
      <c r="K525" s="5" t="s">
        <v>89</v>
      </c>
      <c r="L525" s="2" t="s">
        <v>90</v>
      </c>
      <c r="M525" s="6" t="s">
        <v>787</v>
      </c>
      <c r="N525" s="7" t="s">
        <v>92</v>
      </c>
      <c r="O525" s="7" t="s">
        <v>93</v>
      </c>
      <c r="P525" s="3" t="s">
        <v>673</v>
      </c>
      <c r="Q525" s="8">
        <v>796</v>
      </c>
      <c r="R525" s="7" t="s">
        <v>118</v>
      </c>
      <c r="S525" s="9">
        <v>4</v>
      </c>
      <c r="T525" s="9">
        <v>16071.43</v>
      </c>
      <c r="U525" s="9">
        <f t="shared" si="276"/>
        <v>64285.72</v>
      </c>
      <c r="V525" s="9">
        <f t="shared" si="275"/>
        <v>72000.006400000013</v>
      </c>
      <c r="W525" s="7"/>
      <c r="X525" s="2">
        <v>2016</v>
      </c>
      <c r="Y525" s="2"/>
    </row>
    <row r="526" spans="2:25" s="11" customFormat="1" ht="89.25" customHeight="1" outlineLevel="1" x14ac:dyDescent="0.25">
      <c r="B526" s="2" t="s">
        <v>1130</v>
      </c>
      <c r="C526" s="3" t="s">
        <v>83</v>
      </c>
      <c r="D526" s="3" t="s">
        <v>867</v>
      </c>
      <c r="E526" s="3" t="s">
        <v>858</v>
      </c>
      <c r="F526" s="3" t="s">
        <v>868</v>
      </c>
      <c r="G526" s="19" t="s">
        <v>1067</v>
      </c>
      <c r="H526" s="2" t="s">
        <v>88</v>
      </c>
      <c r="I526" s="4">
        <v>0</v>
      </c>
      <c r="J526" s="5">
        <v>710000000</v>
      </c>
      <c r="K526" s="5" t="s">
        <v>89</v>
      </c>
      <c r="L526" s="2" t="s">
        <v>90</v>
      </c>
      <c r="M526" s="6" t="s">
        <v>787</v>
      </c>
      <c r="N526" s="7" t="s">
        <v>92</v>
      </c>
      <c r="O526" s="7" t="s">
        <v>93</v>
      </c>
      <c r="P526" s="3" t="s">
        <v>673</v>
      </c>
      <c r="Q526" s="8" t="s">
        <v>861</v>
      </c>
      <c r="R526" s="7" t="s">
        <v>812</v>
      </c>
      <c r="S526" s="9">
        <v>4</v>
      </c>
      <c r="T526" s="9">
        <v>4609.7</v>
      </c>
      <c r="U526" s="9">
        <f t="shared" si="276"/>
        <v>18438.8</v>
      </c>
      <c r="V526" s="9">
        <f t="shared" si="275"/>
        <v>20651.456000000002</v>
      </c>
      <c r="W526" s="7"/>
      <c r="X526" s="2">
        <v>2016</v>
      </c>
      <c r="Y526" s="2"/>
    </row>
    <row r="527" spans="2:25" s="11" customFormat="1" ht="89.25" outlineLevel="1" x14ac:dyDescent="0.25">
      <c r="B527" s="2" t="s">
        <v>1131</v>
      </c>
      <c r="C527" s="3" t="s">
        <v>83</v>
      </c>
      <c r="D527" s="3" t="s">
        <v>917</v>
      </c>
      <c r="E527" s="3" t="s">
        <v>918</v>
      </c>
      <c r="F527" s="3" t="s">
        <v>919</v>
      </c>
      <c r="G527" s="19" t="s">
        <v>1067</v>
      </c>
      <c r="H527" s="2" t="s">
        <v>88</v>
      </c>
      <c r="I527" s="4">
        <v>0</v>
      </c>
      <c r="J527" s="5">
        <v>710000000</v>
      </c>
      <c r="K527" s="5" t="s">
        <v>89</v>
      </c>
      <c r="L527" s="2" t="s">
        <v>90</v>
      </c>
      <c r="M527" s="6" t="s">
        <v>787</v>
      </c>
      <c r="N527" s="7" t="s">
        <v>92</v>
      </c>
      <c r="O527" s="7" t="s">
        <v>93</v>
      </c>
      <c r="P527" s="3" t="s">
        <v>673</v>
      </c>
      <c r="Q527" s="8">
        <v>796</v>
      </c>
      <c r="R527" s="7" t="s">
        <v>118</v>
      </c>
      <c r="S527" s="9">
        <v>4</v>
      </c>
      <c r="T527" s="9">
        <v>9087.9500000000007</v>
      </c>
      <c r="U527" s="9">
        <f t="shared" si="276"/>
        <v>36351.800000000003</v>
      </c>
      <c r="V527" s="9">
        <f t="shared" si="275"/>
        <v>40714.016000000011</v>
      </c>
      <c r="W527" s="7"/>
      <c r="X527" s="2">
        <v>2016</v>
      </c>
      <c r="Y527" s="2"/>
    </row>
    <row r="528" spans="2:25" s="11" customFormat="1" ht="89.25" outlineLevel="1" x14ac:dyDescent="0.25">
      <c r="B528" s="2" t="s">
        <v>1132</v>
      </c>
      <c r="C528" s="3" t="s">
        <v>83</v>
      </c>
      <c r="D528" s="3" t="s">
        <v>921</v>
      </c>
      <c r="E528" s="3" t="s">
        <v>790</v>
      </c>
      <c r="F528" s="3" t="s">
        <v>922</v>
      </c>
      <c r="G528" s="19" t="s">
        <v>1133</v>
      </c>
      <c r="H528" s="2" t="s">
        <v>88</v>
      </c>
      <c r="I528" s="4">
        <v>0</v>
      </c>
      <c r="J528" s="5">
        <v>710000000</v>
      </c>
      <c r="K528" s="5" t="s">
        <v>89</v>
      </c>
      <c r="L528" s="2" t="s">
        <v>90</v>
      </c>
      <c r="M528" s="6" t="s">
        <v>787</v>
      </c>
      <c r="N528" s="7" t="s">
        <v>92</v>
      </c>
      <c r="O528" s="7" t="s">
        <v>93</v>
      </c>
      <c r="P528" s="3" t="s">
        <v>673</v>
      </c>
      <c r="Q528" s="8">
        <v>796</v>
      </c>
      <c r="R528" s="7" t="s">
        <v>118</v>
      </c>
      <c r="S528" s="9">
        <v>36</v>
      </c>
      <c r="T528" s="9">
        <v>2773.92</v>
      </c>
      <c r="U528" s="9">
        <f t="shared" si="276"/>
        <v>99861.119999999995</v>
      </c>
      <c r="V528" s="9">
        <f t="shared" si="275"/>
        <v>111844.4544</v>
      </c>
      <c r="W528" s="7"/>
      <c r="X528" s="2">
        <v>2016</v>
      </c>
      <c r="Y528" s="2"/>
    </row>
    <row r="529" spans="2:25" s="11" customFormat="1" ht="89.25" outlineLevel="1" x14ac:dyDescent="0.25">
      <c r="B529" s="2" t="s">
        <v>1134</v>
      </c>
      <c r="C529" s="3" t="s">
        <v>83</v>
      </c>
      <c r="D529" s="3" t="s">
        <v>794</v>
      </c>
      <c r="E529" s="3" t="s">
        <v>790</v>
      </c>
      <c r="F529" s="3" t="s">
        <v>795</v>
      </c>
      <c r="G529" s="19" t="s">
        <v>1133</v>
      </c>
      <c r="H529" s="2" t="s">
        <v>88</v>
      </c>
      <c r="I529" s="4">
        <v>0</v>
      </c>
      <c r="J529" s="5">
        <v>710000000</v>
      </c>
      <c r="K529" s="5" t="s">
        <v>89</v>
      </c>
      <c r="L529" s="2" t="s">
        <v>90</v>
      </c>
      <c r="M529" s="6" t="s">
        <v>787</v>
      </c>
      <c r="N529" s="7" t="s">
        <v>92</v>
      </c>
      <c r="O529" s="7" t="s">
        <v>93</v>
      </c>
      <c r="P529" s="3" t="s">
        <v>673</v>
      </c>
      <c r="Q529" s="8">
        <v>796</v>
      </c>
      <c r="R529" s="7" t="s">
        <v>118</v>
      </c>
      <c r="S529" s="9">
        <v>24</v>
      </c>
      <c r="T529" s="9">
        <v>7650</v>
      </c>
      <c r="U529" s="9">
        <f t="shared" si="276"/>
        <v>183600</v>
      </c>
      <c r="V529" s="9">
        <f t="shared" si="275"/>
        <v>205632.00000000003</v>
      </c>
      <c r="W529" s="7"/>
      <c r="X529" s="2">
        <v>2016</v>
      </c>
      <c r="Y529" s="2"/>
    </row>
    <row r="530" spans="2:25" s="11" customFormat="1" ht="89.25" customHeight="1" outlineLevel="1" x14ac:dyDescent="0.25">
      <c r="B530" s="2" t="s">
        <v>1135</v>
      </c>
      <c r="C530" s="3" t="s">
        <v>83</v>
      </c>
      <c r="D530" s="3" t="s">
        <v>802</v>
      </c>
      <c r="E530" s="3" t="s">
        <v>790</v>
      </c>
      <c r="F530" s="3" t="s">
        <v>803</v>
      </c>
      <c r="G530" s="19" t="s">
        <v>1133</v>
      </c>
      <c r="H530" s="2" t="s">
        <v>88</v>
      </c>
      <c r="I530" s="4">
        <v>0</v>
      </c>
      <c r="J530" s="5">
        <v>710000000</v>
      </c>
      <c r="K530" s="5" t="s">
        <v>89</v>
      </c>
      <c r="L530" s="2" t="s">
        <v>90</v>
      </c>
      <c r="M530" s="6" t="s">
        <v>787</v>
      </c>
      <c r="N530" s="7" t="s">
        <v>92</v>
      </c>
      <c r="O530" s="7" t="s">
        <v>93</v>
      </c>
      <c r="P530" s="3" t="s">
        <v>673</v>
      </c>
      <c r="Q530" s="8">
        <v>796</v>
      </c>
      <c r="R530" s="7" t="s">
        <v>118</v>
      </c>
      <c r="S530" s="9">
        <v>12</v>
      </c>
      <c r="T530" s="9">
        <v>9918.9699999999993</v>
      </c>
      <c r="U530" s="9">
        <f t="shared" si="276"/>
        <v>119027.63999999998</v>
      </c>
      <c r="V530" s="9">
        <f t="shared" si="275"/>
        <v>133310.95679999999</v>
      </c>
      <c r="W530" s="7"/>
      <c r="X530" s="2">
        <v>2016</v>
      </c>
      <c r="Y530" s="2"/>
    </row>
    <row r="531" spans="2:25" s="11" customFormat="1" ht="89.25" outlineLevel="1" x14ac:dyDescent="0.25">
      <c r="B531" s="2" t="s">
        <v>1136</v>
      </c>
      <c r="C531" s="3" t="s">
        <v>83</v>
      </c>
      <c r="D531" s="3" t="s">
        <v>1027</v>
      </c>
      <c r="E531" s="3" t="s">
        <v>806</v>
      </c>
      <c r="F531" s="3" t="s">
        <v>1028</v>
      </c>
      <c r="G531" s="19" t="s">
        <v>1133</v>
      </c>
      <c r="H531" s="2" t="s">
        <v>88</v>
      </c>
      <c r="I531" s="4">
        <v>0</v>
      </c>
      <c r="J531" s="5">
        <v>710000000</v>
      </c>
      <c r="K531" s="5" t="s">
        <v>89</v>
      </c>
      <c r="L531" s="2" t="s">
        <v>90</v>
      </c>
      <c r="M531" s="6" t="s">
        <v>787</v>
      </c>
      <c r="N531" s="7" t="s">
        <v>92</v>
      </c>
      <c r="O531" s="7" t="s">
        <v>93</v>
      </c>
      <c r="P531" s="3" t="s">
        <v>673</v>
      </c>
      <c r="Q531" s="8">
        <v>796</v>
      </c>
      <c r="R531" s="7" t="s">
        <v>118</v>
      </c>
      <c r="S531" s="9">
        <v>48</v>
      </c>
      <c r="T531" s="9">
        <v>2422.1799999999998</v>
      </c>
      <c r="U531" s="9">
        <f t="shared" si="276"/>
        <v>116264.63999999998</v>
      </c>
      <c r="V531" s="9">
        <f t="shared" si="275"/>
        <v>130216.3968</v>
      </c>
      <c r="W531" s="7"/>
      <c r="X531" s="2">
        <v>2016</v>
      </c>
      <c r="Y531" s="2"/>
    </row>
    <row r="532" spans="2:25" s="11" customFormat="1" ht="89.25" outlineLevel="1" x14ac:dyDescent="0.25">
      <c r="B532" s="2" t="s">
        <v>1137</v>
      </c>
      <c r="C532" s="3" t="s">
        <v>83</v>
      </c>
      <c r="D532" s="3" t="s">
        <v>809</v>
      </c>
      <c r="E532" s="3" t="s">
        <v>810</v>
      </c>
      <c r="F532" s="3" t="s">
        <v>811</v>
      </c>
      <c r="G532" s="19" t="s">
        <v>1133</v>
      </c>
      <c r="H532" s="2" t="s">
        <v>88</v>
      </c>
      <c r="I532" s="4">
        <v>0</v>
      </c>
      <c r="J532" s="5">
        <v>710000000</v>
      </c>
      <c r="K532" s="5" t="s">
        <v>89</v>
      </c>
      <c r="L532" s="2" t="s">
        <v>90</v>
      </c>
      <c r="M532" s="6" t="s">
        <v>787</v>
      </c>
      <c r="N532" s="7" t="s">
        <v>92</v>
      </c>
      <c r="O532" s="7" t="s">
        <v>93</v>
      </c>
      <c r="P532" s="3" t="s">
        <v>673</v>
      </c>
      <c r="Q532" s="31">
        <v>839</v>
      </c>
      <c r="R532" s="5" t="s">
        <v>812</v>
      </c>
      <c r="S532" s="9">
        <v>22</v>
      </c>
      <c r="T532" s="9">
        <v>10547.99</v>
      </c>
      <c r="U532" s="9">
        <f t="shared" si="276"/>
        <v>232055.78</v>
      </c>
      <c r="V532" s="9">
        <f t="shared" si="275"/>
        <v>259902.47360000003</v>
      </c>
      <c r="W532" s="7"/>
      <c r="X532" s="2">
        <v>2016</v>
      </c>
      <c r="Y532" s="2"/>
    </row>
    <row r="533" spans="2:25" s="11" customFormat="1" ht="89.25" outlineLevel="1" x14ac:dyDescent="0.25">
      <c r="B533" s="2" t="s">
        <v>1138</v>
      </c>
      <c r="C533" s="3" t="s">
        <v>83</v>
      </c>
      <c r="D533" s="3" t="s">
        <v>814</v>
      </c>
      <c r="E533" s="3" t="s">
        <v>810</v>
      </c>
      <c r="F533" s="3" t="s">
        <v>815</v>
      </c>
      <c r="G533" s="19" t="s">
        <v>1133</v>
      </c>
      <c r="H533" s="2" t="s">
        <v>88</v>
      </c>
      <c r="I533" s="4">
        <v>0</v>
      </c>
      <c r="J533" s="5">
        <v>710000000</v>
      </c>
      <c r="K533" s="5" t="s">
        <v>89</v>
      </c>
      <c r="L533" s="2" t="s">
        <v>90</v>
      </c>
      <c r="M533" s="6" t="s">
        <v>787</v>
      </c>
      <c r="N533" s="7" t="s">
        <v>92</v>
      </c>
      <c r="O533" s="7" t="s">
        <v>93</v>
      </c>
      <c r="P533" s="3" t="s">
        <v>673</v>
      </c>
      <c r="Q533" s="31">
        <v>839</v>
      </c>
      <c r="R533" s="5" t="s">
        <v>812</v>
      </c>
      <c r="S533" s="9">
        <v>6</v>
      </c>
      <c r="T533" s="9">
        <v>11596.27</v>
      </c>
      <c r="U533" s="9">
        <f t="shared" si="276"/>
        <v>69577.62</v>
      </c>
      <c r="V533" s="9">
        <f t="shared" si="275"/>
        <v>77926.934399999998</v>
      </c>
      <c r="W533" s="7"/>
      <c r="X533" s="2">
        <v>2016</v>
      </c>
      <c r="Y533" s="2"/>
    </row>
    <row r="534" spans="2:25" s="11" customFormat="1" ht="89.25" outlineLevel="1" x14ac:dyDescent="0.25">
      <c r="B534" s="2" t="s">
        <v>1139</v>
      </c>
      <c r="C534" s="3" t="s">
        <v>83</v>
      </c>
      <c r="D534" s="3" t="s">
        <v>817</v>
      </c>
      <c r="E534" s="3" t="s">
        <v>818</v>
      </c>
      <c r="F534" s="3" t="s">
        <v>819</v>
      </c>
      <c r="G534" s="19" t="s">
        <v>1133</v>
      </c>
      <c r="H534" s="2" t="s">
        <v>88</v>
      </c>
      <c r="I534" s="4">
        <v>0</v>
      </c>
      <c r="J534" s="5">
        <v>710000000</v>
      </c>
      <c r="K534" s="5" t="s">
        <v>89</v>
      </c>
      <c r="L534" s="2" t="s">
        <v>90</v>
      </c>
      <c r="M534" s="6" t="s">
        <v>787</v>
      </c>
      <c r="N534" s="7" t="s">
        <v>92</v>
      </c>
      <c r="O534" s="7" t="s">
        <v>93</v>
      </c>
      <c r="P534" s="3" t="s">
        <v>673</v>
      </c>
      <c r="Q534" s="8">
        <v>796</v>
      </c>
      <c r="R534" s="7" t="s">
        <v>118</v>
      </c>
      <c r="S534" s="9">
        <v>8</v>
      </c>
      <c r="T534" s="9">
        <v>22145.29</v>
      </c>
      <c r="U534" s="9">
        <f t="shared" si="276"/>
        <v>177162.32</v>
      </c>
      <c r="V534" s="9">
        <f t="shared" si="275"/>
        <v>198421.79840000003</v>
      </c>
      <c r="W534" s="7"/>
      <c r="X534" s="2">
        <v>2016</v>
      </c>
      <c r="Y534" s="2"/>
    </row>
    <row r="535" spans="2:25" s="11" customFormat="1" ht="89.25" outlineLevel="1" x14ac:dyDescent="0.25">
      <c r="B535" s="2" t="s">
        <v>1140</v>
      </c>
      <c r="C535" s="3" t="s">
        <v>83</v>
      </c>
      <c r="D535" s="3" t="s">
        <v>935</v>
      </c>
      <c r="E535" s="3" t="s">
        <v>825</v>
      </c>
      <c r="F535" s="3" t="s">
        <v>936</v>
      </c>
      <c r="G535" s="19" t="s">
        <v>1133</v>
      </c>
      <c r="H535" s="19" t="s">
        <v>88</v>
      </c>
      <c r="I535" s="4">
        <v>0</v>
      </c>
      <c r="J535" s="5">
        <v>710000000</v>
      </c>
      <c r="K535" s="5" t="s">
        <v>89</v>
      </c>
      <c r="L535" s="5" t="s">
        <v>90</v>
      </c>
      <c r="M535" s="6" t="s">
        <v>787</v>
      </c>
      <c r="N535" s="7" t="s">
        <v>92</v>
      </c>
      <c r="O535" s="7" t="s">
        <v>93</v>
      </c>
      <c r="P535" s="3" t="s">
        <v>673</v>
      </c>
      <c r="Q535" s="8">
        <v>796</v>
      </c>
      <c r="R535" s="7" t="s">
        <v>118</v>
      </c>
      <c r="S535" s="9">
        <v>4</v>
      </c>
      <c r="T535" s="9">
        <v>15945.88</v>
      </c>
      <c r="U535" s="9">
        <f t="shared" si="276"/>
        <v>63783.519999999997</v>
      </c>
      <c r="V535" s="9">
        <f t="shared" si="275"/>
        <v>71437.542400000006</v>
      </c>
      <c r="W535" s="7"/>
      <c r="X535" s="2">
        <v>2016</v>
      </c>
      <c r="Y535" s="2"/>
    </row>
    <row r="536" spans="2:25" s="11" customFormat="1" ht="89.25" outlineLevel="1" x14ac:dyDescent="0.25">
      <c r="B536" s="2" t="s">
        <v>1141</v>
      </c>
      <c r="C536" s="3" t="s">
        <v>83</v>
      </c>
      <c r="D536" s="3" t="s">
        <v>938</v>
      </c>
      <c r="E536" s="3" t="s">
        <v>825</v>
      </c>
      <c r="F536" s="3" t="s">
        <v>939</v>
      </c>
      <c r="G536" s="19" t="s">
        <v>1133</v>
      </c>
      <c r="H536" s="19" t="s">
        <v>88</v>
      </c>
      <c r="I536" s="4">
        <v>0</v>
      </c>
      <c r="J536" s="5">
        <v>710000000</v>
      </c>
      <c r="K536" s="5" t="s">
        <v>89</v>
      </c>
      <c r="L536" s="5" t="s">
        <v>90</v>
      </c>
      <c r="M536" s="6" t="s">
        <v>787</v>
      </c>
      <c r="N536" s="7" t="s">
        <v>92</v>
      </c>
      <c r="O536" s="7" t="s">
        <v>93</v>
      </c>
      <c r="P536" s="3" t="s">
        <v>673</v>
      </c>
      <c r="Q536" s="8">
        <v>796</v>
      </c>
      <c r="R536" s="7" t="s">
        <v>118</v>
      </c>
      <c r="S536" s="9">
        <v>4</v>
      </c>
      <c r="T536" s="9">
        <v>13582.15</v>
      </c>
      <c r="U536" s="9">
        <f t="shared" si="276"/>
        <v>54328.6</v>
      </c>
      <c r="V536" s="9">
        <f t="shared" si="275"/>
        <v>60848.032000000007</v>
      </c>
      <c r="W536" s="7"/>
      <c r="X536" s="2">
        <v>2016</v>
      </c>
      <c r="Y536" s="2"/>
    </row>
    <row r="537" spans="2:25" s="11" customFormat="1" ht="89.25" outlineLevel="1" x14ac:dyDescent="0.25">
      <c r="B537" s="2" t="s">
        <v>1142</v>
      </c>
      <c r="C537" s="3" t="s">
        <v>83</v>
      </c>
      <c r="D537" s="3" t="s">
        <v>1143</v>
      </c>
      <c r="E537" s="3" t="s">
        <v>1144</v>
      </c>
      <c r="F537" s="3" t="s">
        <v>895</v>
      </c>
      <c r="G537" s="19" t="s">
        <v>1133</v>
      </c>
      <c r="H537" s="19" t="s">
        <v>88</v>
      </c>
      <c r="I537" s="4">
        <v>0</v>
      </c>
      <c r="J537" s="5">
        <v>710000000</v>
      </c>
      <c r="K537" s="5" t="s">
        <v>89</v>
      </c>
      <c r="L537" s="5" t="s">
        <v>90</v>
      </c>
      <c r="M537" s="6" t="s">
        <v>787</v>
      </c>
      <c r="N537" s="7" t="s">
        <v>92</v>
      </c>
      <c r="O537" s="7" t="s">
        <v>93</v>
      </c>
      <c r="P537" s="3" t="s">
        <v>673</v>
      </c>
      <c r="Q537" s="8">
        <v>796</v>
      </c>
      <c r="R537" s="7" t="s">
        <v>118</v>
      </c>
      <c r="S537" s="9">
        <v>4</v>
      </c>
      <c r="T537" s="9">
        <v>38950.89</v>
      </c>
      <c r="U537" s="9">
        <f t="shared" si="276"/>
        <v>155803.56</v>
      </c>
      <c r="V537" s="9">
        <f t="shared" si="275"/>
        <v>174499.9872</v>
      </c>
      <c r="W537" s="7"/>
      <c r="X537" s="2">
        <v>2016</v>
      </c>
      <c r="Y537" s="2"/>
    </row>
    <row r="538" spans="2:25" s="11" customFormat="1" ht="89.25" outlineLevel="1" x14ac:dyDescent="0.25">
      <c r="B538" s="2" t="s">
        <v>1145</v>
      </c>
      <c r="C538" s="3" t="s">
        <v>83</v>
      </c>
      <c r="D538" s="3" t="s">
        <v>1146</v>
      </c>
      <c r="E538" s="3" t="s">
        <v>944</v>
      </c>
      <c r="F538" s="3" t="s">
        <v>1147</v>
      </c>
      <c r="G538" s="19" t="s">
        <v>1148</v>
      </c>
      <c r="H538" s="19" t="s">
        <v>88</v>
      </c>
      <c r="I538" s="4">
        <v>0</v>
      </c>
      <c r="J538" s="5">
        <v>710000000</v>
      </c>
      <c r="K538" s="5" t="s">
        <v>89</v>
      </c>
      <c r="L538" s="5" t="s">
        <v>90</v>
      </c>
      <c r="M538" s="6" t="s">
        <v>787</v>
      </c>
      <c r="N538" s="7" t="s">
        <v>92</v>
      </c>
      <c r="O538" s="7" t="s">
        <v>93</v>
      </c>
      <c r="P538" s="3" t="s">
        <v>673</v>
      </c>
      <c r="Q538" s="8">
        <v>796</v>
      </c>
      <c r="R538" s="7" t="s">
        <v>118</v>
      </c>
      <c r="S538" s="9">
        <v>4</v>
      </c>
      <c r="T538" s="9">
        <v>30357.14</v>
      </c>
      <c r="U538" s="9">
        <f t="shared" si="276"/>
        <v>121428.56</v>
      </c>
      <c r="V538" s="9">
        <f t="shared" si="275"/>
        <v>135999.9872</v>
      </c>
      <c r="W538" s="7"/>
      <c r="X538" s="2">
        <v>2016</v>
      </c>
      <c r="Y538" s="2"/>
    </row>
    <row r="539" spans="2:25" s="11" customFormat="1" ht="89.25" outlineLevel="1" x14ac:dyDescent="0.25">
      <c r="B539" s="2" t="s">
        <v>1149</v>
      </c>
      <c r="C539" s="3" t="s">
        <v>83</v>
      </c>
      <c r="D539" s="3" t="s">
        <v>1146</v>
      </c>
      <c r="E539" s="3" t="s">
        <v>944</v>
      </c>
      <c r="F539" s="3" t="s">
        <v>1147</v>
      </c>
      <c r="G539" s="19" t="s">
        <v>1150</v>
      </c>
      <c r="H539" s="19" t="s">
        <v>88</v>
      </c>
      <c r="I539" s="4">
        <v>0</v>
      </c>
      <c r="J539" s="5">
        <v>710000000</v>
      </c>
      <c r="K539" s="5" t="s">
        <v>89</v>
      </c>
      <c r="L539" s="5" t="s">
        <v>90</v>
      </c>
      <c r="M539" s="6" t="s">
        <v>787</v>
      </c>
      <c r="N539" s="7" t="s">
        <v>92</v>
      </c>
      <c r="O539" s="7" t="s">
        <v>93</v>
      </c>
      <c r="P539" s="3" t="s">
        <v>673</v>
      </c>
      <c r="Q539" s="8">
        <v>796</v>
      </c>
      <c r="R539" s="7" t="s">
        <v>118</v>
      </c>
      <c r="S539" s="9">
        <v>4</v>
      </c>
      <c r="T539" s="9">
        <v>31551.79</v>
      </c>
      <c r="U539" s="9">
        <f t="shared" si="276"/>
        <v>126207.16</v>
      </c>
      <c r="V539" s="9">
        <f t="shared" si="275"/>
        <v>141352.01920000001</v>
      </c>
      <c r="W539" s="7"/>
      <c r="X539" s="2">
        <v>2016</v>
      </c>
      <c r="Y539" s="2"/>
    </row>
    <row r="540" spans="2:25" s="11" customFormat="1" ht="89.25" outlineLevel="1" x14ac:dyDescent="0.25">
      <c r="B540" s="2" t="s">
        <v>1151</v>
      </c>
      <c r="C540" s="3" t="s">
        <v>83</v>
      </c>
      <c r="D540" s="3" t="s">
        <v>875</v>
      </c>
      <c r="E540" s="3" t="s">
        <v>876</v>
      </c>
      <c r="F540" s="3" t="s">
        <v>877</v>
      </c>
      <c r="G540" s="19" t="s">
        <v>1152</v>
      </c>
      <c r="H540" s="19" t="s">
        <v>88</v>
      </c>
      <c r="I540" s="4">
        <v>0</v>
      </c>
      <c r="J540" s="5">
        <v>710000000</v>
      </c>
      <c r="K540" s="5" t="s">
        <v>89</v>
      </c>
      <c r="L540" s="5" t="s">
        <v>90</v>
      </c>
      <c r="M540" s="6" t="s">
        <v>787</v>
      </c>
      <c r="N540" s="7" t="s">
        <v>92</v>
      </c>
      <c r="O540" s="7" t="s">
        <v>93</v>
      </c>
      <c r="P540" s="3" t="s">
        <v>673</v>
      </c>
      <c r="Q540" s="8">
        <v>796</v>
      </c>
      <c r="R540" s="7" t="s">
        <v>118</v>
      </c>
      <c r="S540" s="9">
        <v>4</v>
      </c>
      <c r="T540" s="9">
        <v>5447.9</v>
      </c>
      <c r="U540" s="9">
        <f t="shared" si="276"/>
        <v>21791.599999999999</v>
      </c>
      <c r="V540" s="9">
        <f t="shared" si="275"/>
        <v>24406.592000000001</v>
      </c>
      <c r="W540" s="7"/>
      <c r="X540" s="2">
        <v>2016</v>
      </c>
      <c r="Y540" s="2"/>
    </row>
    <row r="541" spans="2:25" s="11" customFormat="1" ht="89.25" outlineLevel="1" x14ac:dyDescent="0.25">
      <c r="B541" s="2" t="s">
        <v>1153</v>
      </c>
      <c r="C541" s="3" t="s">
        <v>83</v>
      </c>
      <c r="D541" s="3" t="s">
        <v>875</v>
      </c>
      <c r="E541" s="3" t="s">
        <v>876</v>
      </c>
      <c r="F541" s="3" t="s">
        <v>877</v>
      </c>
      <c r="G541" s="19" t="s">
        <v>1154</v>
      </c>
      <c r="H541" s="19" t="s">
        <v>88</v>
      </c>
      <c r="I541" s="4">
        <v>0</v>
      </c>
      <c r="J541" s="5">
        <v>710000000</v>
      </c>
      <c r="K541" s="5" t="s">
        <v>89</v>
      </c>
      <c r="L541" s="5" t="s">
        <v>90</v>
      </c>
      <c r="M541" s="6" t="s">
        <v>787</v>
      </c>
      <c r="N541" s="7" t="s">
        <v>92</v>
      </c>
      <c r="O541" s="7" t="s">
        <v>93</v>
      </c>
      <c r="P541" s="3" t="s">
        <v>673</v>
      </c>
      <c r="Q541" s="8">
        <v>796</v>
      </c>
      <c r="R541" s="7" t="s">
        <v>118</v>
      </c>
      <c r="S541" s="9">
        <v>4</v>
      </c>
      <c r="T541" s="9">
        <v>6045.54</v>
      </c>
      <c r="U541" s="9">
        <f t="shared" si="276"/>
        <v>24182.16</v>
      </c>
      <c r="V541" s="9">
        <f t="shared" si="275"/>
        <v>27084.019200000002</v>
      </c>
      <c r="W541" s="7"/>
      <c r="X541" s="2">
        <v>2016</v>
      </c>
      <c r="Y541" s="2"/>
    </row>
    <row r="542" spans="2:25" s="11" customFormat="1" ht="89.25" outlineLevel="1" x14ac:dyDescent="0.25">
      <c r="B542" s="2" t="s">
        <v>1155</v>
      </c>
      <c r="C542" s="3" t="s">
        <v>83</v>
      </c>
      <c r="D542" s="3" t="s">
        <v>879</v>
      </c>
      <c r="E542" s="3" t="s">
        <v>880</v>
      </c>
      <c r="F542" s="3" t="s">
        <v>881</v>
      </c>
      <c r="G542" s="19" t="s">
        <v>1156</v>
      </c>
      <c r="H542" s="19" t="s">
        <v>88</v>
      </c>
      <c r="I542" s="4">
        <v>0</v>
      </c>
      <c r="J542" s="5">
        <v>710000000</v>
      </c>
      <c r="K542" s="5" t="s">
        <v>89</v>
      </c>
      <c r="L542" s="5" t="s">
        <v>90</v>
      </c>
      <c r="M542" s="6" t="s">
        <v>787</v>
      </c>
      <c r="N542" s="7" t="s">
        <v>92</v>
      </c>
      <c r="O542" s="7" t="s">
        <v>93</v>
      </c>
      <c r="P542" s="3" t="s">
        <v>673</v>
      </c>
      <c r="Q542" s="8">
        <v>796</v>
      </c>
      <c r="R542" s="7" t="s">
        <v>118</v>
      </c>
      <c r="S542" s="9">
        <v>4</v>
      </c>
      <c r="T542" s="9">
        <v>8482.14</v>
      </c>
      <c r="U542" s="9">
        <f t="shared" si="276"/>
        <v>33928.559999999998</v>
      </c>
      <c r="V542" s="9">
        <f t="shared" si="275"/>
        <v>37999.987200000003</v>
      </c>
      <c r="W542" s="7"/>
      <c r="X542" s="2">
        <v>2016</v>
      </c>
      <c r="Y542" s="2"/>
    </row>
    <row r="543" spans="2:25" s="11" customFormat="1" ht="89.25" customHeight="1" outlineLevel="1" x14ac:dyDescent="0.25">
      <c r="B543" s="2" t="s">
        <v>1157</v>
      </c>
      <c r="C543" s="3" t="s">
        <v>83</v>
      </c>
      <c r="D543" s="3" t="s">
        <v>1094</v>
      </c>
      <c r="E543" s="3" t="s">
        <v>1095</v>
      </c>
      <c r="F543" s="3" t="s">
        <v>1096</v>
      </c>
      <c r="G543" s="19" t="s">
        <v>1133</v>
      </c>
      <c r="H543" s="19" t="s">
        <v>88</v>
      </c>
      <c r="I543" s="4">
        <v>0</v>
      </c>
      <c r="J543" s="5">
        <v>710000000</v>
      </c>
      <c r="K543" s="5" t="s">
        <v>89</v>
      </c>
      <c r="L543" s="5" t="s">
        <v>90</v>
      </c>
      <c r="M543" s="6" t="s">
        <v>787</v>
      </c>
      <c r="N543" s="7" t="s">
        <v>92</v>
      </c>
      <c r="O543" s="7" t="s">
        <v>93</v>
      </c>
      <c r="P543" s="3" t="s">
        <v>673</v>
      </c>
      <c r="Q543" s="8">
        <v>796</v>
      </c>
      <c r="R543" s="7" t="s">
        <v>118</v>
      </c>
      <c r="S543" s="9">
        <v>4</v>
      </c>
      <c r="T543" s="9">
        <v>8110.18</v>
      </c>
      <c r="U543" s="9">
        <f t="shared" si="276"/>
        <v>32440.720000000001</v>
      </c>
      <c r="V543" s="9">
        <f t="shared" si="275"/>
        <v>36333.606400000004</v>
      </c>
      <c r="W543" s="7"/>
      <c r="X543" s="2">
        <v>2016</v>
      </c>
      <c r="Y543" s="2"/>
    </row>
    <row r="544" spans="2:25" s="11" customFormat="1" ht="89.25" outlineLevel="1" x14ac:dyDescent="0.25">
      <c r="B544" s="2" t="s">
        <v>1158</v>
      </c>
      <c r="C544" s="3" t="s">
        <v>83</v>
      </c>
      <c r="D544" s="3" t="s">
        <v>1098</v>
      </c>
      <c r="E544" s="3" t="s">
        <v>1095</v>
      </c>
      <c r="F544" s="3" t="s">
        <v>1099</v>
      </c>
      <c r="G544" s="19" t="s">
        <v>1133</v>
      </c>
      <c r="H544" s="19" t="s">
        <v>88</v>
      </c>
      <c r="I544" s="4">
        <v>0</v>
      </c>
      <c r="J544" s="5">
        <v>710000000</v>
      </c>
      <c r="K544" s="5" t="s">
        <v>89</v>
      </c>
      <c r="L544" s="5" t="s">
        <v>90</v>
      </c>
      <c r="M544" s="6" t="s">
        <v>787</v>
      </c>
      <c r="N544" s="7" t="s">
        <v>92</v>
      </c>
      <c r="O544" s="7" t="s">
        <v>93</v>
      </c>
      <c r="P544" s="3" t="s">
        <v>673</v>
      </c>
      <c r="Q544" s="8">
        <v>796</v>
      </c>
      <c r="R544" s="7" t="s">
        <v>118</v>
      </c>
      <c r="S544" s="9">
        <v>4</v>
      </c>
      <c r="T544" s="9">
        <v>17203.04</v>
      </c>
      <c r="U544" s="9">
        <f t="shared" si="276"/>
        <v>68812.160000000003</v>
      </c>
      <c r="V544" s="9">
        <f t="shared" si="275"/>
        <v>77069.619200000016</v>
      </c>
      <c r="W544" s="7"/>
      <c r="X544" s="2">
        <v>2016</v>
      </c>
      <c r="Y544" s="2"/>
    </row>
    <row r="545" spans="2:25" s="11" customFormat="1" ht="89.25" customHeight="1" outlineLevel="1" x14ac:dyDescent="0.25">
      <c r="B545" s="2" t="s">
        <v>1159</v>
      </c>
      <c r="C545" s="3" t="s">
        <v>83</v>
      </c>
      <c r="D545" s="3" t="s">
        <v>1160</v>
      </c>
      <c r="E545" s="3" t="s">
        <v>1161</v>
      </c>
      <c r="F545" s="3" t="s">
        <v>1162</v>
      </c>
      <c r="G545" s="19" t="s">
        <v>1133</v>
      </c>
      <c r="H545" s="19" t="s">
        <v>88</v>
      </c>
      <c r="I545" s="4">
        <v>0</v>
      </c>
      <c r="J545" s="5">
        <v>710000000</v>
      </c>
      <c r="K545" s="5" t="s">
        <v>89</v>
      </c>
      <c r="L545" s="5" t="s">
        <v>90</v>
      </c>
      <c r="M545" s="6" t="s">
        <v>787</v>
      </c>
      <c r="N545" s="7" t="s">
        <v>92</v>
      </c>
      <c r="O545" s="7" t="s">
        <v>93</v>
      </c>
      <c r="P545" s="3" t="s">
        <v>673</v>
      </c>
      <c r="Q545" s="8">
        <v>796</v>
      </c>
      <c r="R545" s="7" t="s">
        <v>118</v>
      </c>
      <c r="S545" s="9">
        <v>4</v>
      </c>
      <c r="T545" s="9">
        <v>5803.57</v>
      </c>
      <c r="U545" s="9">
        <f t="shared" si="276"/>
        <v>23214.28</v>
      </c>
      <c r="V545" s="9">
        <f t="shared" si="275"/>
        <v>25999.993600000002</v>
      </c>
      <c r="W545" s="7"/>
      <c r="X545" s="2">
        <v>2016</v>
      </c>
      <c r="Y545" s="2"/>
    </row>
    <row r="546" spans="2:25" s="11" customFormat="1" ht="89.25" outlineLevel="1" x14ac:dyDescent="0.25">
      <c r="B546" s="2" t="s">
        <v>1163</v>
      </c>
      <c r="C546" s="3" t="s">
        <v>83</v>
      </c>
      <c r="D546" s="3" t="s">
        <v>957</v>
      </c>
      <c r="E546" s="3" t="s">
        <v>958</v>
      </c>
      <c r="F546" s="3" t="s">
        <v>895</v>
      </c>
      <c r="G546" s="19" t="s">
        <v>1133</v>
      </c>
      <c r="H546" s="19" t="s">
        <v>88</v>
      </c>
      <c r="I546" s="4">
        <v>0</v>
      </c>
      <c r="J546" s="5">
        <v>710000000</v>
      </c>
      <c r="K546" s="5" t="s">
        <v>89</v>
      </c>
      <c r="L546" s="5" t="s">
        <v>90</v>
      </c>
      <c r="M546" s="6" t="s">
        <v>787</v>
      </c>
      <c r="N546" s="7" t="s">
        <v>92</v>
      </c>
      <c r="O546" s="7" t="s">
        <v>93</v>
      </c>
      <c r="P546" s="3" t="s">
        <v>673</v>
      </c>
      <c r="Q546" s="8">
        <v>796</v>
      </c>
      <c r="R546" s="7" t="s">
        <v>118</v>
      </c>
      <c r="S546" s="9">
        <v>4</v>
      </c>
      <c r="T546" s="9">
        <v>21725.82</v>
      </c>
      <c r="U546" s="9">
        <f t="shared" si="276"/>
        <v>86903.28</v>
      </c>
      <c r="V546" s="9">
        <f t="shared" si="275"/>
        <v>97331.673600000009</v>
      </c>
      <c r="W546" s="7"/>
      <c r="X546" s="2">
        <v>2016</v>
      </c>
      <c r="Y546" s="2"/>
    </row>
    <row r="547" spans="2:25" s="11" customFormat="1" ht="89.25" customHeight="1" outlineLevel="1" x14ac:dyDescent="0.25">
      <c r="B547" s="2" t="s">
        <v>1164</v>
      </c>
      <c r="C547" s="3" t="s">
        <v>83</v>
      </c>
      <c r="D547" s="3" t="s">
        <v>964</v>
      </c>
      <c r="E547" s="3" t="s">
        <v>965</v>
      </c>
      <c r="F547" s="3" t="s">
        <v>966</v>
      </c>
      <c r="G547" s="19" t="s">
        <v>1133</v>
      </c>
      <c r="H547" s="19" t="s">
        <v>88</v>
      </c>
      <c r="I547" s="4">
        <v>0</v>
      </c>
      <c r="J547" s="5">
        <v>710000000</v>
      </c>
      <c r="K547" s="5" t="s">
        <v>89</v>
      </c>
      <c r="L547" s="5" t="s">
        <v>90</v>
      </c>
      <c r="M547" s="6" t="s">
        <v>787</v>
      </c>
      <c r="N547" s="7" t="s">
        <v>92</v>
      </c>
      <c r="O547" s="7" t="s">
        <v>93</v>
      </c>
      <c r="P547" s="3" t="s">
        <v>673</v>
      </c>
      <c r="Q547" s="8">
        <v>796</v>
      </c>
      <c r="R547" s="7" t="s">
        <v>118</v>
      </c>
      <c r="S547" s="9">
        <v>4</v>
      </c>
      <c r="T547" s="9">
        <v>28571.43</v>
      </c>
      <c r="U547" s="9">
        <f t="shared" si="276"/>
        <v>114285.72</v>
      </c>
      <c r="V547" s="9">
        <f t="shared" si="275"/>
        <v>128000.00640000001</v>
      </c>
      <c r="W547" s="7"/>
      <c r="X547" s="2">
        <v>2016</v>
      </c>
      <c r="Y547" s="2"/>
    </row>
    <row r="548" spans="2:25" s="11" customFormat="1" ht="89.25" outlineLevel="1" x14ac:dyDescent="0.25">
      <c r="B548" s="2" t="s">
        <v>1165</v>
      </c>
      <c r="C548" s="3" t="s">
        <v>83</v>
      </c>
      <c r="D548" s="3" t="s">
        <v>1166</v>
      </c>
      <c r="E548" s="3" t="s">
        <v>906</v>
      </c>
      <c r="F548" s="3" t="s">
        <v>1167</v>
      </c>
      <c r="G548" s="19" t="s">
        <v>1133</v>
      </c>
      <c r="H548" s="19" t="s">
        <v>88</v>
      </c>
      <c r="I548" s="4">
        <v>0</v>
      </c>
      <c r="J548" s="5">
        <v>710000000</v>
      </c>
      <c r="K548" s="5" t="s">
        <v>89</v>
      </c>
      <c r="L548" s="5" t="s">
        <v>90</v>
      </c>
      <c r="M548" s="6" t="s">
        <v>787</v>
      </c>
      <c r="N548" s="7" t="s">
        <v>92</v>
      </c>
      <c r="O548" s="7" t="s">
        <v>93</v>
      </c>
      <c r="P548" s="3" t="s">
        <v>673</v>
      </c>
      <c r="Q548" s="8">
        <v>796</v>
      </c>
      <c r="R548" s="7" t="s">
        <v>118</v>
      </c>
      <c r="S548" s="9">
        <v>4</v>
      </c>
      <c r="T548" s="9">
        <v>12500</v>
      </c>
      <c r="U548" s="9">
        <f t="shared" si="276"/>
        <v>50000</v>
      </c>
      <c r="V548" s="9">
        <f t="shared" si="275"/>
        <v>56000.000000000007</v>
      </c>
      <c r="W548" s="7"/>
      <c r="X548" s="2">
        <v>2016</v>
      </c>
      <c r="Y548" s="2"/>
    </row>
    <row r="549" spans="2:25" s="11" customFormat="1" ht="89.25" outlineLevel="1" x14ac:dyDescent="0.25">
      <c r="B549" s="2" t="s">
        <v>1168</v>
      </c>
      <c r="C549" s="3" t="s">
        <v>83</v>
      </c>
      <c r="D549" s="3" t="s">
        <v>913</v>
      </c>
      <c r="E549" s="3" t="s">
        <v>914</v>
      </c>
      <c r="F549" s="3" t="s">
        <v>915</v>
      </c>
      <c r="G549" s="19" t="s">
        <v>1133</v>
      </c>
      <c r="H549" s="19" t="s">
        <v>88</v>
      </c>
      <c r="I549" s="4">
        <v>0</v>
      </c>
      <c r="J549" s="5">
        <v>710000000</v>
      </c>
      <c r="K549" s="5" t="s">
        <v>89</v>
      </c>
      <c r="L549" s="5" t="s">
        <v>90</v>
      </c>
      <c r="M549" s="6" t="s">
        <v>787</v>
      </c>
      <c r="N549" s="7" t="s">
        <v>92</v>
      </c>
      <c r="O549" s="7" t="s">
        <v>93</v>
      </c>
      <c r="P549" s="3" t="s">
        <v>673</v>
      </c>
      <c r="Q549" s="8" t="s">
        <v>861</v>
      </c>
      <c r="R549" s="7" t="s">
        <v>812</v>
      </c>
      <c r="S549" s="9">
        <v>4</v>
      </c>
      <c r="T549" s="9">
        <v>7924.11</v>
      </c>
      <c r="U549" s="9">
        <f t="shared" si="276"/>
        <v>31696.44</v>
      </c>
      <c r="V549" s="9">
        <f t="shared" si="275"/>
        <v>35500.012800000004</v>
      </c>
      <c r="W549" s="7"/>
      <c r="X549" s="2">
        <v>2016</v>
      </c>
      <c r="Y549" s="2"/>
    </row>
    <row r="550" spans="2:25" s="11" customFormat="1" ht="89.25" outlineLevel="1" x14ac:dyDescent="0.25">
      <c r="B550" s="2" t="s">
        <v>1169</v>
      </c>
      <c r="C550" s="3" t="s">
        <v>83</v>
      </c>
      <c r="D550" s="3" t="s">
        <v>1119</v>
      </c>
      <c r="E550" s="3" t="s">
        <v>841</v>
      </c>
      <c r="F550" s="3" t="s">
        <v>1120</v>
      </c>
      <c r="G550" s="19" t="s">
        <v>1170</v>
      </c>
      <c r="H550" s="2" t="s">
        <v>88</v>
      </c>
      <c r="I550" s="4">
        <v>0</v>
      </c>
      <c r="J550" s="5">
        <v>710000000</v>
      </c>
      <c r="K550" s="5" t="s">
        <v>89</v>
      </c>
      <c r="L550" s="2" t="s">
        <v>90</v>
      </c>
      <c r="M550" s="6" t="s">
        <v>787</v>
      </c>
      <c r="N550" s="7" t="s">
        <v>92</v>
      </c>
      <c r="O550" s="7" t="s">
        <v>93</v>
      </c>
      <c r="P550" s="3" t="s">
        <v>673</v>
      </c>
      <c r="Q550" s="8">
        <v>796</v>
      </c>
      <c r="R550" s="7" t="s">
        <v>118</v>
      </c>
      <c r="S550" s="9">
        <v>24</v>
      </c>
      <c r="T550" s="9">
        <v>2937.03</v>
      </c>
      <c r="U550" s="9">
        <f t="shared" si="276"/>
        <v>70488.72</v>
      </c>
      <c r="V550" s="9">
        <f t="shared" si="275"/>
        <v>78947.366400000014</v>
      </c>
      <c r="W550" s="7"/>
      <c r="X550" s="2">
        <v>2016</v>
      </c>
      <c r="Y550" s="2"/>
    </row>
    <row r="551" spans="2:25" s="11" customFormat="1" ht="89.25" customHeight="1" outlineLevel="1" x14ac:dyDescent="0.25">
      <c r="B551" s="2" t="s">
        <v>1171</v>
      </c>
      <c r="C551" s="3" t="s">
        <v>83</v>
      </c>
      <c r="D551" s="3" t="s">
        <v>1119</v>
      </c>
      <c r="E551" s="3" t="s">
        <v>841</v>
      </c>
      <c r="F551" s="3" t="s">
        <v>1120</v>
      </c>
      <c r="G551" s="19" t="s">
        <v>1172</v>
      </c>
      <c r="H551" s="2" t="s">
        <v>88</v>
      </c>
      <c r="I551" s="4">
        <v>0</v>
      </c>
      <c r="J551" s="5">
        <v>710000000</v>
      </c>
      <c r="K551" s="5" t="s">
        <v>89</v>
      </c>
      <c r="L551" s="2" t="s">
        <v>90</v>
      </c>
      <c r="M551" s="6" t="s">
        <v>787</v>
      </c>
      <c r="N551" s="7" t="s">
        <v>92</v>
      </c>
      <c r="O551" s="7" t="s">
        <v>93</v>
      </c>
      <c r="P551" s="3" t="s">
        <v>673</v>
      </c>
      <c r="Q551" s="8">
        <v>796</v>
      </c>
      <c r="R551" s="7" t="s">
        <v>118</v>
      </c>
      <c r="S551" s="9">
        <v>10</v>
      </c>
      <c r="T551" s="9">
        <v>2937.03</v>
      </c>
      <c r="U551" s="9">
        <f t="shared" si="276"/>
        <v>29370.300000000003</v>
      </c>
      <c r="V551" s="9">
        <f t="shared" si="275"/>
        <v>32894.736000000004</v>
      </c>
      <c r="W551" s="7"/>
      <c r="X551" s="2">
        <v>2016</v>
      </c>
      <c r="Y551" s="2"/>
    </row>
    <row r="552" spans="2:25" s="11" customFormat="1" ht="89.25" customHeight="1" outlineLevel="1" x14ac:dyDescent="0.25">
      <c r="B552" s="2" t="s">
        <v>1173</v>
      </c>
      <c r="C552" s="3" t="s">
        <v>83</v>
      </c>
      <c r="D552" s="3" t="s">
        <v>847</v>
      </c>
      <c r="E552" s="3" t="s">
        <v>848</v>
      </c>
      <c r="F552" s="3" t="s">
        <v>849</v>
      </c>
      <c r="G552" s="19" t="s">
        <v>1174</v>
      </c>
      <c r="H552" s="2" t="s">
        <v>88</v>
      </c>
      <c r="I552" s="4">
        <v>0</v>
      </c>
      <c r="J552" s="5">
        <v>710000000</v>
      </c>
      <c r="K552" s="5" t="s">
        <v>89</v>
      </c>
      <c r="L552" s="2" t="s">
        <v>90</v>
      </c>
      <c r="M552" s="6" t="s">
        <v>787</v>
      </c>
      <c r="N552" s="7" t="s">
        <v>92</v>
      </c>
      <c r="O552" s="7" t="s">
        <v>93</v>
      </c>
      <c r="P552" s="3" t="s">
        <v>673</v>
      </c>
      <c r="Q552" s="8">
        <v>796</v>
      </c>
      <c r="R552" s="7" t="s">
        <v>118</v>
      </c>
      <c r="S552" s="9">
        <v>4</v>
      </c>
      <c r="T552" s="9">
        <v>11525.51</v>
      </c>
      <c r="U552" s="9">
        <f t="shared" si="276"/>
        <v>46102.04</v>
      </c>
      <c r="V552" s="9">
        <f t="shared" si="275"/>
        <v>51634.284800000009</v>
      </c>
      <c r="W552" s="7"/>
      <c r="X552" s="2">
        <v>2016</v>
      </c>
      <c r="Y552" s="2"/>
    </row>
    <row r="553" spans="2:25" s="11" customFormat="1" ht="89.25" outlineLevel="1" x14ac:dyDescent="0.25">
      <c r="B553" s="2" t="s">
        <v>1175</v>
      </c>
      <c r="C553" s="3" t="s">
        <v>83</v>
      </c>
      <c r="D553" s="3" t="s">
        <v>1176</v>
      </c>
      <c r="E553" s="3" t="s">
        <v>853</v>
      </c>
      <c r="F553" s="3" t="s">
        <v>1177</v>
      </c>
      <c r="G553" s="19" t="s">
        <v>1133</v>
      </c>
      <c r="H553" s="2" t="s">
        <v>88</v>
      </c>
      <c r="I553" s="4">
        <v>0</v>
      </c>
      <c r="J553" s="5">
        <v>710000000</v>
      </c>
      <c r="K553" s="5" t="s">
        <v>89</v>
      </c>
      <c r="L553" s="2" t="s">
        <v>90</v>
      </c>
      <c r="M553" s="6" t="s">
        <v>787</v>
      </c>
      <c r="N553" s="7" t="s">
        <v>92</v>
      </c>
      <c r="O553" s="7" t="s">
        <v>93</v>
      </c>
      <c r="P553" s="3" t="s">
        <v>673</v>
      </c>
      <c r="Q553" s="8">
        <v>796</v>
      </c>
      <c r="R553" s="7" t="s">
        <v>118</v>
      </c>
      <c r="S553" s="9">
        <v>4</v>
      </c>
      <c r="T553" s="9">
        <v>13115.34</v>
      </c>
      <c r="U553" s="9">
        <f t="shared" si="276"/>
        <v>52461.36</v>
      </c>
      <c r="V553" s="9">
        <f t="shared" si="275"/>
        <v>58756.723200000008</v>
      </c>
      <c r="W553" s="7"/>
      <c r="X553" s="2">
        <v>2016</v>
      </c>
      <c r="Y553" s="2"/>
    </row>
    <row r="554" spans="2:25" s="11" customFormat="1" ht="89.25" customHeight="1" outlineLevel="1" x14ac:dyDescent="0.25">
      <c r="B554" s="2" t="s">
        <v>1178</v>
      </c>
      <c r="C554" s="3" t="s">
        <v>83</v>
      </c>
      <c r="D554" s="3" t="s">
        <v>857</v>
      </c>
      <c r="E554" s="3" t="s">
        <v>858</v>
      </c>
      <c r="F554" s="3" t="s">
        <v>859</v>
      </c>
      <c r="G554" s="19" t="s">
        <v>1133</v>
      </c>
      <c r="H554" s="2" t="s">
        <v>88</v>
      </c>
      <c r="I554" s="4">
        <v>0</v>
      </c>
      <c r="J554" s="5">
        <v>710000000</v>
      </c>
      <c r="K554" s="5" t="s">
        <v>89</v>
      </c>
      <c r="L554" s="2" t="s">
        <v>90</v>
      </c>
      <c r="M554" s="6" t="s">
        <v>787</v>
      </c>
      <c r="N554" s="7" t="s">
        <v>92</v>
      </c>
      <c r="O554" s="7" t="s">
        <v>93</v>
      </c>
      <c r="P554" s="3" t="s">
        <v>673</v>
      </c>
      <c r="Q554" s="8" t="s">
        <v>861</v>
      </c>
      <c r="R554" s="7" t="s">
        <v>812</v>
      </c>
      <c r="S554" s="9">
        <v>4</v>
      </c>
      <c r="T554" s="9">
        <v>5160.7</v>
      </c>
      <c r="U554" s="9">
        <f t="shared" si="276"/>
        <v>20642.8</v>
      </c>
      <c r="V554" s="9">
        <f t="shared" si="275"/>
        <v>23119.936000000002</v>
      </c>
      <c r="W554" s="7"/>
      <c r="X554" s="2">
        <v>2016</v>
      </c>
      <c r="Y554" s="2"/>
    </row>
    <row r="555" spans="2:25" s="11" customFormat="1" ht="89.25" outlineLevel="1" x14ac:dyDescent="0.25">
      <c r="B555" s="2" t="s">
        <v>1179</v>
      </c>
      <c r="C555" s="3" t="s">
        <v>83</v>
      </c>
      <c r="D555" s="3" t="s">
        <v>863</v>
      </c>
      <c r="E555" s="3" t="s">
        <v>864</v>
      </c>
      <c r="F555" s="3" t="s">
        <v>865</v>
      </c>
      <c r="G555" s="19" t="s">
        <v>1133</v>
      </c>
      <c r="H555" s="2" t="s">
        <v>88</v>
      </c>
      <c r="I555" s="4">
        <v>0</v>
      </c>
      <c r="J555" s="5">
        <v>710000000</v>
      </c>
      <c r="K555" s="5" t="s">
        <v>89</v>
      </c>
      <c r="L555" s="2" t="s">
        <v>90</v>
      </c>
      <c r="M555" s="6" t="s">
        <v>787</v>
      </c>
      <c r="N555" s="7" t="s">
        <v>92</v>
      </c>
      <c r="O555" s="7" t="s">
        <v>93</v>
      </c>
      <c r="P555" s="3" t="s">
        <v>673</v>
      </c>
      <c r="Q555" s="8">
        <v>796</v>
      </c>
      <c r="R555" s="7" t="s">
        <v>118</v>
      </c>
      <c r="S555" s="9">
        <v>4</v>
      </c>
      <c r="T555" s="9">
        <v>16071.43</v>
      </c>
      <c r="U555" s="9">
        <f t="shared" si="276"/>
        <v>64285.72</v>
      </c>
      <c r="V555" s="9">
        <f t="shared" ref="V555:V618" si="277">U555*1.12</f>
        <v>72000.006400000013</v>
      </c>
      <c r="W555" s="7"/>
      <c r="X555" s="2">
        <v>2016</v>
      </c>
      <c r="Y555" s="2"/>
    </row>
    <row r="556" spans="2:25" s="11" customFormat="1" ht="89.25" customHeight="1" outlineLevel="1" x14ac:dyDescent="0.25">
      <c r="B556" s="2" t="s">
        <v>1180</v>
      </c>
      <c r="C556" s="3" t="s">
        <v>83</v>
      </c>
      <c r="D556" s="3" t="s">
        <v>867</v>
      </c>
      <c r="E556" s="3" t="s">
        <v>858</v>
      </c>
      <c r="F556" s="3" t="s">
        <v>868</v>
      </c>
      <c r="G556" s="19" t="s">
        <v>1133</v>
      </c>
      <c r="H556" s="2" t="s">
        <v>88</v>
      </c>
      <c r="I556" s="4">
        <v>0</v>
      </c>
      <c r="J556" s="5">
        <v>710000000</v>
      </c>
      <c r="K556" s="5" t="s">
        <v>89</v>
      </c>
      <c r="L556" s="2" t="s">
        <v>90</v>
      </c>
      <c r="M556" s="6" t="s">
        <v>787</v>
      </c>
      <c r="N556" s="7" t="s">
        <v>92</v>
      </c>
      <c r="O556" s="7" t="s">
        <v>93</v>
      </c>
      <c r="P556" s="3" t="s">
        <v>673</v>
      </c>
      <c r="Q556" s="8" t="s">
        <v>861</v>
      </c>
      <c r="R556" s="7" t="s">
        <v>812</v>
      </c>
      <c r="S556" s="9">
        <v>4</v>
      </c>
      <c r="T556" s="9">
        <v>4555.25</v>
      </c>
      <c r="U556" s="9">
        <f t="shared" si="276"/>
        <v>18221</v>
      </c>
      <c r="V556" s="9">
        <f t="shared" si="277"/>
        <v>20407.52</v>
      </c>
      <c r="W556" s="7"/>
      <c r="X556" s="2">
        <v>2016</v>
      </c>
      <c r="Y556" s="2"/>
    </row>
    <row r="557" spans="2:25" s="20" customFormat="1" ht="89.25" customHeight="1" outlineLevel="1" x14ac:dyDescent="0.25">
      <c r="B557" s="2" t="s">
        <v>1181</v>
      </c>
      <c r="C557" s="3" t="s">
        <v>83</v>
      </c>
      <c r="D557" s="3" t="s">
        <v>886</v>
      </c>
      <c r="E557" s="3" t="s">
        <v>887</v>
      </c>
      <c r="F557" s="3" t="s">
        <v>888</v>
      </c>
      <c r="G557" s="19" t="s">
        <v>1182</v>
      </c>
      <c r="H557" s="2" t="s">
        <v>88</v>
      </c>
      <c r="I557" s="4">
        <v>0</v>
      </c>
      <c r="J557" s="5">
        <v>710000000</v>
      </c>
      <c r="K557" s="5" t="s">
        <v>89</v>
      </c>
      <c r="L557" s="2" t="s">
        <v>90</v>
      </c>
      <c r="M557" s="6" t="s">
        <v>787</v>
      </c>
      <c r="N557" s="7" t="s">
        <v>92</v>
      </c>
      <c r="O557" s="7" t="s">
        <v>93</v>
      </c>
      <c r="P557" s="3" t="s">
        <v>673</v>
      </c>
      <c r="Q557" s="8">
        <v>796</v>
      </c>
      <c r="R557" s="7" t="s">
        <v>118</v>
      </c>
      <c r="S557" s="9">
        <v>6</v>
      </c>
      <c r="T557" s="9">
        <v>5049.88</v>
      </c>
      <c r="U557" s="9">
        <f t="shared" si="276"/>
        <v>30299.279999999999</v>
      </c>
      <c r="V557" s="9">
        <f t="shared" si="277"/>
        <v>33935.193599999999</v>
      </c>
      <c r="W557" s="7"/>
      <c r="X557" s="2">
        <v>2016</v>
      </c>
      <c r="Y557" s="2"/>
    </row>
    <row r="558" spans="2:25" s="20" customFormat="1" ht="89.25" customHeight="1" outlineLevel="1" x14ac:dyDescent="0.25">
      <c r="B558" s="2" t="s">
        <v>1183</v>
      </c>
      <c r="C558" s="3" t="s">
        <v>83</v>
      </c>
      <c r="D558" s="3" t="s">
        <v>886</v>
      </c>
      <c r="E558" s="3" t="s">
        <v>887</v>
      </c>
      <c r="F558" s="3" t="s">
        <v>888</v>
      </c>
      <c r="G558" s="19" t="s">
        <v>1184</v>
      </c>
      <c r="H558" s="2" t="s">
        <v>88</v>
      </c>
      <c r="I558" s="4">
        <v>0</v>
      </c>
      <c r="J558" s="5">
        <v>710000000</v>
      </c>
      <c r="K558" s="5" t="s">
        <v>89</v>
      </c>
      <c r="L558" s="2" t="s">
        <v>90</v>
      </c>
      <c r="M558" s="6" t="s">
        <v>787</v>
      </c>
      <c r="N558" s="7" t="s">
        <v>92</v>
      </c>
      <c r="O558" s="7" t="s">
        <v>93</v>
      </c>
      <c r="P558" s="3" t="s">
        <v>673</v>
      </c>
      <c r="Q558" s="8">
        <v>796</v>
      </c>
      <c r="R558" s="7" t="s">
        <v>118</v>
      </c>
      <c r="S558" s="9">
        <v>6</v>
      </c>
      <c r="T558" s="9">
        <v>5048.6899999999996</v>
      </c>
      <c r="U558" s="9">
        <f t="shared" si="276"/>
        <v>30292.14</v>
      </c>
      <c r="V558" s="9">
        <f t="shared" si="277"/>
        <v>33927.196800000005</v>
      </c>
      <c r="W558" s="7"/>
      <c r="X558" s="2">
        <v>2016</v>
      </c>
      <c r="Y558" s="2"/>
    </row>
    <row r="559" spans="2:25" s="20" customFormat="1" ht="89.25" customHeight="1" outlineLevel="1" x14ac:dyDescent="0.25">
      <c r="B559" s="2" t="s">
        <v>1185</v>
      </c>
      <c r="C559" s="3" t="s">
        <v>83</v>
      </c>
      <c r="D559" s="3" t="s">
        <v>893</v>
      </c>
      <c r="E559" s="3" t="s">
        <v>894</v>
      </c>
      <c r="F559" s="3" t="s">
        <v>895</v>
      </c>
      <c r="G559" s="19" t="s">
        <v>1133</v>
      </c>
      <c r="H559" s="2" t="s">
        <v>88</v>
      </c>
      <c r="I559" s="4">
        <v>0</v>
      </c>
      <c r="J559" s="5">
        <v>710000000</v>
      </c>
      <c r="K559" s="5" t="s">
        <v>89</v>
      </c>
      <c r="L559" s="2" t="s">
        <v>90</v>
      </c>
      <c r="M559" s="6" t="s">
        <v>787</v>
      </c>
      <c r="N559" s="7" t="s">
        <v>92</v>
      </c>
      <c r="O559" s="7" t="s">
        <v>93</v>
      </c>
      <c r="P559" s="3" t="s">
        <v>673</v>
      </c>
      <c r="Q559" s="8">
        <v>796</v>
      </c>
      <c r="R559" s="7" t="s">
        <v>118</v>
      </c>
      <c r="S559" s="9">
        <v>2</v>
      </c>
      <c r="T559" s="9">
        <v>18395.98</v>
      </c>
      <c r="U559" s="9">
        <f t="shared" si="276"/>
        <v>36791.96</v>
      </c>
      <c r="V559" s="9">
        <f t="shared" si="277"/>
        <v>41206.995200000005</v>
      </c>
      <c r="W559" s="7"/>
      <c r="X559" s="2">
        <v>2016</v>
      </c>
      <c r="Y559" s="2"/>
    </row>
    <row r="560" spans="2:25" s="11" customFormat="1" ht="89.25" outlineLevel="1" x14ac:dyDescent="0.25">
      <c r="B560" s="2" t="s">
        <v>1186</v>
      </c>
      <c r="C560" s="3" t="s">
        <v>83</v>
      </c>
      <c r="D560" s="3" t="s">
        <v>917</v>
      </c>
      <c r="E560" s="3" t="s">
        <v>918</v>
      </c>
      <c r="F560" s="3" t="s">
        <v>919</v>
      </c>
      <c r="G560" s="19" t="s">
        <v>1133</v>
      </c>
      <c r="H560" s="2" t="s">
        <v>88</v>
      </c>
      <c r="I560" s="4">
        <v>0</v>
      </c>
      <c r="J560" s="5">
        <v>710000000</v>
      </c>
      <c r="K560" s="5" t="s">
        <v>89</v>
      </c>
      <c r="L560" s="2" t="s">
        <v>90</v>
      </c>
      <c r="M560" s="6" t="s">
        <v>787</v>
      </c>
      <c r="N560" s="7" t="s">
        <v>92</v>
      </c>
      <c r="O560" s="7" t="s">
        <v>93</v>
      </c>
      <c r="P560" s="3" t="s">
        <v>673</v>
      </c>
      <c r="Q560" s="8">
        <v>796</v>
      </c>
      <c r="R560" s="7" t="s">
        <v>118</v>
      </c>
      <c r="S560" s="9">
        <v>4</v>
      </c>
      <c r="T560" s="9">
        <v>11559.6</v>
      </c>
      <c r="U560" s="9">
        <f t="shared" si="276"/>
        <v>46238.400000000001</v>
      </c>
      <c r="V560" s="9">
        <f t="shared" si="277"/>
        <v>51787.008000000009</v>
      </c>
      <c r="W560" s="7"/>
      <c r="X560" s="2">
        <v>2016</v>
      </c>
      <c r="Y560" s="2"/>
    </row>
    <row r="561" spans="2:25" s="11" customFormat="1" ht="89.25" outlineLevel="1" x14ac:dyDescent="0.25">
      <c r="B561" s="2" t="s">
        <v>1187</v>
      </c>
      <c r="C561" s="3" t="s">
        <v>83</v>
      </c>
      <c r="D561" s="3" t="s">
        <v>921</v>
      </c>
      <c r="E561" s="3" t="s">
        <v>790</v>
      </c>
      <c r="F561" s="3" t="s">
        <v>922</v>
      </c>
      <c r="G561" s="19" t="s">
        <v>1188</v>
      </c>
      <c r="H561" s="2" t="s">
        <v>88</v>
      </c>
      <c r="I561" s="4">
        <v>0</v>
      </c>
      <c r="J561" s="5">
        <v>710000000</v>
      </c>
      <c r="K561" s="5" t="s">
        <v>89</v>
      </c>
      <c r="L561" s="2" t="s">
        <v>90</v>
      </c>
      <c r="M561" s="6" t="s">
        <v>787</v>
      </c>
      <c r="N561" s="7" t="s">
        <v>92</v>
      </c>
      <c r="O561" s="7" t="s">
        <v>93</v>
      </c>
      <c r="P561" s="3" t="s">
        <v>673</v>
      </c>
      <c r="Q561" s="8">
        <v>796</v>
      </c>
      <c r="R561" s="7" t="s">
        <v>118</v>
      </c>
      <c r="S561" s="9">
        <v>13</v>
      </c>
      <c r="T561" s="9">
        <v>9788.69</v>
      </c>
      <c r="U561" s="9">
        <f t="shared" si="276"/>
        <v>127252.97</v>
      </c>
      <c r="V561" s="9">
        <f t="shared" si="277"/>
        <v>142523.32640000002</v>
      </c>
      <c r="W561" s="7"/>
      <c r="X561" s="2">
        <v>2016</v>
      </c>
      <c r="Y561" s="2"/>
    </row>
    <row r="562" spans="2:25" s="11" customFormat="1" ht="89.25" outlineLevel="1" x14ac:dyDescent="0.25">
      <c r="B562" s="2" t="s">
        <v>1189</v>
      </c>
      <c r="C562" s="3" t="s">
        <v>83</v>
      </c>
      <c r="D562" s="3" t="s">
        <v>1190</v>
      </c>
      <c r="E562" s="3" t="s">
        <v>790</v>
      </c>
      <c r="F562" s="3" t="s">
        <v>1191</v>
      </c>
      <c r="G562" s="19" t="s">
        <v>1188</v>
      </c>
      <c r="H562" s="2" t="s">
        <v>88</v>
      </c>
      <c r="I562" s="4">
        <v>0</v>
      </c>
      <c r="J562" s="5">
        <v>710000000</v>
      </c>
      <c r="K562" s="3" t="s">
        <v>89</v>
      </c>
      <c r="L562" s="2" t="s">
        <v>90</v>
      </c>
      <c r="M562" s="3" t="s">
        <v>787</v>
      </c>
      <c r="N562" s="7" t="s">
        <v>92</v>
      </c>
      <c r="O562" s="7" t="s">
        <v>93</v>
      </c>
      <c r="P562" s="3" t="s">
        <v>673</v>
      </c>
      <c r="Q562" s="8">
        <v>796</v>
      </c>
      <c r="R562" s="7" t="s">
        <v>118</v>
      </c>
      <c r="S562" s="9">
        <v>10</v>
      </c>
      <c r="T562" s="9">
        <v>25000</v>
      </c>
      <c r="U562" s="9">
        <f t="shared" si="276"/>
        <v>250000</v>
      </c>
      <c r="V562" s="9">
        <f t="shared" si="277"/>
        <v>280000</v>
      </c>
      <c r="W562" s="3"/>
      <c r="X562" s="2">
        <v>2016</v>
      </c>
      <c r="Y562" s="3"/>
    </row>
    <row r="563" spans="2:25" s="11" customFormat="1" ht="89.25" customHeight="1" outlineLevel="1" x14ac:dyDescent="0.25">
      <c r="B563" s="2" t="s">
        <v>1192</v>
      </c>
      <c r="C563" s="3" t="s">
        <v>83</v>
      </c>
      <c r="D563" s="3" t="s">
        <v>1193</v>
      </c>
      <c r="E563" s="3" t="s">
        <v>790</v>
      </c>
      <c r="F563" s="3" t="s">
        <v>1194</v>
      </c>
      <c r="G563" s="19" t="s">
        <v>1188</v>
      </c>
      <c r="H563" s="2" t="s">
        <v>88</v>
      </c>
      <c r="I563" s="4">
        <v>0</v>
      </c>
      <c r="J563" s="5">
        <v>710000000</v>
      </c>
      <c r="K563" s="3" t="s">
        <v>89</v>
      </c>
      <c r="L563" s="2" t="s">
        <v>90</v>
      </c>
      <c r="M563" s="3" t="s">
        <v>787</v>
      </c>
      <c r="N563" s="7" t="s">
        <v>92</v>
      </c>
      <c r="O563" s="7" t="s">
        <v>93</v>
      </c>
      <c r="P563" s="3" t="s">
        <v>673</v>
      </c>
      <c r="Q563" s="8">
        <v>796</v>
      </c>
      <c r="R563" s="7" t="s">
        <v>118</v>
      </c>
      <c r="S563" s="9">
        <v>10</v>
      </c>
      <c r="T563" s="9">
        <v>5330.36</v>
      </c>
      <c r="U563" s="9">
        <f t="shared" si="276"/>
        <v>53303.6</v>
      </c>
      <c r="V563" s="9">
        <f t="shared" si="277"/>
        <v>59700.032000000007</v>
      </c>
      <c r="W563" s="3"/>
      <c r="X563" s="2">
        <v>2016</v>
      </c>
      <c r="Y563" s="3"/>
    </row>
    <row r="564" spans="2:25" s="11" customFormat="1" ht="89.25" outlineLevel="1" x14ac:dyDescent="0.25">
      <c r="B564" s="2" t="s">
        <v>1195</v>
      </c>
      <c r="C564" s="3" t="s">
        <v>83</v>
      </c>
      <c r="D564" s="3" t="s">
        <v>1196</v>
      </c>
      <c r="E564" s="3" t="s">
        <v>790</v>
      </c>
      <c r="F564" s="3" t="s">
        <v>1197</v>
      </c>
      <c r="G564" s="19" t="s">
        <v>1188</v>
      </c>
      <c r="H564" s="2" t="s">
        <v>88</v>
      </c>
      <c r="I564" s="4">
        <v>0</v>
      </c>
      <c r="J564" s="5">
        <v>710000000</v>
      </c>
      <c r="K564" s="3" t="s">
        <v>89</v>
      </c>
      <c r="L564" s="2" t="s">
        <v>90</v>
      </c>
      <c r="M564" s="3" t="s">
        <v>787</v>
      </c>
      <c r="N564" s="7" t="s">
        <v>92</v>
      </c>
      <c r="O564" s="7" t="s">
        <v>93</v>
      </c>
      <c r="P564" s="3" t="s">
        <v>673</v>
      </c>
      <c r="Q564" s="8">
        <v>796</v>
      </c>
      <c r="R564" s="7" t="s">
        <v>118</v>
      </c>
      <c r="S564" s="9">
        <v>6</v>
      </c>
      <c r="T564" s="9">
        <v>4419.6400000000003</v>
      </c>
      <c r="U564" s="9">
        <f t="shared" si="276"/>
        <v>26517.840000000004</v>
      </c>
      <c r="V564" s="9">
        <f t="shared" si="277"/>
        <v>29699.980800000008</v>
      </c>
      <c r="W564" s="3"/>
      <c r="X564" s="2">
        <v>2016</v>
      </c>
      <c r="Y564" s="3"/>
    </row>
    <row r="565" spans="2:25" s="11" customFormat="1" ht="89.25" customHeight="1" outlineLevel="1" x14ac:dyDescent="0.25">
      <c r="B565" s="2" t="s">
        <v>1198</v>
      </c>
      <c r="C565" s="3" t="s">
        <v>83</v>
      </c>
      <c r="D565" s="3" t="s">
        <v>1199</v>
      </c>
      <c r="E565" s="3" t="s">
        <v>810</v>
      </c>
      <c r="F565" s="3" t="s">
        <v>1200</v>
      </c>
      <c r="G565" s="19" t="s">
        <v>1188</v>
      </c>
      <c r="H565" s="2" t="s">
        <v>88</v>
      </c>
      <c r="I565" s="4">
        <v>0</v>
      </c>
      <c r="J565" s="5">
        <v>710000000</v>
      </c>
      <c r="K565" s="5" t="s">
        <v>89</v>
      </c>
      <c r="L565" s="2" t="s">
        <v>90</v>
      </c>
      <c r="M565" s="6" t="s">
        <v>787</v>
      </c>
      <c r="N565" s="7" t="s">
        <v>92</v>
      </c>
      <c r="O565" s="7" t="s">
        <v>93</v>
      </c>
      <c r="P565" s="3" t="s">
        <v>673</v>
      </c>
      <c r="Q565" s="31">
        <v>839</v>
      </c>
      <c r="R565" s="5" t="s">
        <v>812</v>
      </c>
      <c r="S565" s="9">
        <v>4</v>
      </c>
      <c r="T565" s="9">
        <v>22321.43</v>
      </c>
      <c r="U565" s="9">
        <f t="shared" si="276"/>
        <v>89285.72</v>
      </c>
      <c r="V565" s="9">
        <f t="shared" si="277"/>
        <v>100000.00640000001</v>
      </c>
      <c r="W565" s="7"/>
      <c r="X565" s="2">
        <v>2016</v>
      </c>
      <c r="Y565" s="2"/>
    </row>
    <row r="566" spans="2:25" s="11" customFormat="1" ht="89.25" customHeight="1" outlineLevel="1" x14ac:dyDescent="0.25">
      <c r="B566" s="2" t="s">
        <v>1201</v>
      </c>
      <c r="C566" s="3" t="s">
        <v>83</v>
      </c>
      <c r="D566" s="3" t="s">
        <v>1202</v>
      </c>
      <c r="E566" s="3" t="s">
        <v>810</v>
      </c>
      <c r="F566" s="3" t="s">
        <v>1203</v>
      </c>
      <c r="G566" s="19" t="s">
        <v>1188</v>
      </c>
      <c r="H566" s="2" t="s">
        <v>88</v>
      </c>
      <c r="I566" s="4">
        <v>0</v>
      </c>
      <c r="J566" s="5">
        <v>710000000</v>
      </c>
      <c r="K566" s="5" t="s">
        <v>89</v>
      </c>
      <c r="L566" s="2" t="s">
        <v>90</v>
      </c>
      <c r="M566" s="6" t="s">
        <v>787</v>
      </c>
      <c r="N566" s="7" t="s">
        <v>92</v>
      </c>
      <c r="O566" s="7" t="s">
        <v>93</v>
      </c>
      <c r="P566" s="3" t="s">
        <v>673</v>
      </c>
      <c r="Q566" s="31">
        <v>839</v>
      </c>
      <c r="R566" s="5" t="s">
        <v>812</v>
      </c>
      <c r="S566" s="9">
        <v>3</v>
      </c>
      <c r="T566" s="9">
        <v>16071.43</v>
      </c>
      <c r="U566" s="9">
        <f t="shared" si="276"/>
        <v>48214.29</v>
      </c>
      <c r="V566" s="9">
        <f t="shared" si="277"/>
        <v>54000.00480000001</v>
      </c>
      <c r="W566" s="7"/>
      <c r="X566" s="2">
        <v>2016</v>
      </c>
      <c r="Y566" s="2"/>
    </row>
    <row r="567" spans="2:25" s="11" customFormat="1" ht="89.25" customHeight="1" outlineLevel="1" x14ac:dyDescent="0.25">
      <c r="B567" s="2" t="s">
        <v>1204</v>
      </c>
      <c r="C567" s="3" t="s">
        <v>83</v>
      </c>
      <c r="D567" s="3" t="s">
        <v>1205</v>
      </c>
      <c r="E567" s="3" t="s">
        <v>818</v>
      </c>
      <c r="F567" s="3" t="s">
        <v>1206</v>
      </c>
      <c r="G567" s="19" t="s">
        <v>1188</v>
      </c>
      <c r="H567" s="2" t="s">
        <v>88</v>
      </c>
      <c r="I567" s="4">
        <v>0</v>
      </c>
      <c r="J567" s="5">
        <v>710000000</v>
      </c>
      <c r="K567" s="5" t="s">
        <v>89</v>
      </c>
      <c r="L567" s="2" t="s">
        <v>90</v>
      </c>
      <c r="M567" s="6" t="s">
        <v>787</v>
      </c>
      <c r="N567" s="7" t="s">
        <v>92</v>
      </c>
      <c r="O567" s="7" t="s">
        <v>93</v>
      </c>
      <c r="P567" s="3" t="s">
        <v>673</v>
      </c>
      <c r="Q567" s="8">
        <v>796</v>
      </c>
      <c r="R567" s="7" t="s">
        <v>118</v>
      </c>
      <c r="S567" s="9">
        <v>4</v>
      </c>
      <c r="T567" s="9">
        <v>38318.449999999997</v>
      </c>
      <c r="U567" s="9">
        <f t="shared" si="276"/>
        <v>153273.79999999999</v>
      </c>
      <c r="V567" s="9">
        <f t="shared" si="277"/>
        <v>171666.65600000002</v>
      </c>
      <c r="W567" s="7"/>
      <c r="X567" s="2">
        <v>2016</v>
      </c>
      <c r="Y567" s="2"/>
    </row>
    <row r="568" spans="2:25" s="11" customFormat="1" ht="89.25" customHeight="1" outlineLevel="1" x14ac:dyDescent="0.25">
      <c r="B568" s="2" t="s">
        <v>1207</v>
      </c>
      <c r="C568" s="3" t="s">
        <v>83</v>
      </c>
      <c r="D568" s="3" t="s">
        <v>1208</v>
      </c>
      <c r="E568" s="3" t="s">
        <v>825</v>
      </c>
      <c r="F568" s="3" t="s">
        <v>1209</v>
      </c>
      <c r="G568" s="19" t="s">
        <v>1188</v>
      </c>
      <c r="H568" s="2" t="s">
        <v>88</v>
      </c>
      <c r="I568" s="4">
        <v>0</v>
      </c>
      <c r="J568" s="5">
        <v>710000000</v>
      </c>
      <c r="K568" s="5" t="s">
        <v>89</v>
      </c>
      <c r="L568" s="2" t="s">
        <v>90</v>
      </c>
      <c r="M568" s="6" t="s">
        <v>787</v>
      </c>
      <c r="N568" s="7" t="s">
        <v>92</v>
      </c>
      <c r="O568" s="7" t="s">
        <v>93</v>
      </c>
      <c r="P568" s="3" t="s">
        <v>673</v>
      </c>
      <c r="Q568" s="31">
        <v>796</v>
      </c>
      <c r="R568" s="5" t="s">
        <v>118</v>
      </c>
      <c r="S568" s="9">
        <v>4</v>
      </c>
      <c r="T568" s="9">
        <v>20402.900000000001</v>
      </c>
      <c r="U568" s="9">
        <f t="shared" si="276"/>
        <v>81611.600000000006</v>
      </c>
      <c r="V568" s="9">
        <f t="shared" si="277"/>
        <v>91404.992000000013</v>
      </c>
      <c r="W568" s="7"/>
      <c r="X568" s="2">
        <v>2016</v>
      </c>
      <c r="Y568" s="2"/>
    </row>
    <row r="569" spans="2:25" s="11" customFormat="1" ht="89.25" customHeight="1" outlineLevel="1" x14ac:dyDescent="0.25">
      <c r="B569" s="2" t="s">
        <v>1210</v>
      </c>
      <c r="C569" s="3" t="s">
        <v>83</v>
      </c>
      <c r="D569" s="3" t="s">
        <v>1211</v>
      </c>
      <c r="E569" s="3" t="s">
        <v>825</v>
      </c>
      <c r="F569" s="3" t="s">
        <v>1212</v>
      </c>
      <c r="G569" s="19" t="s">
        <v>1188</v>
      </c>
      <c r="H569" s="2" t="s">
        <v>88</v>
      </c>
      <c r="I569" s="4">
        <v>0</v>
      </c>
      <c r="J569" s="5">
        <v>710000000</v>
      </c>
      <c r="K569" s="5" t="s">
        <v>89</v>
      </c>
      <c r="L569" s="2" t="s">
        <v>90</v>
      </c>
      <c r="M569" s="6" t="s">
        <v>787</v>
      </c>
      <c r="N569" s="7" t="s">
        <v>92</v>
      </c>
      <c r="O569" s="7" t="s">
        <v>93</v>
      </c>
      <c r="P569" s="3" t="s">
        <v>673</v>
      </c>
      <c r="Q569" s="8">
        <v>796</v>
      </c>
      <c r="R569" s="7" t="s">
        <v>118</v>
      </c>
      <c r="S569" s="9">
        <v>6</v>
      </c>
      <c r="T569" s="9">
        <v>17969.87</v>
      </c>
      <c r="U569" s="9">
        <f t="shared" si="276"/>
        <v>107819.22</v>
      </c>
      <c r="V569" s="9">
        <f t="shared" si="277"/>
        <v>120757.52640000002</v>
      </c>
      <c r="W569" s="7"/>
      <c r="X569" s="2">
        <v>2016</v>
      </c>
      <c r="Y569" s="2"/>
    </row>
    <row r="570" spans="2:25" s="11" customFormat="1" ht="89.25" customHeight="1" outlineLevel="1" x14ac:dyDescent="0.25">
      <c r="B570" s="2" t="s">
        <v>1213</v>
      </c>
      <c r="C570" s="3" t="s">
        <v>83</v>
      </c>
      <c r="D570" s="3" t="s">
        <v>1214</v>
      </c>
      <c r="E570" s="3" t="s">
        <v>1215</v>
      </c>
      <c r="F570" s="3" t="s">
        <v>1216</v>
      </c>
      <c r="G570" s="19" t="s">
        <v>1217</v>
      </c>
      <c r="H570" s="2" t="s">
        <v>88</v>
      </c>
      <c r="I570" s="4">
        <v>0</v>
      </c>
      <c r="J570" s="5">
        <v>710000000</v>
      </c>
      <c r="K570" s="5" t="s">
        <v>89</v>
      </c>
      <c r="L570" s="2" t="s">
        <v>90</v>
      </c>
      <c r="M570" s="6" t="s">
        <v>787</v>
      </c>
      <c r="N570" s="7" t="s">
        <v>92</v>
      </c>
      <c r="O570" s="7" t="s">
        <v>93</v>
      </c>
      <c r="P570" s="3" t="s">
        <v>673</v>
      </c>
      <c r="Q570" s="8">
        <v>796</v>
      </c>
      <c r="R570" s="7" t="s">
        <v>118</v>
      </c>
      <c r="S570" s="9">
        <v>4</v>
      </c>
      <c r="T570" s="9">
        <v>8482.14</v>
      </c>
      <c r="U570" s="9">
        <f t="shared" si="276"/>
        <v>33928.559999999998</v>
      </c>
      <c r="V570" s="9">
        <f t="shared" si="277"/>
        <v>37999.987200000003</v>
      </c>
      <c r="W570" s="7"/>
      <c r="X570" s="2">
        <v>2016</v>
      </c>
      <c r="Y570" s="2"/>
    </row>
    <row r="571" spans="2:25" s="11" customFormat="1" ht="89.25" customHeight="1" outlineLevel="1" x14ac:dyDescent="0.25">
      <c r="B571" s="2" t="s">
        <v>1218</v>
      </c>
      <c r="C571" s="3" t="s">
        <v>83</v>
      </c>
      <c r="D571" s="3" t="s">
        <v>1219</v>
      </c>
      <c r="E571" s="3" t="s">
        <v>1220</v>
      </c>
      <c r="F571" s="3" t="s">
        <v>1221</v>
      </c>
      <c r="G571" s="19" t="s">
        <v>1188</v>
      </c>
      <c r="H571" s="2" t="s">
        <v>88</v>
      </c>
      <c r="I571" s="4">
        <v>0</v>
      </c>
      <c r="J571" s="5">
        <v>710000000</v>
      </c>
      <c r="K571" s="5" t="s">
        <v>89</v>
      </c>
      <c r="L571" s="2" t="s">
        <v>90</v>
      </c>
      <c r="M571" s="6" t="s">
        <v>787</v>
      </c>
      <c r="N571" s="7" t="s">
        <v>92</v>
      </c>
      <c r="O571" s="7" t="s">
        <v>93</v>
      </c>
      <c r="P571" s="3" t="s">
        <v>673</v>
      </c>
      <c r="Q571" s="8">
        <v>796</v>
      </c>
      <c r="R571" s="7" t="s">
        <v>118</v>
      </c>
      <c r="S571" s="9">
        <v>4</v>
      </c>
      <c r="T571" s="9">
        <v>15649.55</v>
      </c>
      <c r="U571" s="9">
        <f t="shared" si="276"/>
        <v>62598.2</v>
      </c>
      <c r="V571" s="9">
        <f t="shared" si="277"/>
        <v>70109.983999999997</v>
      </c>
      <c r="W571" s="7"/>
      <c r="X571" s="2">
        <v>2016</v>
      </c>
      <c r="Y571" s="2"/>
    </row>
    <row r="572" spans="2:25" s="11" customFormat="1" ht="89.25" customHeight="1" outlineLevel="1" x14ac:dyDescent="0.25">
      <c r="B572" s="2" t="s">
        <v>1222</v>
      </c>
      <c r="C572" s="3" t="s">
        <v>83</v>
      </c>
      <c r="D572" s="3" t="s">
        <v>1223</v>
      </c>
      <c r="E572" s="3" t="s">
        <v>958</v>
      </c>
      <c r="F572" s="3" t="s">
        <v>1224</v>
      </c>
      <c r="G572" s="19" t="s">
        <v>1188</v>
      </c>
      <c r="H572" s="2" t="s">
        <v>88</v>
      </c>
      <c r="I572" s="4">
        <v>0</v>
      </c>
      <c r="J572" s="5">
        <v>710000000</v>
      </c>
      <c r="K572" s="5" t="s">
        <v>89</v>
      </c>
      <c r="L572" s="2" t="s">
        <v>90</v>
      </c>
      <c r="M572" s="6" t="s">
        <v>787</v>
      </c>
      <c r="N572" s="7" t="s">
        <v>92</v>
      </c>
      <c r="O572" s="7" t="s">
        <v>93</v>
      </c>
      <c r="P572" s="3" t="s">
        <v>673</v>
      </c>
      <c r="Q572" s="8">
        <v>796</v>
      </c>
      <c r="R572" s="7" t="s">
        <v>118</v>
      </c>
      <c r="S572" s="9">
        <v>2</v>
      </c>
      <c r="T572" s="9">
        <v>28571.43</v>
      </c>
      <c r="U572" s="9">
        <f t="shared" si="276"/>
        <v>57142.86</v>
      </c>
      <c r="V572" s="9">
        <f t="shared" si="277"/>
        <v>64000.003200000006</v>
      </c>
      <c r="W572" s="7"/>
      <c r="X572" s="2">
        <v>2016</v>
      </c>
      <c r="Y572" s="2"/>
    </row>
    <row r="573" spans="2:25" s="11" customFormat="1" ht="89.25" customHeight="1" outlineLevel="1" x14ac:dyDescent="0.25">
      <c r="B573" s="2" t="s">
        <v>1225</v>
      </c>
      <c r="C573" s="3" t="s">
        <v>83</v>
      </c>
      <c r="D573" s="3" t="s">
        <v>1226</v>
      </c>
      <c r="E573" s="3" t="s">
        <v>965</v>
      </c>
      <c r="F573" s="3" t="s">
        <v>1227</v>
      </c>
      <c r="G573" s="19" t="s">
        <v>1188</v>
      </c>
      <c r="H573" s="2" t="s">
        <v>88</v>
      </c>
      <c r="I573" s="4">
        <v>0</v>
      </c>
      <c r="J573" s="5">
        <v>710000000</v>
      </c>
      <c r="K573" s="5" t="s">
        <v>89</v>
      </c>
      <c r="L573" s="2" t="s">
        <v>90</v>
      </c>
      <c r="M573" s="6" t="s">
        <v>787</v>
      </c>
      <c r="N573" s="7" t="s">
        <v>92</v>
      </c>
      <c r="O573" s="7" t="s">
        <v>93</v>
      </c>
      <c r="P573" s="3" t="s">
        <v>673</v>
      </c>
      <c r="Q573" s="8">
        <v>796</v>
      </c>
      <c r="R573" s="7" t="s">
        <v>118</v>
      </c>
      <c r="S573" s="9">
        <v>1</v>
      </c>
      <c r="T573" s="9">
        <v>62616.07</v>
      </c>
      <c r="U573" s="9">
        <f t="shared" si="276"/>
        <v>62616.07</v>
      </c>
      <c r="V573" s="9">
        <f t="shared" si="277"/>
        <v>70129.998400000011</v>
      </c>
      <c r="W573" s="7"/>
      <c r="X573" s="2">
        <v>2016</v>
      </c>
      <c r="Y573" s="2"/>
    </row>
    <row r="574" spans="2:25" s="11" customFormat="1" ht="89.25" customHeight="1" outlineLevel="1" x14ac:dyDescent="0.25">
      <c r="B574" s="2" t="s">
        <v>1228</v>
      </c>
      <c r="C574" s="3" t="s">
        <v>83</v>
      </c>
      <c r="D574" s="3" t="s">
        <v>1229</v>
      </c>
      <c r="E574" s="3" t="s">
        <v>969</v>
      </c>
      <c r="F574" s="3" t="s">
        <v>1230</v>
      </c>
      <c r="G574" s="19" t="s">
        <v>1188</v>
      </c>
      <c r="H574" s="2" t="s">
        <v>88</v>
      </c>
      <c r="I574" s="4">
        <v>0</v>
      </c>
      <c r="J574" s="5">
        <v>710000000</v>
      </c>
      <c r="K574" s="5" t="s">
        <v>89</v>
      </c>
      <c r="L574" s="2" t="s">
        <v>90</v>
      </c>
      <c r="M574" s="6" t="s">
        <v>787</v>
      </c>
      <c r="N574" s="7" t="s">
        <v>92</v>
      </c>
      <c r="O574" s="7" t="s">
        <v>93</v>
      </c>
      <c r="P574" s="3" t="s">
        <v>673</v>
      </c>
      <c r="Q574" s="8">
        <v>796</v>
      </c>
      <c r="R574" s="7" t="s">
        <v>118</v>
      </c>
      <c r="S574" s="9">
        <v>2</v>
      </c>
      <c r="T574" s="9">
        <v>69642.86</v>
      </c>
      <c r="U574" s="9">
        <f t="shared" si="276"/>
        <v>139285.72</v>
      </c>
      <c r="V574" s="9">
        <f t="shared" si="277"/>
        <v>156000.00640000001</v>
      </c>
      <c r="W574" s="7"/>
      <c r="X574" s="2">
        <v>2016</v>
      </c>
      <c r="Y574" s="2"/>
    </row>
    <row r="575" spans="2:25" s="11" customFormat="1" ht="89.25" customHeight="1" outlineLevel="1" x14ac:dyDescent="0.25">
      <c r="B575" s="2" t="s">
        <v>1231</v>
      </c>
      <c r="C575" s="3" t="s">
        <v>83</v>
      </c>
      <c r="D575" s="3" t="s">
        <v>1232</v>
      </c>
      <c r="E575" s="3" t="s">
        <v>1233</v>
      </c>
      <c r="F575" s="3" t="s">
        <v>1234</v>
      </c>
      <c r="G575" s="19" t="s">
        <v>1188</v>
      </c>
      <c r="H575" s="2" t="s">
        <v>88</v>
      </c>
      <c r="I575" s="4">
        <v>0</v>
      </c>
      <c r="J575" s="5">
        <v>710000000</v>
      </c>
      <c r="K575" s="5" t="s">
        <v>89</v>
      </c>
      <c r="L575" s="2" t="s">
        <v>90</v>
      </c>
      <c r="M575" s="6" t="s">
        <v>787</v>
      </c>
      <c r="N575" s="7" t="s">
        <v>92</v>
      </c>
      <c r="O575" s="7" t="s">
        <v>93</v>
      </c>
      <c r="P575" s="3" t="s">
        <v>673</v>
      </c>
      <c r="Q575" s="8">
        <v>796</v>
      </c>
      <c r="R575" s="7" t="s">
        <v>118</v>
      </c>
      <c r="S575" s="9">
        <v>4</v>
      </c>
      <c r="T575" s="9">
        <v>10714.29</v>
      </c>
      <c r="U575" s="9">
        <f t="shared" si="276"/>
        <v>42857.16</v>
      </c>
      <c r="V575" s="9">
        <f t="shared" si="277"/>
        <v>48000.01920000001</v>
      </c>
      <c r="W575" s="7"/>
      <c r="X575" s="2">
        <v>2016</v>
      </c>
      <c r="Y575" s="2"/>
    </row>
    <row r="576" spans="2:25" s="11" customFormat="1" ht="89.25" customHeight="1" outlineLevel="1" x14ac:dyDescent="0.25">
      <c r="B576" s="2" t="s">
        <v>1235</v>
      </c>
      <c r="C576" s="3" t="s">
        <v>83</v>
      </c>
      <c r="D576" s="3" t="s">
        <v>1236</v>
      </c>
      <c r="E576" s="3" t="s">
        <v>872</v>
      </c>
      <c r="F576" s="3" t="s">
        <v>7697</v>
      </c>
      <c r="G576" s="19" t="s">
        <v>1188</v>
      </c>
      <c r="H576" s="2" t="s">
        <v>88</v>
      </c>
      <c r="I576" s="4">
        <v>0</v>
      </c>
      <c r="J576" s="5">
        <v>710000000</v>
      </c>
      <c r="K576" s="5" t="s">
        <v>89</v>
      </c>
      <c r="L576" s="2" t="s">
        <v>90</v>
      </c>
      <c r="M576" s="6" t="s">
        <v>787</v>
      </c>
      <c r="N576" s="7" t="s">
        <v>92</v>
      </c>
      <c r="O576" s="7" t="s">
        <v>93</v>
      </c>
      <c r="P576" s="3" t="s">
        <v>673</v>
      </c>
      <c r="Q576" s="8">
        <v>796</v>
      </c>
      <c r="R576" s="7" t="s">
        <v>118</v>
      </c>
      <c r="S576" s="9">
        <v>4</v>
      </c>
      <c r="T576" s="9">
        <v>8482.14</v>
      </c>
      <c r="U576" s="9">
        <f t="shared" si="276"/>
        <v>33928.559999999998</v>
      </c>
      <c r="V576" s="9">
        <f t="shared" si="277"/>
        <v>37999.987200000003</v>
      </c>
      <c r="W576" s="7"/>
      <c r="X576" s="2">
        <v>2016</v>
      </c>
      <c r="Y576" s="2"/>
    </row>
    <row r="577" spans="2:25" s="11" customFormat="1" ht="89.25" customHeight="1" outlineLevel="1" x14ac:dyDescent="0.25">
      <c r="B577" s="2" t="s">
        <v>1237</v>
      </c>
      <c r="C577" s="3" t="s">
        <v>83</v>
      </c>
      <c r="D577" s="3" t="s">
        <v>1238</v>
      </c>
      <c r="E577" s="3" t="s">
        <v>841</v>
      </c>
      <c r="F577" s="3" t="s">
        <v>1239</v>
      </c>
      <c r="G577" s="19" t="s">
        <v>1240</v>
      </c>
      <c r="H577" s="2" t="s">
        <v>88</v>
      </c>
      <c r="I577" s="4">
        <v>0</v>
      </c>
      <c r="J577" s="5">
        <v>710000000</v>
      </c>
      <c r="K577" s="5" t="s">
        <v>89</v>
      </c>
      <c r="L577" s="2" t="s">
        <v>90</v>
      </c>
      <c r="M577" s="6" t="s">
        <v>787</v>
      </c>
      <c r="N577" s="7" t="s">
        <v>92</v>
      </c>
      <c r="O577" s="7" t="s">
        <v>93</v>
      </c>
      <c r="P577" s="3" t="s">
        <v>673</v>
      </c>
      <c r="Q577" s="8">
        <v>796</v>
      </c>
      <c r="R577" s="7" t="s">
        <v>118</v>
      </c>
      <c r="S577" s="9">
        <v>10</v>
      </c>
      <c r="T577" s="9">
        <v>2593.75</v>
      </c>
      <c r="U577" s="9">
        <f t="shared" ref="U577:U640" si="278">T577*S577</f>
        <v>25937.5</v>
      </c>
      <c r="V577" s="9">
        <f t="shared" si="277"/>
        <v>29050.000000000004</v>
      </c>
      <c r="W577" s="7"/>
      <c r="X577" s="2">
        <v>2016</v>
      </c>
      <c r="Y577" s="2"/>
    </row>
    <row r="578" spans="2:25" s="11" customFormat="1" ht="89.25" customHeight="1" outlineLevel="1" x14ac:dyDescent="0.25">
      <c r="B578" s="2" t="s">
        <v>1241</v>
      </c>
      <c r="C578" s="3" t="s">
        <v>83</v>
      </c>
      <c r="D578" s="3" t="s">
        <v>1238</v>
      </c>
      <c r="E578" s="3" t="s">
        <v>841</v>
      </c>
      <c r="F578" s="3" t="s">
        <v>1239</v>
      </c>
      <c r="G578" s="19" t="s">
        <v>1242</v>
      </c>
      <c r="H578" s="2" t="s">
        <v>88</v>
      </c>
      <c r="I578" s="4">
        <v>0</v>
      </c>
      <c r="J578" s="5">
        <v>710000000</v>
      </c>
      <c r="K578" s="5" t="s">
        <v>89</v>
      </c>
      <c r="L578" s="2" t="s">
        <v>90</v>
      </c>
      <c r="M578" s="6" t="s">
        <v>787</v>
      </c>
      <c r="N578" s="7" t="s">
        <v>92</v>
      </c>
      <c r="O578" s="7" t="s">
        <v>93</v>
      </c>
      <c r="P578" s="3" t="s">
        <v>673</v>
      </c>
      <c r="Q578" s="8">
        <v>796</v>
      </c>
      <c r="R578" s="7" t="s">
        <v>118</v>
      </c>
      <c r="S578" s="9">
        <v>6</v>
      </c>
      <c r="T578" s="9">
        <v>2593.75</v>
      </c>
      <c r="U578" s="9">
        <f t="shared" si="278"/>
        <v>15562.5</v>
      </c>
      <c r="V578" s="9">
        <f t="shared" si="277"/>
        <v>17430</v>
      </c>
      <c r="W578" s="7"/>
      <c r="X578" s="2">
        <v>2016</v>
      </c>
      <c r="Y578" s="2"/>
    </row>
    <row r="579" spans="2:25" s="11" customFormat="1" ht="89.25" customHeight="1" outlineLevel="1" x14ac:dyDescent="0.25">
      <c r="B579" s="2" t="s">
        <v>1243</v>
      </c>
      <c r="C579" s="3" t="s">
        <v>83</v>
      </c>
      <c r="D579" s="3" t="s">
        <v>1244</v>
      </c>
      <c r="E579" s="3" t="s">
        <v>1245</v>
      </c>
      <c r="F579" s="3" t="s">
        <v>1246</v>
      </c>
      <c r="G579" s="19" t="s">
        <v>1247</v>
      </c>
      <c r="H579" s="2" t="s">
        <v>88</v>
      </c>
      <c r="I579" s="4">
        <v>0</v>
      </c>
      <c r="J579" s="5">
        <v>710000000</v>
      </c>
      <c r="K579" s="5" t="s">
        <v>89</v>
      </c>
      <c r="L579" s="2" t="s">
        <v>90</v>
      </c>
      <c r="M579" s="6" t="s">
        <v>787</v>
      </c>
      <c r="N579" s="7" t="s">
        <v>92</v>
      </c>
      <c r="O579" s="7" t="s">
        <v>93</v>
      </c>
      <c r="P579" s="3" t="s">
        <v>673</v>
      </c>
      <c r="Q579" s="8">
        <v>796</v>
      </c>
      <c r="R579" s="7" t="s">
        <v>118</v>
      </c>
      <c r="S579" s="9">
        <v>1</v>
      </c>
      <c r="T579" s="9">
        <v>19642.86</v>
      </c>
      <c r="U579" s="9">
        <f t="shared" si="278"/>
        <v>19642.86</v>
      </c>
      <c r="V579" s="9">
        <f t="shared" si="277"/>
        <v>22000.003200000003</v>
      </c>
      <c r="W579" s="7"/>
      <c r="X579" s="2">
        <v>2016</v>
      </c>
      <c r="Y579" s="2"/>
    </row>
    <row r="580" spans="2:25" s="11" customFormat="1" ht="89.25" customHeight="1" outlineLevel="1" x14ac:dyDescent="0.25">
      <c r="B580" s="2" t="s">
        <v>1248</v>
      </c>
      <c r="C580" s="3" t="s">
        <v>83</v>
      </c>
      <c r="D580" s="3" t="s">
        <v>1249</v>
      </c>
      <c r="E580" s="3" t="s">
        <v>853</v>
      </c>
      <c r="F580" s="3" t="s">
        <v>1250</v>
      </c>
      <c r="G580" s="19" t="s">
        <v>1251</v>
      </c>
      <c r="H580" s="2" t="s">
        <v>88</v>
      </c>
      <c r="I580" s="4">
        <v>0</v>
      </c>
      <c r="J580" s="5">
        <v>710000000</v>
      </c>
      <c r="K580" s="5" t="s">
        <v>89</v>
      </c>
      <c r="L580" s="2" t="s">
        <v>90</v>
      </c>
      <c r="M580" s="6" t="s">
        <v>787</v>
      </c>
      <c r="N580" s="7" t="s">
        <v>92</v>
      </c>
      <c r="O580" s="7" t="s">
        <v>93</v>
      </c>
      <c r="P580" s="3" t="s">
        <v>673</v>
      </c>
      <c r="Q580" s="8">
        <v>796</v>
      </c>
      <c r="R580" s="7" t="s">
        <v>118</v>
      </c>
      <c r="S580" s="9">
        <v>1</v>
      </c>
      <c r="T580" s="9">
        <v>21428.57</v>
      </c>
      <c r="U580" s="9">
        <f t="shared" si="278"/>
        <v>21428.57</v>
      </c>
      <c r="V580" s="9">
        <f t="shared" si="277"/>
        <v>23999.9984</v>
      </c>
      <c r="W580" s="7"/>
      <c r="X580" s="2">
        <v>2016</v>
      </c>
      <c r="Y580" s="2"/>
    </row>
    <row r="581" spans="2:25" s="11" customFormat="1" ht="89.25" customHeight="1" outlineLevel="1" x14ac:dyDescent="0.25">
      <c r="B581" s="2" t="s">
        <v>1252</v>
      </c>
      <c r="C581" s="3" t="s">
        <v>83</v>
      </c>
      <c r="D581" s="3" t="s">
        <v>1253</v>
      </c>
      <c r="E581" s="3" t="s">
        <v>858</v>
      </c>
      <c r="F581" s="3" t="s">
        <v>1254</v>
      </c>
      <c r="G581" s="19" t="s">
        <v>1188</v>
      </c>
      <c r="H581" s="2" t="s">
        <v>88</v>
      </c>
      <c r="I581" s="4">
        <v>0</v>
      </c>
      <c r="J581" s="5">
        <v>710000000</v>
      </c>
      <c r="K581" s="5" t="s">
        <v>89</v>
      </c>
      <c r="L581" s="2" t="s">
        <v>90</v>
      </c>
      <c r="M581" s="6" t="s">
        <v>787</v>
      </c>
      <c r="N581" s="7" t="s">
        <v>92</v>
      </c>
      <c r="O581" s="7" t="s">
        <v>93</v>
      </c>
      <c r="P581" s="3" t="s">
        <v>673</v>
      </c>
      <c r="Q581" s="8">
        <v>839</v>
      </c>
      <c r="R581" s="7" t="s">
        <v>812</v>
      </c>
      <c r="S581" s="9">
        <v>1</v>
      </c>
      <c r="T581" s="9">
        <v>8482.14</v>
      </c>
      <c r="U581" s="9">
        <f t="shared" si="278"/>
        <v>8482.14</v>
      </c>
      <c r="V581" s="9">
        <f t="shared" si="277"/>
        <v>9499.9968000000008</v>
      </c>
      <c r="W581" s="7"/>
      <c r="X581" s="2">
        <v>2016</v>
      </c>
      <c r="Y581" s="2"/>
    </row>
    <row r="582" spans="2:25" s="11" customFormat="1" ht="89.25" customHeight="1" outlineLevel="1" x14ac:dyDescent="0.25">
      <c r="B582" s="2" t="s">
        <v>1255</v>
      </c>
      <c r="C582" s="3" t="s">
        <v>83</v>
      </c>
      <c r="D582" s="3" t="s">
        <v>1256</v>
      </c>
      <c r="E582" s="3" t="s">
        <v>864</v>
      </c>
      <c r="F582" s="3" t="s">
        <v>1257</v>
      </c>
      <c r="G582" s="19" t="s">
        <v>1188</v>
      </c>
      <c r="H582" s="2" t="s">
        <v>88</v>
      </c>
      <c r="I582" s="4">
        <v>0</v>
      </c>
      <c r="J582" s="5">
        <v>710000000</v>
      </c>
      <c r="K582" s="5" t="s">
        <v>89</v>
      </c>
      <c r="L582" s="2" t="s">
        <v>90</v>
      </c>
      <c r="M582" s="6" t="s">
        <v>787</v>
      </c>
      <c r="N582" s="7" t="s">
        <v>92</v>
      </c>
      <c r="O582" s="7" t="s">
        <v>93</v>
      </c>
      <c r="P582" s="3" t="s">
        <v>673</v>
      </c>
      <c r="Q582" s="8">
        <v>796</v>
      </c>
      <c r="R582" s="7" t="s">
        <v>118</v>
      </c>
      <c r="S582" s="9">
        <v>1</v>
      </c>
      <c r="T582" s="9">
        <v>29702.38</v>
      </c>
      <c r="U582" s="9">
        <f t="shared" si="278"/>
        <v>29702.38</v>
      </c>
      <c r="V582" s="9">
        <f t="shared" si="277"/>
        <v>33266.665600000008</v>
      </c>
      <c r="W582" s="7"/>
      <c r="X582" s="2">
        <v>2016</v>
      </c>
      <c r="Y582" s="2"/>
    </row>
    <row r="583" spans="2:25" s="11" customFormat="1" ht="89.25" customHeight="1" outlineLevel="1" x14ac:dyDescent="0.25">
      <c r="B583" s="2" t="s">
        <v>1258</v>
      </c>
      <c r="C583" s="3" t="s">
        <v>83</v>
      </c>
      <c r="D583" s="3" t="s">
        <v>1259</v>
      </c>
      <c r="E583" s="3" t="s">
        <v>858</v>
      </c>
      <c r="F583" s="3" t="s">
        <v>1260</v>
      </c>
      <c r="G583" s="19" t="s">
        <v>1188</v>
      </c>
      <c r="H583" s="2" t="s">
        <v>88</v>
      </c>
      <c r="I583" s="4">
        <v>0</v>
      </c>
      <c r="J583" s="5">
        <v>710000000</v>
      </c>
      <c r="K583" s="5" t="s">
        <v>89</v>
      </c>
      <c r="L583" s="2" t="s">
        <v>90</v>
      </c>
      <c r="M583" s="6" t="s">
        <v>787</v>
      </c>
      <c r="N583" s="7" t="s">
        <v>92</v>
      </c>
      <c r="O583" s="7" t="s">
        <v>93</v>
      </c>
      <c r="P583" s="3" t="s">
        <v>673</v>
      </c>
      <c r="Q583" s="8">
        <v>839</v>
      </c>
      <c r="R583" s="7" t="s">
        <v>812</v>
      </c>
      <c r="S583" s="9">
        <v>1</v>
      </c>
      <c r="T583" s="9">
        <v>8482.14</v>
      </c>
      <c r="U583" s="9">
        <f t="shared" si="278"/>
        <v>8482.14</v>
      </c>
      <c r="V583" s="9">
        <f t="shared" si="277"/>
        <v>9499.9968000000008</v>
      </c>
      <c r="W583" s="7"/>
      <c r="X583" s="2">
        <v>2016</v>
      </c>
      <c r="Y583" s="2"/>
    </row>
    <row r="584" spans="2:25" s="11" customFormat="1" ht="89.25" customHeight="1" outlineLevel="1" x14ac:dyDescent="0.25">
      <c r="B584" s="2" t="s">
        <v>1261</v>
      </c>
      <c r="C584" s="3" t="s">
        <v>83</v>
      </c>
      <c r="D584" s="3" t="s">
        <v>1262</v>
      </c>
      <c r="E584" s="3" t="s">
        <v>1263</v>
      </c>
      <c r="F584" s="3" t="s">
        <v>1264</v>
      </c>
      <c r="G584" s="19" t="s">
        <v>1188</v>
      </c>
      <c r="H584" s="2" t="s">
        <v>88</v>
      </c>
      <c r="I584" s="4">
        <v>0</v>
      </c>
      <c r="J584" s="5">
        <v>710000000</v>
      </c>
      <c r="K584" s="5" t="s">
        <v>89</v>
      </c>
      <c r="L584" s="2" t="s">
        <v>90</v>
      </c>
      <c r="M584" s="6" t="s">
        <v>787</v>
      </c>
      <c r="N584" s="7" t="s">
        <v>92</v>
      </c>
      <c r="O584" s="7" t="s">
        <v>93</v>
      </c>
      <c r="P584" s="3" t="s">
        <v>673</v>
      </c>
      <c r="Q584" s="8">
        <v>796</v>
      </c>
      <c r="R584" s="7" t="s">
        <v>118</v>
      </c>
      <c r="S584" s="9">
        <v>2</v>
      </c>
      <c r="T584" s="9">
        <v>10267.86</v>
      </c>
      <c r="U584" s="9">
        <f t="shared" si="278"/>
        <v>20535.72</v>
      </c>
      <c r="V584" s="9">
        <f t="shared" si="277"/>
        <v>23000.006400000002</v>
      </c>
      <c r="W584" s="7"/>
      <c r="X584" s="2">
        <v>2016</v>
      </c>
      <c r="Y584" s="2"/>
    </row>
    <row r="585" spans="2:25" s="11" customFormat="1" ht="89.25" customHeight="1" outlineLevel="1" x14ac:dyDescent="0.25">
      <c r="B585" s="2" t="s">
        <v>1265</v>
      </c>
      <c r="C585" s="3" t="s">
        <v>83</v>
      </c>
      <c r="D585" s="3" t="s">
        <v>1266</v>
      </c>
      <c r="E585" s="3" t="s">
        <v>918</v>
      </c>
      <c r="F585" s="3" t="s">
        <v>1267</v>
      </c>
      <c r="G585" s="19" t="s">
        <v>1188</v>
      </c>
      <c r="H585" s="2" t="s">
        <v>88</v>
      </c>
      <c r="I585" s="4">
        <v>0</v>
      </c>
      <c r="J585" s="5">
        <v>710000000</v>
      </c>
      <c r="K585" s="5" t="s">
        <v>89</v>
      </c>
      <c r="L585" s="2" t="s">
        <v>90</v>
      </c>
      <c r="M585" s="6" t="s">
        <v>787</v>
      </c>
      <c r="N585" s="7" t="s">
        <v>92</v>
      </c>
      <c r="O585" s="7" t="s">
        <v>93</v>
      </c>
      <c r="P585" s="3" t="s">
        <v>673</v>
      </c>
      <c r="Q585" s="8">
        <v>796</v>
      </c>
      <c r="R585" s="7" t="s">
        <v>118</v>
      </c>
      <c r="S585" s="9">
        <v>2</v>
      </c>
      <c r="T585" s="9">
        <v>10714.29</v>
      </c>
      <c r="U585" s="9">
        <f t="shared" si="278"/>
        <v>21428.58</v>
      </c>
      <c r="V585" s="9">
        <f t="shared" si="277"/>
        <v>24000.009600000005</v>
      </c>
      <c r="W585" s="7"/>
      <c r="X585" s="2">
        <v>2016</v>
      </c>
      <c r="Y585" s="2"/>
    </row>
    <row r="586" spans="2:25" s="11" customFormat="1" ht="89.25" customHeight="1" outlineLevel="1" x14ac:dyDescent="0.25">
      <c r="B586" s="2" t="s">
        <v>1268</v>
      </c>
      <c r="C586" s="3" t="s">
        <v>83</v>
      </c>
      <c r="D586" s="3" t="s">
        <v>921</v>
      </c>
      <c r="E586" s="3" t="s">
        <v>790</v>
      </c>
      <c r="F586" s="3" t="s">
        <v>922</v>
      </c>
      <c r="G586" s="19" t="s">
        <v>1269</v>
      </c>
      <c r="H586" s="2" t="s">
        <v>88</v>
      </c>
      <c r="I586" s="4">
        <v>0</v>
      </c>
      <c r="J586" s="5">
        <v>710000000</v>
      </c>
      <c r="K586" s="5" t="s">
        <v>89</v>
      </c>
      <c r="L586" s="2" t="s">
        <v>90</v>
      </c>
      <c r="M586" s="6" t="s">
        <v>787</v>
      </c>
      <c r="N586" s="7" t="s">
        <v>92</v>
      </c>
      <c r="O586" s="7" t="s">
        <v>93</v>
      </c>
      <c r="P586" s="3" t="s">
        <v>673</v>
      </c>
      <c r="Q586" s="8">
        <v>796</v>
      </c>
      <c r="R586" s="7" t="s">
        <v>118</v>
      </c>
      <c r="S586" s="9">
        <v>12</v>
      </c>
      <c r="T586" s="9">
        <v>4017.86</v>
      </c>
      <c r="U586" s="9">
        <f t="shared" si="278"/>
        <v>48214.32</v>
      </c>
      <c r="V586" s="9">
        <f t="shared" si="277"/>
        <v>54000.038400000005</v>
      </c>
      <c r="W586" s="7"/>
      <c r="X586" s="2">
        <v>2016</v>
      </c>
      <c r="Y586" s="2"/>
    </row>
    <row r="587" spans="2:25" s="11" customFormat="1" ht="89.25" customHeight="1" outlineLevel="1" x14ac:dyDescent="0.25">
      <c r="B587" s="2" t="s">
        <v>1270</v>
      </c>
      <c r="C587" s="3" t="s">
        <v>83</v>
      </c>
      <c r="D587" s="3" t="s">
        <v>1271</v>
      </c>
      <c r="E587" s="3" t="s">
        <v>790</v>
      </c>
      <c r="F587" s="3" t="s">
        <v>1272</v>
      </c>
      <c r="G587" s="19" t="s">
        <v>1273</v>
      </c>
      <c r="H587" s="2" t="s">
        <v>88</v>
      </c>
      <c r="I587" s="4">
        <v>0</v>
      </c>
      <c r="J587" s="5">
        <v>710000000</v>
      </c>
      <c r="K587" s="5" t="s">
        <v>89</v>
      </c>
      <c r="L587" s="2" t="s">
        <v>90</v>
      </c>
      <c r="M587" s="6" t="s">
        <v>787</v>
      </c>
      <c r="N587" s="7" t="s">
        <v>92</v>
      </c>
      <c r="O587" s="7" t="s">
        <v>93</v>
      </c>
      <c r="P587" s="3" t="s">
        <v>673</v>
      </c>
      <c r="Q587" s="8">
        <v>796</v>
      </c>
      <c r="R587" s="7" t="s">
        <v>118</v>
      </c>
      <c r="S587" s="9">
        <v>12</v>
      </c>
      <c r="T587" s="9">
        <v>14389.88</v>
      </c>
      <c r="U587" s="9">
        <f t="shared" si="278"/>
        <v>172678.56</v>
      </c>
      <c r="V587" s="9">
        <f t="shared" si="277"/>
        <v>193399.9872</v>
      </c>
      <c r="W587" s="7"/>
      <c r="X587" s="2">
        <v>2016</v>
      </c>
      <c r="Y587" s="2"/>
    </row>
    <row r="588" spans="2:25" s="11" customFormat="1" ht="89.25" customHeight="1" outlineLevel="1" x14ac:dyDescent="0.25">
      <c r="B588" s="2" t="s">
        <v>1274</v>
      </c>
      <c r="C588" s="3" t="s">
        <v>83</v>
      </c>
      <c r="D588" s="3" t="s">
        <v>1275</v>
      </c>
      <c r="E588" s="3" t="s">
        <v>790</v>
      </c>
      <c r="F588" s="3" t="s">
        <v>1276</v>
      </c>
      <c r="G588" s="19" t="s">
        <v>1277</v>
      </c>
      <c r="H588" s="2" t="s">
        <v>88</v>
      </c>
      <c r="I588" s="4">
        <v>0</v>
      </c>
      <c r="J588" s="5">
        <v>710000000</v>
      </c>
      <c r="K588" s="5" t="s">
        <v>89</v>
      </c>
      <c r="L588" s="2" t="s">
        <v>90</v>
      </c>
      <c r="M588" s="6" t="s">
        <v>787</v>
      </c>
      <c r="N588" s="7" t="s">
        <v>92</v>
      </c>
      <c r="O588" s="7" t="s">
        <v>93</v>
      </c>
      <c r="P588" s="3" t="s">
        <v>673</v>
      </c>
      <c r="Q588" s="8">
        <v>796</v>
      </c>
      <c r="R588" s="7" t="s">
        <v>118</v>
      </c>
      <c r="S588" s="9">
        <v>8</v>
      </c>
      <c r="T588" s="9">
        <v>13422.62</v>
      </c>
      <c r="U588" s="9">
        <f t="shared" si="278"/>
        <v>107380.96</v>
      </c>
      <c r="V588" s="9">
        <f t="shared" si="277"/>
        <v>120266.67520000001</v>
      </c>
      <c r="W588" s="7"/>
      <c r="X588" s="2">
        <v>2016</v>
      </c>
      <c r="Y588" s="2"/>
    </row>
    <row r="589" spans="2:25" s="11" customFormat="1" ht="89.25" customHeight="1" outlineLevel="1" x14ac:dyDescent="0.25">
      <c r="B589" s="2" t="s">
        <v>1278</v>
      </c>
      <c r="C589" s="3" t="s">
        <v>83</v>
      </c>
      <c r="D589" s="3" t="s">
        <v>1199</v>
      </c>
      <c r="E589" s="3" t="s">
        <v>810</v>
      </c>
      <c r="F589" s="3" t="s">
        <v>1200</v>
      </c>
      <c r="G589" s="19" t="s">
        <v>1273</v>
      </c>
      <c r="H589" s="2" t="s">
        <v>88</v>
      </c>
      <c r="I589" s="4">
        <v>0</v>
      </c>
      <c r="J589" s="5">
        <v>710000000</v>
      </c>
      <c r="K589" s="5" t="s">
        <v>89</v>
      </c>
      <c r="L589" s="2" t="s">
        <v>90</v>
      </c>
      <c r="M589" s="6" t="s">
        <v>787</v>
      </c>
      <c r="N589" s="7" t="s">
        <v>92</v>
      </c>
      <c r="O589" s="7" t="s">
        <v>93</v>
      </c>
      <c r="P589" s="3" t="s">
        <v>673</v>
      </c>
      <c r="Q589" s="8">
        <v>839</v>
      </c>
      <c r="R589" s="7" t="s">
        <v>812</v>
      </c>
      <c r="S589" s="9">
        <v>8</v>
      </c>
      <c r="T589" s="9">
        <v>16071.43</v>
      </c>
      <c r="U589" s="9">
        <f t="shared" si="278"/>
        <v>128571.44</v>
      </c>
      <c r="V589" s="9">
        <f t="shared" si="277"/>
        <v>144000.01280000003</v>
      </c>
      <c r="W589" s="7"/>
      <c r="X589" s="2">
        <v>2016</v>
      </c>
      <c r="Y589" s="2"/>
    </row>
    <row r="590" spans="2:25" s="11" customFormat="1" ht="89.25" customHeight="1" outlineLevel="1" x14ac:dyDescent="0.25">
      <c r="B590" s="2" t="s">
        <v>1279</v>
      </c>
      <c r="C590" s="3" t="s">
        <v>83</v>
      </c>
      <c r="D590" s="3" t="s">
        <v>1202</v>
      </c>
      <c r="E590" s="3" t="s">
        <v>810</v>
      </c>
      <c r="F590" s="3" t="s">
        <v>1203</v>
      </c>
      <c r="G590" s="19" t="s">
        <v>1273</v>
      </c>
      <c r="H590" s="2" t="s">
        <v>88</v>
      </c>
      <c r="I590" s="4">
        <v>0</v>
      </c>
      <c r="J590" s="5">
        <v>710000000</v>
      </c>
      <c r="K590" s="5" t="s">
        <v>89</v>
      </c>
      <c r="L590" s="2" t="s">
        <v>90</v>
      </c>
      <c r="M590" s="6" t="s">
        <v>787</v>
      </c>
      <c r="N590" s="7" t="s">
        <v>92</v>
      </c>
      <c r="O590" s="7" t="s">
        <v>93</v>
      </c>
      <c r="P590" s="3" t="s">
        <v>673</v>
      </c>
      <c r="Q590" s="8">
        <v>839</v>
      </c>
      <c r="R590" s="7" t="s">
        <v>812</v>
      </c>
      <c r="S590" s="9">
        <v>2</v>
      </c>
      <c r="T590" s="9">
        <v>11607.14</v>
      </c>
      <c r="U590" s="9">
        <f t="shared" si="278"/>
        <v>23214.28</v>
      </c>
      <c r="V590" s="9">
        <f t="shared" si="277"/>
        <v>25999.993600000002</v>
      </c>
      <c r="W590" s="7"/>
      <c r="X590" s="2">
        <v>2016</v>
      </c>
      <c r="Y590" s="2"/>
    </row>
    <row r="591" spans="2:25" s="11" customFormat="1" ht="89.25" customHeight="1" outlineLevel="1" x14ac:dyDescent="0.25">
      <c r="B591" s="2" t="s">
        <v>1280</v>
      </c>
      <c r="C591" s="3" t="s">
        <v>83</v>
      </c>
      <c r="D591" s="3" t="s">
        <v>1205</v>
      </c>
      <c r="E591" s="3" t="s">
        <v>818</v>
      </c>
      <c r="F591" s="3" t="s">
        <v>1206</v>
      </c>
      <c r="G591" s="19" t="s">
        <v>1273</v>
      </c>
      <c r="H591" s="2" t="s">
        <v>88</v>
      </c>
      <c r="I591" s="4">
        <v>0</v>
      </c>
      <c r="J591" s="5">
        <v>710000000</v>
      </c>
      <c r="K591" s="5" t="s">
        <v>89</v>
      </c>
      <c r="L591" s="2" t="s">
        <v>90</v>
      </c>
      <c r="M591" s="6" t="s">
        <v>787</v>
      </c>
      <c r="N591" s="7" t="s">
        <v>92</v>
      </c>
      <c r="O591" s="7" t="s">
        <v>93</v>
      </c>
      <c r="P591" s="3" t="s">
        <v>673</v>
      </c>
      <c r="Q591" s="8">
        <v>796</v>
      </c>
      <c r="R591" s="7" t="s">
        <v>118</v>
      </c>
      <c r="S591" s="9">
        <v>4</v>
      </c>
      <c r="T591" s="9">
        <v>26726.19</v>
      </c>
      <c r="U591" s="9">
        <f t="shared" si="278"/>
        <v>106904.76</v>
      </c>
      <c r="V591" s="9">
        <f t="shared" si="277"/>
        <v>119733.3312</v>
      </c>
      <c r="W591" s="7"/>
      <c r="X591" s="2">
        <v>2016</v>
      </c>
      <c r="Y591" s="2"/>
    </row>
    <row r="592" spans="2:25" s="11" customFormat="1" ht="89.25" customHeight="1" outlineLevel="1" x14ac:dyDescent="0.25">
      <c r="B592" s="2" t="s">
        <v>1281</v>
      </c>
      <c r="C592" s="3" t="s">
        <v>83</v>
      </c>
      <c r="D592" s="3" t="s">
        <v>1208</v>
      </c>
      <c r="E592" s="3" t="s">
        <v>825</v>
      </c>
      <c r="F592" s="3" t="s">
        <v>1209</v>
      </c>
      <c r="G592" s="19" t="s">
        <v>1273</v>
      </c>
      <c r="H592" s="2" t="s">
        <v>88</v>
      </c>
      <c r="I592" s="4">
        <v>0</v>
      </c>
      <c r="J592" s="5">
        <v>710000000</v>
      </c>
      <c r="K592" s="5" t="s">
        <v>89</v>
      </c>
      <c r="L592" s="2" t="s">
        <v>90</v>
      </c>
      <c r="M592" s="6" t="s">
        <v>787</v>
      </c>
      <c r="N592" s="7" t="s">
        <v>92</v>
      </c>
      <c r="O592" s="7" t="s">
        <v>93</v>
      </c>
      <c r="P592" s="3" t="s">
        <v>673</v>
      </c>
      <c r="Q592" s="8">
        <v>796</v>
      </c>
      <c r="R592" s="7" t="s">
        <v>118</v>
      </c>
      <c r="S592" s="9">
        <v>2</v>
      </c>
      <c r="T592" s="9">
        <v>19642.86</v>
      </c>
      <c r="U592" s="9">
        <f t="shared" si="278"/>
        <v>39285.72</v>
      </c>
      <c r="V592" s="9">
        <f t="shared" si="277"/>
        <v>44000.006400000006</v>
      </c>
      <c r="W592" s="7"/>
      <c r="X592" s="2">
        <v>2016</v>
      </c>
      <c r="Y592" s="2"/>
    </row>
    <row r="593" spans="2:25" s="11" customFormat="1" ht="89.25" customHeight="1" outlineLevel="1" x14ac:dyDescent="0.25">
      <c r="B593" s="2" t="s">
        <v>1282</v>
      </c>
      <c r="C593" s="3" t="s">
        <v>83</v>
      </c>
      <c r="D593" s="3" t="s">
        <v>1211</v>
      </c>
      <c r="E593" s="3" t="s">
        <v>825</v>
      </c>
      <c r="F593" s="3" t="s">
        <v>1212</v>
      </c>
      <c r="G593" s="19" t="s">
        <v>1273</v>
      </c>
      <c r="H593" s="2" t="s">
        <v>88</v>
      </c>
      <c r="I593" s="4">
        <v>0</v>
      </c>
      <c r="J593" s="5">
        <v>710000000</v>
      </c>
      <c r="K593" s="5" t="s">
        <v>89</v>
      </c>
      <c r="L593" s="2" t="s">
        <v>90</v>
      </c>
      <c r="M593" s="6" t="s">
        <v>787</v>
      </c>
      <c r="N593" s="7" t="s">
        <v>92</v>
      </c>
      <c r="O593" s="7" t="s">
        <v>93</v>
      </c>
      <c r="P593" s="3" t="s">
        <v>673</v>
      </c>
      <c r="Q593" s="8">
        <v>796</v>
      </c>
      <c r="R593" s="7" t="s">
        <v>118</v>
      </c>
      <c r="S593" s="9">
        <v>2</v>
      </c>
      <c r="T593" s="9">
        <v>17857.14</v>
      </c>
      <c r="U593" s="9">
        <f t="shared" si="278"/>
        <v>35714.28</v>
      </c>
      <c r="V593" s="9">
        <f t="shared" si="277"/>
        <v>39999.993600000002</v>
      </c>
      <c r="W593" s="7"/>
      <c r="X593" s="2">
        <v>2016</v>
      </c>
      <c r="Y593" s="2"/>
    </row>
    <row r="594" spans="2:25" s="11" customFormat="1" ht="89.25" customHeight="1" outlineLevel="1" x14ac:dyDescent="0.25">
      <c r="B594" s="2" t="s">
        <v>1283</v>
      </c>
      <c r="C594" s="3" t="s">
        <v>83</v>
      </c>
      <c r="D594" s="3" t="s">
        <v>1284</v>
      </c>
      <c r="E594" s="3" t="s">
        <v>1144</v>
      </c>
      <c r="F594" s="3" t="s">
        <v>1285</v>
      </c>
      <c r="G594" s="19" t="s">
        <v>1286</v>
      </c>
      <c r="H594" s="2" t="s">
        <v>88</v>
      </c>
      <c r="I594" s="4">
        <v>0</v>
      </c>
      <c r="J594" s="5">
        <v>710000000</v>
      </c>
      <c r="K594" s="5" t="s">
        <v>89</v>
      </c>
      <c r="L594" s="2" t="s">
        <v>90</v>
      </c>
      <c r="M594" s="6" t="s">
        <v>787</v>
      </c>
      <c r="N594" s="7" t="s">
        <v>92</v>
      </c>
      <c r="O594" s="7" t="s">
        <v>93</v>
      </c>
      <c r="P594" s="3" t="s">
        <v>673</v>
      </c>
      <c r="Q594" s="8">
        <v>796</v>
      </c>
      <c r="R594" s="7" t="s">
        <v>118</v>
      </c>
      <c r="S594" s="9">
        <v>1</v>
      </c>
      <c r="T594" s="9">
        <v>28571.43</v>
      </c>
      <c r="U594" s="9">
        <f t="shared" si="278"/>
        <v>28571.43</v>
      </c>
      <c r="V594" s="9">
        <f t="shared" si="277"/>
        <v>32000.001600000003</v>
      </c>
      <c r="W594" s="7"/>
      <c r="X594" s="2">
        <v>2016</v>
      </c>
      <c r="Y594" s="2"/>
    </row>
    <row r="595" spans="2:25" s="11" customFormat="1" ht="89.25" customHeight="1" outlineLevel="1" x14ac:dyDescent="0.25">
      <c r="B595" s="2" t="s">
        <v>1287</v>
      </c>
      <c r="C595" s="3" t="s">
        <v>83</v>
      </c>
      <c r="D595" s="3" t="s">
        <v>1284</v>
      </c>
      <c r="E595" s="3" t="s">
        <v>1144</v>
      </c>
      <c r="F595" s="3" t="s">
        <v>1285</v>
      </c>
      <c r="G595" s="19" t="s">
        <v>1288</v>
      </c>
      <c r="H595" s="2" t="s">
        <v>88</v>
      </c>
      <c r="I595" s="4">
        <v>0</v>
      </c>
      <c r="J595" s="5">
        <v>710000000</v>
      </c>
      <c r="K595" s="5" t="s">
        <v>89</v>
      </c>
      <c r="L595" s="2" t="s">
        <v>90</v>
      </c>
      <c r="M595" s="6" t="s">
        <v>787</v>
      </c>
      <c r="N595" s="7" t="s">
        <v>92</v>
      </c>
      <c r="O595" s="7" t="s">
        <v>93</v>
      </c>
      <c r="P595" s="3" t="s">
        <v>673</v>
      </c>
      <c r="Q595" s="8">
        <v>796</v>
      </c>
      <c r="R595" s="7" t="s">
        <v>118</v>
      </c>
      <c r="S595" s="9">
        <v>1</v>
      </c>
      <c r="T595" s="9">
        <v>16071.43</v>
      </c>
      <c r="U595" s="9">
        <f t="shared" si="278"/>
        <v>16071.43</v>
      </c>
      <c r="V595" s="9">
        <f t="shared" si="277"/>
        <v>18000.001600000003</v>
      </c>
      <c r="W595" s="7"/>
      <c r="X595" s="2">
        <v>2016</v>
      </c>
      <c r="Y595" s="2"/>
    </row>
    <row r="596" spans="2:25" s="11" customFormat="1" ht="89.25" customHeight="1" outlineLevel="1" x14ac:dyDescent="0.25">
      <c r="B596" s="2" t="s">
        <v>1289</v>
      </c>
      <c r="C596" s="3" t="s">
        <v>83</v>
      </c>
      <c r="D596" s="3" t="s">
        <v>1290</v>
      </c>
      <c r="E596" s="3" t="s">
        <v>1291</v>
      </c>
      <c r="F596" s="3" t="s">
        <v>1292</v>
      </c>
      <c r="G596" s="19" t="s">
        <v>1293</v>
      </c>
      <c r="H596" s="2" t="s">
        <v>88</v>
      </c>
      <c r="I596" s="4">
        <v>0</v>
      </c>
      <c r="J596" s="5">
        <v>710000000</v>
      </c>
      <c r="K596" s="5" t="s">
        <v>89</v>
      </c>
      <c r="L596" s="2" t="s">
        <v>90</v>
      </c>
      <c r="M596" s="6" t="s">
        <v>787</v>
      </c>
      <c r="N596" s="7" t="s">
        <v>92</v>
      </c>
      <c r="O596" s="7" t="s">
        <v>93</v>
      </c>
      <c r="P596" s="3" t="s">
        <v>673</v>
      </c>
      <c r="Q596" s="8">
        <v>796</v>
      </c>
      <c r="R596" s="7" t="s">
        <v>118</v>
      </c>
      <c r="S596" s="9">
        <v>2</v>
      </c>
      <c r="T596" s="9">
        <v>14732.14</v>
      </c>
      <c r="U596" s="9">
        <f t="shared" si="278"/>
        <v>29464.28</v>
      </c>
      <c r="V596" s="9">
        <f t="shared" si="277"/>
        <v>32999.993600000002</v>
      </c>
      <c r="W596" s="7"/>
      <c r="X596" s="2">
        <v>2016</v>
      </c>
      <c r="Y596" s="2"/>
    </row>
    <row r="597" spans="2:25" s="11" customFormat="1" ht="89.25" customHeight="1" outlineLevel="1" x14ac:dyDescent="0.25">
      <c r="B597" s="2" t="s">
        <v>1294</v>
      </c>
      <c r="C597" s="3" t="s">
        <v>83</v>
      </c>
      <c r="D597" s="3" t="s">
        <v>1295</v>
      </c>
      <c r="E597" s="3" t="s">
        <v>1095</v>
      </c>
      <c r="F597" s="3" t="s">
        <v>1296</v>
      </c>
      <c r="G597" s="19" t="s">
        <v>1273</v>
      </c>
      <c r="H597" s="2" t="s">
        <v>88</v>
      </c>
      <c r="I597" s="4">
        <v>0</v>
      </c>
      <c r="J597" s="5">
        <v>710000000</v>
      </c>
      <c r="K597" s="5" t="s">
        <v>89</v>
      </c>
      <c r="L597" s="2" t="s">
        <v>90</v>
      </c>
      <c r="M597" s="6" t="s">
        <v>787</v>
      </c>
      <c r="N597" s="7" t="s">
        <v>92</v>
      </c>
      <c r="O597" s="7" t="s">
        <v>93</v>
      </c>
      <c r="P597" s="3" t="s">
        <v>673</v>
      </c>
      <c r="Q597" s="8">
        <v>796</v>
      </c>
      <c r="R597" s="7" t="s">
        <v>118</v>
      </c>
      <c r="S597" s="9">
        <v>2</v>
      </c>
      <c r="T597" s="9">
        <v>12500</v>
      </c>
      <c r="U597" s="9">
        <f t="shared" si="278"/>
        <v>25000</v>
      </c>
      <c r="V597" s="9">
        <f t="shared" si="277"/>
        <v>28000.000000000004</v>
      </c>
      <c r="W597" s="7"/>
      <c r="X597" s="2">
        <v>2016</v>
      </c>
      <c r="Y597" s="2"/>
    </row>
    <row r="598" spans="2:25" s="11" customFormat="1" ht="89.25" customHeight="1" outlineLevel="1" x14ac:dyDescent="0.25">
      <c r="B598" s="2" t="s">
        <v>1297</v>
      </c>
      <c r="C598" s="3" t="s">
        <v>83</v>
      </c>
      <c r="D598" s="3" t="s">
        <v>1298</v>
      </c>
      <c r="E598" s="3" t="s">
        <v>1095</v>
      </c>
      <c r="F598" s="3" t="s">
        <v>1299</v>
      </c>
      <c r="G598" s="19" t="s">
        <v>1273</v>
      </c>
      <c r="H598" s="2" t="s">
        <v>88</v>
      </c>
      <c r="I598" s="4">
        <v>0</v>
      </c>
      <c r="J598" s="5">
        <v>710000000</v>
      </c>
      <c r="K598" s="5" t="s">
        <v>89</v>
      </c>
      <c r="L598" s="2" t="s">
        <v>90</v>
      </c>
      <c r="M598" s="6" t="s">
        <v>787</v>
      </c>
      <c r="N598" s="7" t="s">
        <v>92</v>
      </c>
      <c r="O598" s="7" t="s">
        <v>93</v>
      </c>
      <c r="P598" s="3" t="s">
        <v>673</v>
      </c>
      <c r="Q598" s="8">
        <v>796</v>
      </c>
      <c r="R598" s="7" t="s">
        <v>118</v>
      </c>
      <c r="S598" s="9">
        <v>2</v>
      </c>
      <c r="T598" s="9">
        <v>14285.71</v>
      </c>
      <c r="U598" s="9">
        <f t="shared" si="278"/>
        <v>28571.42</v>
      </c>
      <c r="V598" s="9">
        <f t="shared" si="277"/>
        <v>31999.990400000002</v>
      </c>
      <c r="W598" s="7"/>
      <c r="X598" s="2">
        <v>2016</v>
      </c>
      <c r="Y598" s="2"/>
    </row>
    <row r="599" spans="2:25" s="11" customFormat="1" ht="89.25" customHeight="1" outlineLevel="1" x14ac:dyDescent="0.25">
      <c r="B599" s="2" t="s">
        <v>1300</v>
      </c>
      <c r="C599" s="3" t="s">
        <v>83</v>
      </c>
      <c r="D599" s="3" t="s">
        <v>1301</v>
      </c>
      <c r="E599" s="3" t="s">
        <v>1161</v>
      </c>
      <c r="F599" s="3" t="s">
        <v>1302</v>
      </c>
      <c r="G599" s="19" t="s">
        <v>1273</v>
      </c>
      <c r="H599" s="2" t="s">
        <v>88</v>
      </c>
      <c r="I599" s="4">
        <v>0</v>
      </c>
      <c r="J599" s="5">
        <v>710000000</v>
      </c>
      <c r="K599" s="5" t="s">
        <v>89</v>
      </c>
      <c r="L599" s="2" t="s">
        <v>90</v>
      </c>
      <c r="M599" s="6" t="s">
        <v>787</v>
      </c>
      <c r="N599" s="7" t="s">
        <v>92</v>
      </c>
      <c r="O599" s="7" t="s">
        <v>93</v>
      </c>
      <c r="P599" s="3" t="s">
        <v>673</v>
      </c>
      <c r="Q599" s="8">
        <v>796</v>
      </c>
      <c r="R599" s="7" t="s">
        <v>118</v>
      </c>
      <c r="S599" s="9">
        <v>2</v>
      </c>
      <c r="T599" s="9">
        <v>8482.14</v>
      </c>
      <c r="U599" s="9">
        <f t="shared" si="278"/>
        <v>16964.28</v>
      </c>
      <c r="V599" s="9">
        <f t="shared" si="277"/>
        <v>18999.993600000002</v>
      </c>
      <c r="W599" s="7"/>
      <c r="X599" s="2">
        <v>2016</v>
      </c>
      <c r="Y599" s="2"/>
    </row>
    <row r="600" spans="2:25" s="11" customFormat="1" ht="89.25" customHeight="1" outlineLevel="1" x14ac:dyDescent="0.25">
      <c r="B600" s="2" t="s">
        <v>1303</v>
      </c>
      <c r="C600" s="3" t="s">
        <v>83</v>
      </c>
      <c r="D600" s="3" t="s">
        <v>1304</v>
      </c>
      <c r="E600" s="3" t="s">
        <v>958</v>
      </c>
      <c r="F600" s="3" t="s">
        <v>1305</v>
      </c>
      <c r="G600" s="19" t="s">
        <v>1273</v>
      </c>
      <c r="H600" s="2" t="s">
        <v>88</v>
      </c>
      <c r="I600" s="4">
        <v>0</v>
      </c>
      <c r="J600" s="5">
        <v>710000000</v>
      </c>
      <c r="K600" s="5" t="s">
        <v>89</v>
      </c>
      <c r="L600" s="2" t="s">
        <v>90</v>
      </c>
      <c r="M600" s="6" t="s">
        <v>787</v>
      </c>
      <c r="N600" s="7" t="s">
        <v>92</v>
      </c>
      <c r="O600" s="7" t="s">
        <v>93</v>
      </c>
      <c r="P600" s="3" t="s">
        <v>673</v>
      </c>
      <c r="Q600" s="8">
        <v>796</v>
      </c>
      <c r="R600" s="7" t="s">
        <v>118</v>
      </c>
      <c r="S600" s="9">
        <v>2</v>
      </c>
      <c r="T600" s="9">
        <v>30357.14</v>
      </c>
      <c r="U600" s="9">
        <f t="shared" si="278"/>
        <v>60714.28</v>
      </c>
      <c r="V600" s="9">
        <f t="shared" si="277"/>
        <v>67999.993600000002</v>
      </c>
      <c r="W600" s="7"/>
      <c r="X600" s="2">
        <v>2016</v>
      </c>
      <c r="Y600" s="2"/>
    </row>
    <row r="601" spans="2:25" s="11" customFormat="1" ht="89.25" customHeight="1" outlineLevel="1" x14ac:dyDescent="0.25">
      <c r="B601" s="2" t="s">
        <v>1306</v>
      </c>
      <c r="C601" s="3" t="s">
        <v>83</v>
      </c>
      <c r="D601" s="3" t="s">
        <v>1307</v>
      </c>
      <c r="E601" s="3" t="s">
        <v>961</v>
      </c>
      <c r="F601" s="3" t="s">
        <v>1308</v>
      </c>
      <c r="G601" s="19" t="s">
        <v>1273</v>
      </c>
      <c r="H601" s="2" t="s">
        <v>88</v>
      </c>
      <c r="I601" s="4">
        <v>0</v>
      </c>
      <c r="J601" s="5">
        <v>710000000</v>
      </c>
      <c r="K601" s="5" t="s">
        <v>89</v>
      </c>
      <c r="L601" s="2" t="s">
        <v>90</v>
      </c>
      <c r="M601" s="6" t="s">
        <v>787</v>
      </c>
      <c r="N601" s="7" t="s">
        <v>92</v>
      </c>
      <c r="O601" s="7" t="s">
        <v>93</v>
      </c>
      <c r="P601" s="3" t="s">
        <v>673</v>
      </c>
      <c r="Q601" s="8">
        <v>796</v>
      </c>
      <c r="R601" s="7" t="s">
        <v>118</v>
      </c>
      <c r="S601" s="9">
        <v>1</v>
      </c>
      <c r="T601" s="9">
        <v>47916.67</v>
      </c>
      <c r="U601" s="9">
        <f t="shared" si="278"/>
        <v>47916.67</v>
      </c>
      <c r="V601" s="9">
        <f t="shared" si="277"/>
        <v>53666.670400000003</v>
      </c>
      <c r="W601" s="7"/>
      <c r="X601" s="2">
        <v>2016</v>
      </c>
      <c r="Y601" s="2"/>
    </row>
    <row r="602" spans="2:25" s="11" customFormat="1" ht="89.25" customHeight="1" outlineLevel="1" x14ac:dyDescent="0.25">
      <c r="B602" s="2" t="s">
        <v>1309</v>
      </c>
      <c r="C602" s="3" t="s">
        <v>83</v>
      </c>
      <c r="D602" s="3" t="s">
        <v>1226</v>
      </c>
      <c r="E602" s="3" t="s">
        <v>965</v>
      </c>
      <c r="F602" s="3" t="s">
        <v>1227</v>
      </c>
      <c r="G602" s="19" t="s">
        <v>1273</v>
      </c>
      <c r="H602" s="2" t="s">
        <v>88</v>
      </c>
      <c r="I602" s="4">
        <v>0</v>
      </c>
      <c r="J602" s="5">
        <v>710000000</v>
      </c>
      <c r="K602" s="5" t="s">
        <v>89</v>
      </c>
      <c r="L602" s="2" t="s">
        <v>90</v>
      </c>
      <c r="M602" s="6" t="s">
        <v>787</v>
      </c>
      <c r="N602" s="7" t="s">
        <v>92</v>
      </c>
      <c r="O602" s="7" t="s">
        <v>93</v>
      </c>
      <c r="P602" s="3" t="s">
        <v>673</v>
      </c>
      <c r="Q602" s="8">
        <v>796</v>
      </c>
      <c r="R602" s="7" t="s">
        <v>118</v>
      </c>
      <c r="S602" s="9">
        <v>1</v>
      </c>
      <c r="T602" s="9">
        <v>55357.14</v>
      </c>
      <c r="U602" s="9">
        <f t="shared" si="278"/>
        <v>55357.14</v>
      </c>
      <c r="V602" s="9">
        <f t="shared" si="277"/>
        <v>61999.996800000008</v>
      </c>
      <c r="W602" s="7"/>
      <c r="X602" s="2">
        <v>2016</v>
      </c>
      <c r="Y602" s="2"/>
    </row>
    <row r="603" spans="2:25" s="11" customFormat="1" ht="89.25" customHeight="1" outlineLevel="1" x14ac:dyDescent="0.25">
      <c r="B603" s="2" t="s">
        <v>1310</v>
      </c>
      <c r="C603" s="3" t="s">
        <v>83</v>
      </c>
      <c r="D603" s="3" t="s">
        <v>1229</v>
      </c>
      <c r="E603" s="3" t="s">
        <v>969</v>
      </c>
      <c r="F603" s="3" t="s">
        <v>1230</v>
      </c>
      <c r="G603" s="19" t="s">
        <v>1273</v>
      </c>
      <c r="H603" s="2" t="s">
        <v>88</v>
      </c>
      <c r="I603" s="4">
        <v>0</v>
      </c>
      <c r="J603" s="5">
        <v>710000000</v>
      </c>
      <c r="K603" s="5" t="s">
        <v>89</v>
      </c>
      <c r="L603" s="2" t="s">
        <v>90</v>
      </c>
      <c r="M603" s="6" t="s">
        <v>787</v>
      </c>
      <c r="N603" s="7" t="s">
        <v>92</v>
      </c>
      <c r="O603" s="7" t="s">
        <v>93</v>
      </c>
      <c r="P603" s="3" t="s">
        <v>673</v>
      </c>
      <c r="Q603" s="8">
        <v>796</v>
      </c>
      <c r="R603" s="7" t="s">
        <v>118</v>
      </c>
      <c r="S603" s="9">
        <v>1</v>
      </c>
      <c r="T603" s="9">
        <v>49255.95</v>
      </c>
      <c r="U603" s="9">
        <f t="shared" si="278"/>
        <v>49255.95</v>
      </c>
      <c r="V603" s="9">
        <f t="shared" si="277"/>
        <v>55166.664000000004</v>
      </c>
      <c r="W603" s="7"/>
      <c r="X603" s="2">
        <v>2016</v>
      </c>
      <c r="Y603" s="2"/>
    </row>
    <row r="604" spans="2:25" s="11" customFormat="1" ht="89.25" customHeight="1" outlineLevel="1" x14ac:dyDescent="0.25">
      <c r="B604" s="2" t="s">
        <v>1311</v>
      </c>
      <c r="C604" s="3" t="s">
        <v>83</v>
      </c>
      <c r="D604" s="3" t="s">
        <v>1232</v>
      </c>
      <c r="E604" s="3" t="s">
        <v>1233</v>
      </c>
      <c r="F604" s="3" t="s">
        <v>1234</v>
      </c>
      <c r="G604" s="19" t="s">
        <v>1273</v>
      </c>
      <c r="H604" s="2" t="s">
        <v>88</v>
      </c>
      <c r="I604" s="4">
        <v>0</v>
      </c>
      <c r="J604" s="5">
        <v>710000000</v>
      </c>
      <c r="K604" s="5" t="s">
        <v>89</v>
      </c>
      <c r="L604" s="2" t="s">
        <v>90</v>
      </c>
      <c r="M604" s="6" t="s">
        <v>787</v>
      </c>
      <c r="N604" s="7" t="s">
        <v>92</v>
      </c>
      <c r="O604" s="7" t="s">
        <v>93</v>
      </c>
      <c r="P604" s="3" t="s">
        <v>673</v>
      </c>
      <c r="Q604" s="8">
        <v>796</v>
      </c>
      <c r="R604" s="7" t="s">
        <v>118</v>
      </c>
      <c r="S604" s="9">
        <v>4</v>
      </c>
      <c r="T604" s="9">
        <v>12023.81</v>
      </c>
      <c r="U604" s="9">
        <f t="shared" si="278"/>
        <v>48095.24</v>
      </c>
      <c r="V604" s="9">
        <f t="shared" si="277"/>
        <v>53866.668799999999</v>
      </c>
      <c r="W604" s="7"/>
      <c r="X604" s="2">
        <v>2016</v>
      </c>
      <c r="Y604" s="2"/>
    </row>
    <row r="605" spans="2:25" s="11" customFormat="1" ht="89.25" customHeight="1" outlineLevel="1" x14ac:dyDescent="0.25">
      <c r="B605" s="2" t="s">
        <v>1312</v>
      </c>
      <c r="C605" s="3" t="s">
        <v>83</v>
      </c>
      <c r="D605" s="3" t="s">
        <v>1236</v>
      </c>
      <c r="E605" s="3" t="s">
        <v>872</v>
      </c>
      <c r="F605" s="3" t="s">
        <v>7697</v>
      </c>
      <c r="G605" s="19" t="s">
        <v>1273</v>
      </c>
      <c r="H605" s="2" t="s">
        <v>88</v>
      </c>
      <c r="I605" s="4">
        <v>0</v>
      </c>
      <c r="J605" s="5">
        <v>710000000</v>
      </c>
      <c r="K605" s="5" t="s">
        <v>89</v>
      </c>
      <c r="L605" s="2" t="s">
        <v>90</v>
      </c>
      <c r="M605" s="6" t="s">
        <v>787</v>
      </c>
      <c r="N605" s="7" t="s">
        <v>92</v>
      </c>
      <c r="O605" s="7" t="s">
        <v>93</v>
      </c>
      <c r="P605" s="3" t="s">
        <v>673</v>
      </c>
      <c r="Q605" s="8">
        <v>796</v>
      </c>
      <c r="R605" s="7" t="s">
        <v>118</v>
      </c>
      <c r="S605" s="9">
        <v>6</v>
      </c>
      <c r="T605" s="9">
        <v>8482.14</v>
      </c>
      <c r="U605" s="9">
        <f t="shared" si="278"/>
        <v>50892.84</v>
      </c>
      <c r="V605" s="9">
        <f t="shared" si="277"/>
        <v>56999.980800000005</v>
      </c>
      <c r="W605" s="7"/>
      <c r="X605" s="2">
        <v>2016</v>
      </c>
      <c r="Y605" s="2"/>
    </row>
    <row r="606" spans="2:25" s="11" customFormat="1" ht="89.25" customHeight="1" outlineLevel="1" x14ac:dyDescent="0.25">
      <c r="B606" s="2" t="s">
        <v>1313</v>
      </c>
      <c r="C606" s="3" t="s">
        <v>83</v>
      </c>
      <c r="D606" s="3" t="s">
        <v>1238</v>
      </c>
      <c r="E606" s="3" t="s">
        <v>841</v>
      </c>
      <c r="F606" s="3" t="s">
        <v>1239</v>
      </c>
      <c r="G606" s="19" t="s">
        <v>1273</v>
      </c>
      <c r="H606" s="2" t="s">
        <v>88</v>
      </c>
      <c r="I606" s="4">
        <v>0</v>
      </c>
      <c r="J606" s="5">
        <v>710000000</v>
      </c>
      <c r="K606" s="5" t="s">
        <v>89</v>
      </c>
      <c r="L606" s="2" t="s">
        <v>90</v>
      </c>
      <c r="M606" s="6" t="s">
        <v>787</v>
      </c>
      <c r="N606" s="7" t="s">
        <v>92</v>
      </c>
      <c r="O606" s="7" t="s">
        <v>93</v>
      </c>
      <c r="P606" s="3" t="s">
        <v>673</v>
      </c>
      <c r="Q606" s="8">
        <v>796</v>
      </c>
      <c r="R606" s="7" t="s">
        <v>118</v>
      </c>
      <c r="S606" s="9">
        <v>8</v>
      </c>
      <c r="T606" s="9">
        <v>2543.75</v>
      </c>
      <c r="U606" s="9">
        <f t="shared" si="278"/>
        <v>20350</v>
      </c>
      <c r="V606" s="9">
        <f t="shared" si="277"/>
        <v>22792.000000000004</v>
      </c>
      <c r="W606" s="7"/>
      <c r="X606" s="2">
        <v>2016</v>
      </c>
      <c r="Y606" s="2"/>
    </row>
    <row r="607" spans="2:25" s="11" customFormat="1" ht="89.25" customHeight="1" outlineLevel="1" x14ac:dyDescent="0.25">
      <c r="B607" s="2" t="s">
        <v>1314</v>
      </c>
      <c r="C607" s="3" t="s">
        <v>83</v>
      </c>
      <c r="D607" s="3" t="s">
        <v>1238</v>
      </c>
      <c r="E607" s="3" t="s">
        <v>841</v>
      </c>
      <c r="F607" s="3" t="s">
        <v>1239</v>
      </c>
      <c r="G607" s="19" t="s">
        <v>1273</v>
      </c>
      <c r="H607" s="2" t="s">
        <v>88</v>
      </c>
      <c r="I607" s="4">
        <v>0</v>
      </c>
      <c r="J607" s="5">
        <v>710000000</v>
      </c>
      <c r="K607" s="5" t="s">
        <v>89</v>
      </c>
      <c r="L607" s="2" t="s">
        <v>90</v>
      </c>
      <c r="M607" s="6" t="s">
        <v>787</v>
      </c>
      <c r="N607" s="7" t="s">
        <v>92</v>
      </c>
      <c r="O607" s="7" t="s">
        <v>93</v>
      </c>
      <c r="P607" s="3" t="s">
        <v>673</v>
      </c>
      <c r="Q607" s="8">
        <v>796</v>
      </c>
      <c r="R607" s="7" t="s">
        <v>118</v>
      </c>
      <c r="S607" s="9">
        <v>4</v>
      </c>
      <c r="T607" s="9">
        <v>2593.75</v>
      </c>
      <c r="U607" s="9">
        <f t="shared" si="278"/>
        <v>10375</v>
      </c>
      <c r="V607" s="9">
        <f t="shared" si="277"/>
        <v>11620.000000000002</v>
      </c>
      <c r="W607" s="7"/>
      <c r="X607" s="2">
        <v>2016</v>
      </c>
      <c r="Y607" s="2"/>
    </row>
    <row r="608" spans="2:25" s="11" customFormat="1" ht="89.25" customHeight="1" outlineLevel="1" x14ac:dyDescent="0.25">
      <c r="B608" s="2" t="s">
        <v>1315</v>
      </c>
      <c r="C608" s="3" t="s">
        <v>83</v>
      </c>
      <c r="D608" s="3" t="s">
        <v>1244</v>
      </c>
      <c r="E608" s="3" t="s">
        <v>1245</v>
      </c>
      <c r="F608" s="3" t="s">
        <v>1246</v>
      </c>
      <c r="G608" s="19" t="s">
        <v>1273</v>
      </c>
      <c r="H608" s="2" t="s">
        <v>88</v>
      </c>
      <c r="I608" s="4">
        <v>0</v>
      </c>
      <c r="J608" s="5">
        <v>710000000</v>
      </c>
      <c r="K608" s="5" t="s">
        <v>89</v>
      </c>
      <c r="L608" s="2" t="s">
        <v>90</v>
      </c>
      <c r="M608" s="6" t="s">
        <v>787</v>
      </c>
      <c r="N608" s="7" t="s">
        <v>92</v>
      </c>
      <c r="O608" s="7" t="s">
        <v>93</v>
      </c>
      <c r="P608" s="3" t="s">
        <v>673</v>
      </c>
      <c r="Q608" s="8">
        <v>796</v>
      </c>
      <c r="R608" s="7" t="s">
        <v>118</v>
      </c>
      <c r="S608" s="9">
        <v>1</v>
      </c>
      <c r="T608" s="9">
        <v>19047.62</v>
      </c>
      <c r="U608" s="9">
        <f t="shared" si="278"/>
        <v>19047.62</v>
      </c>
      <c r="V608" s="9">
        <f t="shared" si="277"/>
        <v>21333.3344</v>
      </c>
      <c r="W608" s="7"/>
      <c r="X608" s="2">
        <v>2016</v>
      </c>
      <c r="Y608" s="2"/>
    </row>
    <row r="609" spans="2:25" s="11" customFormat="1" ht="89.25" customHeight="1" outlineLevel="1" x14ac:dyDescent="0.25">
      <c r="B609" s="2" t="s">
        <v>1316</v>
      </c>
      <c r="C609" s="3" t="s">
        <v>83</v>
      </c>
      <c r="D609" s="3" t="s">
        <v>1249</v>
      </c>
      <c r="E609" s="3" t="s">
        <v>853</v>
      </c>
      <c r="F609" s="3" t="s">
        <v>1250</v>
      </c>
      <c r="G609" s="19" t="s">
        <v>1273</v>
      </c>
      <c r="H609" s="2" t="s">
        <v>88</v>
      </c>
      <c r="I609" s="4">
        <v>0</v>
      </c>
      <c r="J609" s="5">
        <v>710000000</v>
      </c>
      <c r="K609" s="5" t="s">
        <v>89</v>
      </c>
      <c r="L609" s="2" t="s">
        <v>90</v>
      </c>
      <c r="M609" s="6" t="s">
        <v>787</v>
      </c>
      <c r="N609" s="7" t="s">
        <v>92</v>
      </c>
      <c r="O609" s="7" t="s">
        <v>93</v>
      </c>
      <c r="P609" s="3" t="s">
        <v>673</v>
      </c>
      <c r="Q609" s="8">
        <v>796</v>
      </c>
      <c r="R609" s="7" t="s">
        <v>118</v>
      </c>
      <c r="S609" s="9">
        <v>1</v>
      </c>
      <c r="T609" s="9">
        <v>23214.29</v>
      </c>
      <c r="U609" s="9">
        <f t="shared" si="278"/>
        <v>23214.29</v>
      </c>
      <c r="V609" s="9">
        <f t="shared" si="277"/>
        <v>26000.004800000002</v>
      </c>
      <c r="W609" s="7"/>
      <c r="X609" s="2">
        <v>2016</v>
      </c>
      <c r="Y609" s="2"/>
    </row>
    <row r="610" spans="2:25" s="11" customFormat="1" ht="89.25" customHeight="1" outlineLevel="1" x14ac:dyDescent="0.25">
      <c r="B610" s="2" t="s">
        <v>1317</v>
      </c>
      <c r="C610" s="3" t="s">
        <v>83</v>
      </c>
      <c r="D610" s="3" t="s">
        <v>1253</v>
      </c>
      <c r="E610" s="3" t="s">
        <v>858</v>
      </c>
      <c r="F610" s="3" t="s">
        <v>1254</v>
      </c>
      <c r="G610" s="19" t="s">
        <v>1273</v>
      </c>
      <c r="H610" s="2" t="s">
        <v>88</v>
      </c>
      <c r="I610" s="4">
        <v>0</v>
      </c>
      <c r="J610" s="5">
        <v>710000000</v>
      </c>
      <c r="K610" s="5" t="s">
        <v>89</v>
      </c>
      <c r="L610" s="2" t="s">
        <v>90</v>
      </c>
      <c r="M610" s="6" t="s">
        <v>787</v>
      </c>
      <c r="N610" s="7" t="s">
        <v>92</v>
      </c>
      <c r="O610" s="7" t="s">
        <v>93</v>
      </c>
      <c r="P610" s="3" t="s">
        <v>673</v>
      </c>
      <c r="Q610" s="8">
        <v>839</v>
      </c>
      <c r="R610" s="7" t="s">
        <v>812</v>
      </c>
      <c r="S610" s="9">
        <v>1</v>
      </c>
      <c r="T610" s="9">
        <v>7589.29</v>
      </c>
      <c r="U610" s="9">
        <f t="shared" si="278"/>
        <v>7589.29</v>
      </c>
      <c r="V610" s="9">
        <f t="shared" si="277"/>
        <v>8500.0048000000006</v>
      </c>
      <c r="W610" s="7"/>
      <c r="X610" s="2">
        <v>2016</v>
      </c>
      <c r="Y610" s="2"/>
    </row>
    <row r="611" spans="2:25" s="11" customFormat="1" ht="89.25" customHeight="1" outlineLevel="1" x14ac:dyDescent="0.25">
      <c r="B611" s="2" t="s">
        <v>1318</v>
      </c>
      <c r="C611" s="3" t="s">
        <v>83</v>
      </c>
      <c r="D611" s="3" t="s">
        <v>1256</v>
      </c>
      <c r="E611" s="3" t="s">
        <v>864</v>
      </c>
      <c r="F611" s="3" t="s">
        <v>1257</v>
      </c>
      <c r="G611" s="19" t="s">
        <v>1273</v>
      </c>
      <c r="H611" s="2" t="s">
        <v>88</v>
      </c>
      <c r="I611" s="4">
        <v>0</v>
      </c>
      <c r="J611" s="5">
        <v>710000000</v>
      </c>
      <c r="K611" s="5" t="s">
        <v>89</v>
      </c>
      <c r="L611" s="2" t="s">
        <v>90</v>
      </c>
      <c r="M611" s="6" t="s">
        <v>787</v>
      </c>
      <c r="N611" s="7" t="s">
        <v>92</v>
      </c>
      <c r="O611" s="7" t="s">
        <v>93</v>
      </c>
      <c r="P611" s="3" t="s">
        <v>673</v>
      </c>
      <c r="Q611" s="8">
        <v>796</v>
      </c>
      <c r="R611" s="7" t="s">
        <v>118</v>
      </c>
      <c r="S611" s="9">
        <v>1</v>
      </c>
      <c r="T611" s="9">
        <v>25000</v>
      </c>
      <c r="U611" s="9">
        <f t="shared" si="278"/>
        <v>25000</v>
      </c>
      <c r="V611" s="9">
        <f t="shared" si="277"/>
        <v>28000.000000000004</v>
      </c>
      <c r="W611" s="7"/>
      <c r="X611" s="2">
        <v>2016</v>
      </c>
      <c r="Y611" s="2"/>
    </row>
    <row r="612" spans="2:25" s="11" customFormat="1" ht="89.25" customHeight="1" outlineLevel="1" x14ac:dyDescent="0.25">
      <c r="B612" s="2" t="s">
        <v>1319</v>
      </c>
      <c r="C612" s="3" t="s">
        <v>83</v>
      </c>
      <c r="D612" s="3" t="s">
        <v>1259</v>
      </c>
      <c r="E612" s="3" t="s">
        <v>858</v>
      </c>
      <c r="F612" s="3" t="s">
        <v>1260</v>
      </c>
      <c r="G612" s="19" t="s">
        <v>1273</v>
      </c>
      <c r="H612" s="2" t="s">
        <v>88</v>
      </c>
      <c r="I612" s="4">
        <v>0</v>
      </c>
      <c r="J612" s="5">
        <v>710000000</v>
      </c>
      <c r="K612" s="5" t="s">
        <v>89</v>
      </c>
      <c r="L612" s="2" t="s">
        <v>90</v>
      </c>
      <c r="M612" s="6" t="s">
        <v>787</v>
      </c>
      <c r="N612" s="7" t="s">
        <v>92</v>
      </c>
      <c r="O612" s="7" t="s">
        <v>93</v>
      </c>
      <c r="P612" s="3" t="s">
        <v>673</v>
      </c>
      <c r="Q612" s="8">
        <v>839</v>
      </c>
      <c r="R612" s="7" t="s">
        <v>812</v>
      </c>
      <c r="S612" s="9">
        <v>1</v>
      </c>
      <c r="T612" s="9">
        <v>7294.64</v>
      </c>
      <c r="U612" s="9">
        <f t="shared" si="278"/>
        <v>7294.64</v>
      </c>
      <c r="V612" s="9">
        <f t="shared" si="277"/>
        <v>8169.9968000000008</v>
      </c>
      <c r="W612" s="7"/>
      <c r="X612" s="2">
        <v>2016</v>
      </c>
      <c r="Y612" s="2"/>
    </row>
    <row r="613" spans="2:25" s="20" customFormat="1" ht="89.25" customHeight="1" outlineLevel="1" x14ac:dyDescent="0.25">
      <c r="B613" s="2" t="s">
        <v>1320</v>
      </c>
      <c r="C613" s="3" t="s">
        <v>83</v>
      </c>
      <c r="D613" s="3" t="s">
        <v>886</v>
      </c>
      <c r="E613" s="3" t="s">
        <v>887</v>
      </c>
      <c r="F613" s="3" t="s">
        <v>888</v>
      </c>
      <c r="G613" s="19" t="s">
        <v>1321</v>
      </c>
      <c r="H613" s="2" t="s">
        <v>88</v>
      </c>
      <c r="I613" s="4">
        <v>0</v>
      </c>
      <c r="J613" s="5">
        <v>710000000</v>
      </c>
      <c r="K613" s="5" t="s">
        <v>89</v>
      </c>
      <c r="L613" s="2" t="s">
        <v>90</v>
      </c>
      <c r="M613" s="6" t="s">
        <v>787</v>
      </c>
      <c r="N613" s="7" t="s">
        <v>92</v>
      </c>
      <c r="O613" s="7" t="s">
        <v>93</v>
      </c>
      <c r="P613" s="3" t="s">
        <v>673</v>
      </c>
      <c r="Q613" s="8">
        <v>796</v>
      </c>
      <c r="R613" s="7" t="s">
        <v>118</v>
      </c>
      <c r="S613" s="9">
        <v>2</v>
      </c>
      <c r="T613" s="9">
        <v>7611.61</v>
      </c>
      <c r="U613" s="9">
        <f t="shared" si="278"/>
        <v>15223.22</v>
      </c>
      <c r="V613" s="9">
        <f t="shared" si="277"/>
        <v>17050.006400000002</v>
      </c>
      <c r="W613" s="7"/>
      <c r="X613" s="2">
        <v>2016</v>
      </c>
      <c r="Y613" s="2"/>
    </row>
    <row r="614" spans="2:25" s="20" customFormat="1" ht="89.25" customHeight="1" outlineLevel="1" x14ac:dyDescent="0.25">
      <c r="B614" s="2" t="s">
        <v>1322</v>
      </c>
      <c r="C614" s="3" t="s">
        <v>83</v>
      </c>
      <c r="D614" s="3" t="s">
        <v>886</v>
      </c>
      <c r="E614" s="3" t="s">
        <v>887</v>
      </c>
      <c r="F614" s="3" t="s">
        <v>888</v>
      </c>
      <c r="G614" s="19" t="s">
        <v>1323</v>
      </c>
      <c r="H614" s="2" t="s">
        <v>88</v>
      </c>
      <c r="I614" s="4">
        <v>0</v>
      </c>
      <c r="J614" s="5">
        <v>710000000</v>
      </c>
      <c r="K614" s="5" t="s">
        <v>89</v>
      </c>
      <c r="L614" s="2" t="s">
        <v>90</v>
      </c>
      <c r="M614" s="6" t="s">
        <v>787</v>
      </c>
      <c r="N614" s="7" t="s">
        <v>92</v>
      </c>
      <c r="O614" s="7" t="s">
        <v>93</v>
      </c>
      <c r="P614" s="3" t="s">
        <v>673</v>
      </c>
      <c r="Q614" s="8">
        <v>796</v>
      </c>
      <c r="R614" s="7" t="s">
        <v>118</v>
      </c>
      <c r="S614" s="9">
        <v>2</v>
      </c>
      <c r="T614" s="9">
        <v>7736.61</v>
      </c>
      <c r="U614" s="9">
        <f t="shared" si="278"/>
        <v>15473.22</v>
      </c>
      <c r="V614" s="9">
        <f t="shared" si="277"/>
        <v>17330.006400000002</v>
      </c>
      <c r="W614" s="7"/>
      <c r="X614" s="2">
        <v>2016</v>
      </c>
      <c r="Y614" s="2"/>
    </row>
    <row r="615" spans="2:25" s="20" customFormat="1" ht="89.25" customHeight="1" outlineLevel="1" x14ac:dyDescent="0.25">
      <c r="B615" s="2" t="s">
        <v>1324</v>
      </c>
      <c r="C615" s="3" t="s">
        <v>83</v>
      </c>
      <c r="D615" s="3" t="s">
        <v>1325</v>
      </c>
      <c r="E615" s="3" t="s">
        <v>1326</v>
      </c>
      <c r="F615" s="3" t="s">
        <v>1305</v>
      </c>
      <c r="G615" s="19" t="s">
        <v>1269</v>
      </c>
      <c r="H615" s="2" t="s">
        <v>88</v>
      </c>
      <c r="I615" s="4">
        <v>0</v>
      </c>
      <c r="J615" s="5">
        <v>710000000</v>
      </c>
      <c r="K615" s="5" t="s">
        <v>89</v>
      </c>
      <c r="L615" s="2" t="s">
        <v>90</v>
      </c>
      <c r="M615" s="6" t="s">
        <v>787</v>
      </c>
      <c r="N615" s="7" t="s">
        <v>92</v>
      </c>
      <c r="O615" s="7" t="s">
        <v>93</v>
      </c>
      <c r="P615" s="3" t="s">
        <v>673</v>
      </c>
      <c r="Q615" s="8">
        <v>796</v>
      </c>
      <c r="R615" s="7" t="s">
        <v>118</v>
      </c>
      <c r="S615" s="9">
        <v>1</v>
      </c>
      <c r="T615" s="9">
        <v>16071.43</v>
      </c>
      <c r="U615" s="9">
        <f t="shared" si="278"/>
        <v>16071.43</v>
      </c>
      <c r="V615" s="9">
        <f t="shared" si="277"/>
        <v>18000.001600000003</v>
      </c>
      <c r="W615" s="7"/>
      <c r="X615" s="2">
        <v>2016</v>
      </c>
      <c r="Y615" s="2"/>
    </row>
    <row r="616" spans="2:25" s="20" customFormat="1" ht="89.25" customHeight="1" outlineLevel="1" x14ac:dyDescent="0.25">
      <c r="B616" s="2" t="s">
        <v>1327</v>
      </c>
      <c r="C616" s="3" t="s">
        <v>83</v>
      </c>
      <c r="D616" s="3" t="s">
        <v>1328</v>
      </c>
      <c r="E616" s="3" t="s">
        <v>914</v>
      </c>
      <c r="F616" s="3" t="s">
        <v>1329</v>
      </c>
      <c r="G616" s="19" t="s">
        <v>1269</v>
      </c>
      <c r="H616" s="2" t="s">
        <v>88</v>
      </c>
      <c r="I616" s="4">
        <v>0</v>
      </c>
      <c r="J616" s="5">
        <v>710000000</v>
      </c>
      <c r="K616" s="5" t="s">
        <v>89</v>
      </c>
      <c r="L616" s="2" t="s">
        <v>90</v>
      </c>
      <c r="M616" s="6" t="s">
        <v>787</v>
      </c>
      <c r="N616" s="7" t="s">
        <v>92</v>
      </c>
      <c r="O616" s="7" t="s">
        <v>93</v>
      </c>
      <c r="P616" s="3" t="s">
        <v>673</v>
      </c>
      <c r="Q616" s="8">
        <v>796</v>
      </c>
      <c r="R616" s="7" t="s">
        <v>118</v>
      </c>
      <c r="S616" s="9">
        <v>4</v>
      </c>
      <c r="T616" s="9">
        <v>7589.29</v>
      </c>
      <c r="U616" s="9">
        <f t="shared" si="278"/>
        <v>30357.16</v>
      </c>
      <c r="V616" s="9">
        <f t="shared" si="277"/>
        <v>34000.019200000002</v>
      </c>
      <c r="W616" s="7"/>
      <c r="X616" s="2">
        <v>2016</v>
      </c>
      <c r="Y616" s="2"/>
    </row>
    <row r="617" spans="2:25" s="20" customFormat="1" ht="89.25" customHeight="1" outlineLevel="1" x14ac:dyDescent="0.25">
      <c r="B617" s="2" t="s">
        <v>1330</v>
      </c>
      <c r="C617" s="3" t="s">
        <v>83</v>
      </c>
      <c r="D617" s="3" t="s">
        <v>1331</v>
      </c>
      <c r="E617" s="3" t="s">
        <v>1332</v>
      </c>
      <c r="F617" s="3" t="s">
        <v>1333</v>
      </c>
      <c r="G617" s="19" t="s">
        <v>1334</v>
      </c>
      <c r="H617" s="2" t="s">
        <v>88</v>
      </c>
      <c r="I617" s="4">
        <v>0</v>
      </c>
      <c r="J617" s="5">
        <v>710000000</v>
      </c>
      <c r="K617" s="5" t="s">
        <v>89</v>
      </c>
      <c r="L617" s="2" t="s">
        <v>90</v>
      </c>
      <c r="M617" s="6" t="s">
        <v>787</v>
      </c>
      <c r="N617" s="7" t="s">
        <v>92</v>
      </c>
      <c r="O617" s="7" t="s">
        <v>93</v>
      </c>
      <c r="P617" s="3" t="s">
        <v>673</v>
      </c>
      <c r="Q617" s="8">
        <v>796</v>
      </c>
      <c r="R617" s="7" t="s">
        <v>118</v>
      </c>
      <c r="S617" s="9">
        <v>2</v>
      </c>
      <c r="T617" s="9">
        <v>1785.71</v>
      </c>
      <c r="U617" s="9">
        <f t="shared" si="278"/>
        <v>3571.42</v>
      </c>
      <c r="V617" s="9">
        <f t="shared" si="277"/>
        <v>3999.9904000000006</v>
      </c>
      <c r="W617" s="7"/>
      <c r="X617" s="2">
        <v>2016</v>
      </c>
      <c r="Y617" s="2"/>
    </row>
    <row r="618" spans="2:25" s="20" customFormat="1" ht="89.25" customHeight="1" outlineLevel="1" x14ac:dyDescent="0.25">
      <c r="B618" s="2" t="s">
        <v>1335</v>
      </c>
      <c r="C618" s="3" t="s">
        <v>83</v>
      </c>
      <c r="D618" s="3" t="s">
        <v>1271</v>
      </c>
      <c r="E618" s="3" t="s">
        <v>790</v>
      </c>
      <c r="F618" s="3" t="s">
        <v>1272</v>
      </c>
      <c r="G618" s="19" t="s">
        <v>1334</v>
      </c>
      <c r="H618" s="2" t="s">
        <v>88</v>
      </c>
      <c r="I618" s="4">
        <v>0</v>
      </c>
      <c r="J618" s="5">
        <v>710000000</v>
      </c>
      <c r="K618" s="3" t="s">
        <v>89</v>
      </c>
      <c r="L618" s="2" t="s">
        <v>90</v>
      </c>
      <c r="M618" s="3" t="s">
        <v>787</v>
      </c>
      <c r="N618" s="7" t="s">
        <v>92</v>
      </c>
      <c r="O618" s="7" t="s">
        <v>93</v>
      </c>
      <c r="P618" s="3" t="s">
        <v>673</v>
      </c>
      <c r="Q618" s="8">
        <v>796</v>
      </c>
      <c r="R618" s="7" t="s">
        <v>118</v>
      </c>
      <c r="S618" s="9">
        <v>2</v>
      </c>
      <c r="T618" s="9">
        <v>2336.31</v>
      </c>
      <c r="U618" s="9">
        <f t="shared" si="278"/>
        <v>4672.62</v>
      </c>
      <c r="V618" s="9">
        <f t="shared" si="277"/>
        <v>5233.3344000000006</v>
      </c>
      <c r="W618" s="3"/>
      <c r="X618" s="2">
        <v>2016</v>
      </c>
      <c r="Y618" s="3"/>
    </row>
    <row r="619" spans="2:25" s="20" customFormat="1" ht="89.25" customHeight="1" outlineLevel="1" x14ac:dyDescent="0.25">
      <c r="B619" s="2" t="s">
        <v>1336</v>
      </c>
      <c r="C619" s="3" t="s">
        <v>83</v>
      </c>
      <c r="D619" s="3" t="s">
        <v>1337</v>
      </c>
      <c r="E619" s="3" t="s">
        <v>790</v>
      </c>
      <c r="F619" s="3" t="s">
        <v>1338</v>
      </c>
      <c r="G619" s="19" t="s">
        <v>1334</v>
      </c>
      <c r="H619" s="2" t="s">
        <v>88</v>
      </c>
      <c r="I619" s="4">
        <v>0</v>
      </c>
      <c r="J619" s="5">
        <v>710000000</v>
      </c>
      <c r="K619" s="3" t="s">
        <v>89</v>
      </c>
      <c r="L619" s="2" t="s">
        <v>90</v>
      </c>
      <c r="M619" s="3" t="s">
        <v>787</v>
      </c>
      <c r="N619" s="7" t="s">
        <v>92</v>
      </c>
      <c r="O619" s="7" t="s">
        <v>93</v>
      </c>
      <c r="P619" s="3" t="s">
        <v>673</v>
      </c>
      <c r="Q619" s="8">
        <v>796</v>
      </c>
      <c r="R619" s="7" t="s">
        <v>118</v>
      </c>
      <c r="S619" s="9">
        <v>2</v>
      </c>
      <c r="T619" s="9">
        <v>642.86</v>
      </c>
      <c r="U619" s="9">
        <f t="shared" si="278"/>
        <v>1285.72</v>
      </c>
      <c r="V619" s="9">
        <f t="shared" ref="V619:V666" si="279">U619*1.12</f>
        <v>1440.0064000000002</v>
      </c>
      <c r="W619" s="3"/>
      <c r="X619" s="2">
        <v>2016</v>
      </c>
      <c r="Y619" s="3"/>
    </row>
    <row r="620" spans="2:25" s="20" customFormat="1" ht="89.25" customHeight="1" outlineLevel="1" x14ac:dyDescent="0.25">
      <c r="B620" s="2" t="s">
        <v>1339</v>
      </c>
      <c r="C620" s="3" t="s">
        <v>83</v>
      </c>
      <c r="D620" s="3" t="s">
        <v>1340</v>
      </c>
      <c r="E620" s="3" t="s">
        <v>806</v>
      </c>
      <c r="F620" s="3" t="s">
        <v>1341</v>
      </c>
      <c r="G620" s="19" t="s">
        <v>1334</v>
      </c>
      <c r="H620" s="2" t="s">
        <v>88</v>
      </c>
      <c r="I620" s="4">
        <v>0</v>
      </c>
      <c r="J620" s="5">
        <v>710000000</v>
      </c>
      <c r="K620" s="3" t="s">
        <v>89</v>
      </c>
      <c r="L620" s="2" t="s">
        <v>90</v>
      </c>
      <c r="M620" s="3" t="s">
        <v>787</v>
      </c>
      <c r="N620" s="7" t="s">
        <v>92</v>
      </c>
      <c r="O620" s="7" t="s">
        <v>93</v>
      </c>
      <c r="P620" s="3" t="s">
        <v>673</v>
      </c>
      <c r="Q620" s="8">
        <v>796</v>
      </c>
      <c r="R620" s="7" t="s">
        <v>118</v>
      </c>
      <c r="S620" s="9">
        <v>8</v>
      </c>
      <c r="T620" s="9">
        <v>464.29</v>
      </c>
      <c r="U620" s="9">
        <f t="shared" si="278"/>
        <v>3714.32</v>
      </c>
      <c r="V620" s="9">
        <f t="shared" si="279"/>
        <v>4160.0384000000004</v>
      </c>
      <c r="W620" s="3"/>
      <c r="X620" s="2">
        <v>2016</v>
      </c>
      <c r="Y620" s="3"/>
    </row>
    <row r="621" spans="2:25" s="11" customFormat="1" ht="89.25" customHeight="1" outlineLevel="1" x14ac:dyDescent="0.25">
      <c r="B621" s="2" t="s">
        <v>1342</v>
      </c>
      <c r="C621" s="3" t="s">
        <v>83</v>
      </c>
      <c r="D621" s="3" t="s">
        <v>1343</v>
      </c>
      <c r="E621" s="3" t="s">
        <v>810</v>
      </c>
      <c r="F621" s="3" t="s">
        <v>1344</v>
      </c>
      <c r="G621" s="19" t="s">
        <v>1334</v>
      </c>
      <c r="H621" s="2" t="s">
        <v>88</v>
      </c>
      <c r="I621" s="4">
        <v>0</v>
      </c>
      <c r="J621" s="5">
        <v>710000000</v>
      </c>
      <c r="K621" s="3" t="s">
        <v>89</v>
      </c>
      <c r="L621" s="2" t="s">
        <v>90</v>
      </c>
      <c r="M621" s="3" t="s">
        <v>787</v>
      </c>
      <c r="N621" s="7" t="s">
        <v>92</v>
      </c>
      <c r="O621" s="7" t="s">
        <v>93</v>
      </c>
      <c r="P621" s="3" t="s">
        <v>673</v>
      </c>
      <c r="Q621" s="8">
        <v>839</v>
      </c>
      <c r="R621" s="7" t="s">
        <v>812</v>
      </c>
      <c r="S621" s="9">
        <v>1</v>
      </c>
      <c r="T621" s="9">
        <v>7142.86</v>
      </c>
      <c r="U621" s="9">
        <f t="shared" si="278"/>
        <v>7142.86</v>
      </c>
      <c r="V621" s="9">
        <f t="shared" si="279"/>
        <v>8000.0032000000001</v>
      </c>
      <c r="W621" s="3"/>
      <c r="X621" s="2">
        <v>2016</v>
      </c>
      <c r="Y621" s="3"/>
    </row>
    <row r="622" spans="2:25" s="20" customFormat="1" ht="89.25" customHeight="1" outlineLevel="1" x14ac:dyDescent="0.25">
      <c r="B622" s="2" t="s">
        <v>1345</v>
      </c>
      <c r="C622" s="3" t="s">
        <v>83</v>
      </c>
      <c r="D622" s="3" t="s">
        <v>1346</v>
      </c>
      <c r="E622" s="3" t="s">
        <v>810</v>
      </c>
      <c r="F622" s="3" t="s">
        <v>1347</v>
      </c>
      <c r="G622" s="19" t="s">
        <v>1334</v>
      </c>
      <c r="H622" s="2" t="s">
        <v>88</v>
      </c>
      <c r="I622" s="4">
        <v>0</v>
      </c>
      <c r="J622" s="5">
        <v>710000000</v>
      </c>
      <c r="K622" s="3" t="s">
        <v>89</v>
      </c>
      <c r="L622" s="2" t="s">
        <v>90</v>
      </c>
      <c r="M622" s="3" t="s">
        <v>787</v>
      </c>
      <c r="N622" s="7" t="s">
        <v>92</v>
      </c>
      <c r="O622" s="7" t="s">
        <v>93</v>
      </c>
      <c r="P622" s="3" t="s">
        <v>673</v>
      </c>
      <c r="Q622" s="8">
        <v>839</v>
      </c>
      <c r="R622" s="7" t="s">
        <v>812</v>
      </c>
      <c r="S622" s="9">
        <v>1</v>
      </c>
      <c r="T622" s="9">
        <v>10714.29</v>
      </c>
      <c r="U622" s="9">
        <f t="shared" si="278"/>
        <v>10714.29</v>
      </c>
      <c r="V622" s="9">
        <f t="shared" si="279"/>
        <v>12000.004800000002</v>
      </c>
      <c r="W622" s="3"/>
      <c r="X622" s="2">
        <v>2016</v>
      </c>
      <c r="Y622" s="3"/>
    </row>
    <row r="623" spans="2:25" s="20" customFormat="1" ht="89.25" customHeight="1" outlineLevel="1" x14ac:dyDescent="0.25">
      <c r="B623" s="2" t="s">
        <v>1348</v>
      </c>
      <c r="C623" s="3" t="s">
        <v>83</v>
      </c>
      <c r="D623" s="3" t="s">
        <v>1349</v>
      </c>
      <c r="E623" s="3" t="s">
        <v>1350</v>
      </c>
      <c r="F623" s="3" t="s">
        <v>1351</v>
      </c>
      <c r="G623" s="19" t="s">
        <v>1334</v>
      </c>
      <c r="H623" s="2" t="s">
        <v>88</v>
      </c>
      <c r="I623" s="4">
        <v>0</v>
      </c>
      <c r="J623" s="5">
        <v>710000000</v>
      </c>
      <c r="K623" s="3" t="s">
        <v>89</v>
      </c>
      <c r="L623" s="2" t="s">
        <v>90</v>
      </c>
      <c r="M623" s="3" t="s">
        <v>787</v>
      </c>
      <c r="N623" s="7" t="s">
        <v>92</v>
      </c>
      <c r="O623" s="7" t="s">
        <v>93</v>
      </c>
      <c r="P623" s="3" t="s">
        <v>673</v>
      </c>
      <c r="Q623" s="8">
        <v>796</v>
      </c>
      <c r="R623" s="7" t="s">
        <v>118</v>
      </c>
      <c r="S623" s="9">
        <v>8</v>
      </c>
      <c r="T623" s="9">
        <v>5357.14</v>
      </c>
      <c r="U623" s="9">
        <f t="shared" si="278"/>
        <v>42857.120000000003</v>
      </c>
      <c r="V623" s="9">
        <f t="shared" si="279"/>
        <v>47999.974400000006</v>
      </c>
      <c r="W623" s="3"/>
      <c r="X623" s="2">
        <v>2016</v>
      </c>
      <c r="Y623" s="3"/>
    </row>
    <row r="624" spans="2:25" s="11" customFormat="1" ht="89.25" customHeight="1" outlineLevel="1" x14ac:dyDescent="0.25">
      <c r="B624" s="2" t="s">
        <v>1352</v>
      </c>
      <c r="C624" s="3" t="s">
        <v>83</v>
      </c>
      <c r="D624" s="3" t="s">
        <v>1304</v>
      </c>
      <c r="E624" s="3" t="s">
        <v>958</v>
      </c>
      <c r="F624" s="3" t="s">
        <v>1305</v>
      </c>
      <c r="G624" s="19" t="s">
        <v>1334</v>
      </c>
      <c r="H624" s="2" t="s">
        <v>88</v>
      </c>
      <c r="I624" s="4">
        <v>0</v>
      </c>
      <c r="J624" s="5">
        <v>710000000</v>
      </c>
      <c r="K624" s="3" t="s">
        <v>89</v>
      </c>
      <c r="L624" s="2" t="s">
        <v>90</v>
      </c>
      <c r="M624" s="3" t="s">
        <v>787</v>
      </c>
      <c r="N624" s="7" t="s">
        <v>92</v>
      </c>
      <c r="O624" s="7" t="s">
        <v>93</v>
      </c>
      <c r="P624" s="3" t="s">
        <v>673</v>
      </c>
      <c r="Q624" s="8">
        <v>796</v>
      </c>
      <c r="R624" s="7" t="s">
        <v>118</v>
      </c>
      <c r="S624" s="9">
        <v>1</v>
      </c>
      <c r="T624" s="9">
        <v>19017.86</v>
      </c>
      <c r="U624" s="9">
        <f t="shared" si="278"/>
        <v>19017.86</v>
      </c>
      <c r="V624" s="9">
        <f t="shared" si="279"/>
        <v>21300.003200000003</v>
      </c>
      <c r="W624" s="3"/>
      <c r="X624" s="2">
        <v>2016</v>
      </c>
      <c r="Y624" s="3"/>
    </row>
    <row r="625" spans="2:25" s="11" customFormat="1" ht="89.25" customHeight="1" outlineLevel="1" x14ac:dyDescent="0.25">
      <c r="B625" s="2" t="s">
        <v>1353</v>
      </c>
      <c r="C625" s="3" t="s">
        <v>83</v>
      </c>
      <c r="D625" s="3" t="s">
        <v>1354</v>
      </c>
      <c r="E625" s="3" t="s">
        <v>1144</v>
      </c>
      <c r="F625" s="3" t="s">
        <v>1305</v>
      </c>
      <c r="G625" s="19" t="s">
        <v>1334</v>
      </c>
      <c r="H625" s="2" t="s">
        <v>88</v>
      </c>
      <c r="I625" s="4">
        <v>0</v>
      </c>
      <c r="J625" s="5">
        <v>710000000</v>
      </c>
      <c r="K625" s="3" t="s">
        <v>89</v>
      </c>
      <c r="L625" s="2" t="s">
        <v>90</v>
      </c>
      <c r="M625" s="3" t="s">
        <v>787</v>
      </c>
      <c r="N625" s="7" t="s">
        <v>92</v>
      </c>
      <c r="O625" s="7" t="s">
        <v>93</v>
      </c>
      <c r="P625" s="3" t="s">
        <v>673</v>
      </c>
      <c r="Q625" s="8">
        <v>796</v>
      </c>
      <c r="R625" s="7" t="s">
        <v>118</v>
      </c>
      <c r="S625" s="9">
        <v>1</v>
      </c>
      <c r="T625" s="9">
        <v>31250</v>
      </c>
      <c r="U625" s="9">
        <f t="shared" si="278"/>
        <v>31250</v>
      </c>
      <c r="V625" s="9">
        <f t="shared" si="279"/>
        <v>35000</v>
      </c>
      <c r="W625" s="3"/>
      <c r="X625" s="2">
        <v>2016</v>
      </c>
      <c r="Y625" s="3"/>
    </row>
    <row r="626" spans="2:25" s="20" customFormat="1" ht="89.25" customHeight="1" outlineLevel="1" x14ac:dyDescent="0.25">
      <c r="B626" s="2" t="s">
        <v>1355</v>
      </c>
      <c r="C626" s="3" t="s">
        <v>83</v>
      </c>
      <c r="D626" s="3" t="s">
        <v>1331</v>
      </c>
      <c r="E626" s="3" t="s">
        <v>1332</v>
      </c>
      <c r="F626" s="3" t="s">
        <v>1333</v>
      </c>
      <c r="G626" s="19" t="s">
        <v>1356</v>
      </c>
      <c r="H626" s="2" t="s">
        <v>88</v>
      </c>
      <c r="I626" s="4">
        <v>0</v>
      </c>
      <c r="J626" s="5">
        <v>710000000</v>
      </c>
      <c r="K626" s="5" t="s">
        <v>89</v>
      </c>
      <c r="L626" s="2" t="s">
        <v>90</v>
      </c>
      <c r="M626" s="6" t="s">
        <v>787</v>
      </c>
      <c r="N626" s="7" t="s">
        <v>92</v>
      </c>
      <c r="O626" s="7" t="s">
        <v>93</v>
      </c>
      <c r="P626" s="3" t="s">
        <v>673</v>
      </c>
      <c r="Q626" s="8">
        <v>796</v>
      </c>
      <c r="R626" s="7" t="s">
        <v>118</v>
      </c>
      <c r="S626" s="9">
        <v>2</v>
      </c>
      <c r="T626" s="9">
        <v>3845.24</v>
      </c>
      <c r="U626" s="9">
        <f t="shared" si="278"/>
        <v>7690.48</v>
      </c>
      <c r="V626" s="9">
        <f t="shared" si="279"/>
        <v>8613.3376000000007</v>
      </c>
      <c r="W626" s="7"/>
      <c r="X626" s="2">
        <v>2016</v>
      </c>
      <c r="Y626" s="2"/>
    </row>
    <row r="627" spans="2:25" s="20" customFormat="1" ht="89.25" customHeight="1" outlineLevel="1" x14ac:dyDescent="0.25">
      <c r="B627" s="2" t="s">
        <v>1357</v>
      </c>
      <c r="C627" s="3" t="s">
        <v>83</v>
      </c>
      <c r="D627" s="3" t="s">
        <v>1271</v>
      </c>
      <c r="E627" s="3" t="s">
        <v>790</v>
      </c>
      <c r="F627" s="3" t="s">
        <v>1272</v>
      </c>
      <c r="G627" s="3" t="s">
        <v>1358</v>
      </c>
      <c r="H627" s="2" t="s">
        <v>88</v>
      </c>
      <c r="I627" s="4">
        <v>0</v>
      </c>
      <c r="J627" s="5">
        <v>710000000</v>
      </c>
      <c r="K627" s="3" t="s">
        <v>89</v>
      </c>
      <c r="L627" s="2" t="s">
        <v>90</v>
      </c>
      <c r="M627" s="3" t="s">
        <v>787</v>
      </c>
      <c r="N627" s="7" t="s">
        <v>92</v>
      </c>
      <c r="O627" s="7" t="s">
        <v>93</v>
      </c>
      <c r="P627" s="3" t="s">
        <v>673</v>
      </c>
      <c r="Q627" s="8">
        <v>796</v>
      </c>
      <c r="R627" s="7" t="s">
        <v>118</v>
      </c>
      <c r="S627" s="9">
        <v>2</v>
      </c>
      <c r="T627" s="9">
        <v>3541.67</v>
      </c>
      <c r="U627" s="9">
        <f t="shared" si="278"/>
        <v>7083.34</v>
      </c>
      <c r="V627" s="9">
        <f t="shared" si="279"/>
        <v>7933.3408000000009</v>
      </c>
      <c r="W627" s="3"/>
      <c r="X627" s="2">
        <v>2016</v>
      </c>
      <c r="Y627" s="3"/>
    </row>
    <row r="628" spans="2:25" s="20" customFormat="1" ht="89.25" customHeight="1" outlineLevel="1" x14ac:dyDescent="0.25">
      <c r="B628" s="2" t="s">
        <v>1359</v>
      </c>
      <c r="C628" s="3" t="s">
        <v>83</v>
      </c>
      <c r="D628" s="3" t="s">
        <v>1337</v>
      </c>
      <c r="E628" s="3" t="s">
        <v>790</v>
      </c>
      <c r="F628" s="3" t="s">
        <v>1338</v>
      </c>
      <c r="G628" s="3" t="s">
        <v>1358</v>
      </c>
      <c r="H628" s="2" t="s">
        <v>88</v>
      </c>
      <c r="I628" s="4">
        <v>0</v>
      </c>
      <c r="J628" s="5">
        <v>710000000</v>
      </c>
      <c r="K628" s="3" t="s">
        <v>89</v>
      </c>
      <c r="L628" s="2" t="s">
        <v>90</v>
      </c>
      <c r="M628" s="3" t="s">
        <v>787</v>
      </c>
      <c r="N628" s="7" t="s">
        <v>92</v>
      </c>
      <c r="O628" s="7" t="s">
        <v>93</v>
      </c>
      <c r="P628" s="3" t="s">
        <v>673</v>
      </c>
      <c r="Q628" s="8">
        <v>796</v>
      </c>
      <c r="R628" s="7" t="s">
        <v>118</v>
      </c>
      <c r="S628" s="9">
        <v>10</v>
      </c>
      <c r="T628" s="9">
        <v>642.86</v>
      </c>
      <c r="U628" s="9">
        <f t="shared" si="278"/>
        <v>6428.6</v>
      </c>
      <c r="V628" s="9">
        <f t="shared" si="279"/>
        <v>7200.0320000000011</v>
      </c>
      <c r="W628" s="3"/>
      <c r="X628" s="2">
        <v>2016</v>
      </c>
      <c r="Y628" s="3"/>
    </row>
    <row r="629" spans="2:25" s="11" customFormat="1" ht="89.25" customHeight="1" outlineLevel="1" x14ac:dyDescent="0.25">
      <c r="B629" s="2" t="s">
        <v>1360</v>
      </c>
      <c r="C629" s="3" t="s">
        <v>83</v>
      </c>
      <c r="D629" s="3" t="s">
        <v>1361</v>
      </c>
      <c r="E629" s="3" t="s">
        <v>810</v>
      </c>
      <c r="F629" s="3" t="s">
        <v>1344</v>
      </c>
      <c r="G629" s="3" t="s">
        <v>1358</v>
      </c>
      <c r="H629" s="2" t="s">
        <v>88</v>
      </c>
      <c r="I629" s="4">
        <v>0</v>
      </c>
      <c r="J629" s="5">
        <v>710000000</v>
      </c>
      <c r="K629" s="5" t="s">
        <v>89</v>
      </c>
      <c r="L629" s="2" t="s">
        <v>90</v>
      </c>
      <c r="M629" s="6" t="s">
        <v>787</v>
      </c>
      <c r="N629" s="7" t="s">
        <v>92</v>
      </c>
      <c r="O629" s="7" t="s">
        <v>93</v>
      </c>
      <c r="P629" s="3" t="s">
        <v>673</v>
      </c>
      <c r="Q629" s="8">
        <v>796</v>
      </c>
      <c r="R629" s="7" t="s">
        <v>118</v>
      </c>
      <c r="S629" s="9">
        <v>8</v>
      </c>
      <c r="T629" s="9">
        <v>5238.1000000000004</v>
      </c>
      <c r="U629" s="9">
        <f t="shared" si="278"/>
        <v>41904.800000000003</v>
      </c>
      <c r="V629" s="9">
        <f t="shared" si="279"/>
        <v>46933.376000000011</v>
      </c>
      <c r="W629" s="7"/>
      <c r="X629" s="2">
        <v>2016</v>
      </c>
      <c r="Y629" s="2"/>
    </row>
    <row r="630" spans="2:25" s="20" customFormat="1" ht="89.25" customHeight="1" outlineLevel="1" x14ac:dyDescent="0.25">
      <c r="B630" s="2" t="s">
        <v>1362</v>
      </c>
      <c r="C630" s="3" t="s">
        <v>83</v>
      </c>
      <c r="D630" s="3" t="s">
        <v>1229</v>
      </c>
      <c r="E630" s="3" t="s">
        <v>969</v>
      </c>
      <c r="F630" s="3" t="s">
        <v>1230</v>
      </c>
      <c r="G630" s="3" t="s">
        <v>1358</v>
      </c>
      <c r="H630" s="2" t="s">
        <v>88</v>
      </c>
      <c r="I630" s="4">
        <v>0</v>
      </c>
      <c r="J630" s="5">
        <v>710000000</v>
      </c>
      <c r="K630" s="5" t="s">
        <v>89</v>
      </c>
      <c r="L630" s="2" t="s">
        <v>90</v>
      </c>
      <c r="M630" s="6" t="s">
        <v>787</v>
      </c>
      <c r="N630" s="7" t="s">
        <v>92</v>
      </c>
      <c r="O630" s="7" t="s">
        <v>93</v>
      </c>
      <c r="P630" s="3" t="s">
        <v>673</v>
      </c>
      <c r="Q630" s="8">
        <v>796</v>
      </c>
      <c r="R630" s="7" t="s">
        <v>118</v>
      </c>
      <c r="S630" s="9">
        <v>1</v>
      </c>
      <c r="T630" s="9">
        <v>37500</v>
      </c>
      <c r="U630" s="9">
        <f t="shared" si="278"/>
        <v>37500</v>
      </c>
      <c r="V630" s="9">
        <f t="shared" si="279"/>
        <v>42000.000000000007</v>
      </c>
      <c r="W630" s="7"/>
      <c r="X630" s="2">
        <v>2016</v>
      </c>
      <c r="Y630" s="2"/>
    </row>
    <row r="631" spans="2:25" s="20" customFormat="1" ht="89.25" customHeight="1" outlineLevel="1" x14ac:dyDescent="0.25">
      <c r="B631" s="2" t="s">
        <v>1363</v>
      </c>
      <c r="C631" s="3" t="s">
        <v>83</v>
      </c>
      <c r="D631" s="3" t="s">
        <v>1304</v>
      </c>
      <c r="E631" s="3" t="s">
        <v>958</v>
      </c>
      <c r="F631" s="3" t="s">
        <v>1305</v>
      </c>
      <c r="G631" s="3" t="s">
        <v>1358</v>
      </c>
      <c r="H631" s="2" t="s">
        <v>88</v>
      </c>
      <c r="I631" s="4">
        <v>0</v>
      </c>
      <c r="J631" s="5">
        <v>710000000</v>
      </c>
      <c r="K631" s="3" t="s">
        <v>89</v>
      </c>
      <c r="L631" s="2" t="s">
        <v>90</v>
      </c>
      <c r="M631" s="3" t="s">
        <v>787</v>
      </c>
      <c r="N631" s="7" t="s">
        <v>92</v>
      </c>
      <c r="O631" s="7" t="s">
        <v>93</v>
      </c>
      <c r="P631" s="3" t="s">
        <v>673</v>
      </c>
      <c r="Q631" s="8">
        <v>796</v>
      </c>
      <c r="R631" s="7" t="s">
        <v>118</v>
      </c>
      <c r="S631" s="9">
        <v>1</v>
      </c>
      <c r="T631" s="9">
        <v>21428.57</v>
      </c>
      <c r="U631" s="9">
        <f t="shared" si="278"/>
        <v>21428.57</v>
      </c>
      <c r="V631" s="9">
        <f t="shared" si="279"/>
        <v>23999.9984</v>
      </c>
      <c r="W631" s="3"/>
      <c r="X631" s="2">
        <v>2016</v>
      </c>
      <c r="Y631" s="3"/>
    </row>
    <row r="632" spans="2:25" s="20" customFormat="1" ht="89.25" customHeight="1" outlineLevel="1" x14ac:dyDescent="0.25">
      <c r="B632" s="2" t="s">
        <v>1364</v>
      </c>
      <c r="C632" s="3" t="s">
        <v>83</v>
      </c>
      <c r="D632" s="3" t="s">
        <v>1354</v>
      </c>
      <c r="E632" s="3" t="s">
        <v>1144</v>
      </c>
      <c r="F632" s="3" t="s">
        <v>1305</v>
      </c>
      <c r="G632" s="3" t="s">
        <v>1365</v>
      </c>
      <c r="H632" s="2" t="s">
        <v>88</v>
      </c>
      <c r="I632" s="4">
        <v>0</v>
      </c>
      <c r="J632" s="5">
        <v>710000000</v>
      </c>
      <c r="K632" s="3" t="s">
        <v>89</v>
      </c>
      <c r="L632" s="2" t="s">
        <v>90</v>
      </c>
      <c r="M632" s="3" t="s">
        <v>787</v>
      </c>
      <c r="N632" s="7" t="s">
        <v>92</v>
      </c>
      <c r="O632" s="7" t="s">
        <v>93</v>
      </c>
      <c r="P632" s="3" t="s">
        <v>673</v>
      </c>
      <c r="Q632" s="8">
        <v>796</v>
      </c>
      <c r="R632" s="7" t="s">
        <v>118</v>
      </c>
      <c r="S632" s="9">
        <v>1</v>
      </c>
      <c r="T632" s="9">
        <v>42619.05</v>
      </c>
      <c r="U632" s="9">
        <f t="shared" si="278"/>
        <v>42619.05</v>
      </c>
      <c r="V632" s="9">
        <f t="shared" si="279"/>
        <v>47733.33600000001</v>
      </c>
      <c r="W632" s="3"/>
      <c r="X632" s="2">
        <v>2016</v>
      </c>
      <c r="Y632" s="3"/>
    </row>
    <row r="633" spans="2:25" s="20" customFormat="1" ht="89.25" customHeight="1" outlineLevel="1" x14ac:dyDescent="0.25">
      <c r="B633" s="2" t="s">
        <v>1366</v>
      </c>
      <c r="C633" s="3" t="s">
        <v>83</v>
      </c>
      <c r="D633" s="3" t="s">
        <v>1367</v>
      </c>
      <c r="E633" s="3" t="s">
        <v>1368</v>
      </c>
      <c r="F633" s="3" t="s">
        <v>1369</v>
      </c>
      <c r="G633" s="3" t="s">
        <v>1365</v>
      </c>
      <c r="H633" s="2" t="s">
        <v>88</v>
      </c>
      <c r="I633" s="4">
        <v>0</v>
      </c>
      <c r="J633" s="5">
        <v>710000000</v>
      </c>
      <c r="K633" s="3" t="s">
        <v>89</v>
      </c>
      <c r="L633" s="2" t="s">
        <v>90</v>
      </c>
      <c r="M633" s="3" t="s">
        <v>787</v>
      </c>
      <c r="N633" s="7" t="s">
        <v>92</v>
      </c>
      <c r="O633" s="7" t="s">
        <v>93</v>
      </c>
      <c r="P633" s="3" t="s">
        <v>673</v>
      </c>
      <c r="Q633" s="8">
        <v>796</v>
      </c>
      <c r="R633" s="7" t="s">
        <v>118</v>
      </c>
      <c r="S633" s="9">
        <v>1</v>
      </c>
      <c r="T633" s="9">
        <v>60714.29</v>
      </c>
      <c r="U633" s="9">
        <f t="shared" si="278"/>
        <v>60714.29</v>
      </c>
      <c r="V633" s="9">
        <f t="shared" si="279"/>
        <v>68000.00480000001</v>
      </c>
      <c r="W633" s="3"/>
      <c r="X633" s="2">
        <v>2016</v>
      </c>
      <c r="Y633" s="3"/>
    </row>
    <row r="634" spans="2:25" s="20" customFormat="1" ht="89.25" customHeight="1" outlineLevel="1" x14ac:dyDescent="0.25">
      <c r="B634" s="2" t="s">
        <v>1370</v>
      </c>
      <c r="C634" s="3" t="s">
        <v>83</v>
      </c>
      <c r="D634" s="3" t="s">
        <v>921</v>
      </c>
      <c r="E634" s="3" t="s">
        <v>790</v>
      </c>
      <c r="F634" s="3" t="s">
        <v>922</v>
      </c>
      <c r="G634" s="19" t="s">
        <v>1371</v>
      </c>
      <c r="H634" s="2" t="s">
        <v>88</v>
      </c>
      <c r="I634" s="4">
        <v>0</v>
      </c>
      <c r="J634" s="5">
        <v>710000000</v>
      </c>
      <c r="K634" s="5" t="s">
        <v>89</v>
      </c>
      <c r="L634" s="2" t="s">
        <v>90</v>
      </c>
      <c r="M634" s="6" t="s">
        <v>787</v>
      </c>
      <c r="N634" s="7" t="s">
        <v>92</v>
      </c>
      <c r="O634" s="7" t="s">
        <v>93</v>
      </c>
      <c r="P634" s="3" t="s">
        <v>673</v>
      </c>
      <c r="Q634" s="8">
        <v>796</v>
      </c>
      <c r="R634" s="7" t="s">
        <v>118</v>
      </c>
      <c r="S634" s="9">
        <v>8</v>
      </c>
      <c r="T634" s="9">
        <v>2788.69</v>
      </c>
      <c r="U634" s="9">
        <f t="shared" si="278"/>
        <v>22309.52</v>
      </c>
      <c r="V634" s="9">
        <f t="shared" si="279"/>
        <v>24986.662400000001</v>
      </c>
      <c r="W634" s="7"/>
      <c r="X634" s="2">
        <v>2016</v>
      </c>
      <c r="Y634" s="2"/>
    </row>
    <row r="635" spans="2:25" s="11" customFormat="1" ht="89.25" customHeight="1" outlineLevel="1" x14ac:dyDescent="0.25">
      <c r="B635" s="2" t="s">
        <v>1372</v>
      </c>
      <c r="C635" s="3" t="s">
        <v>83</v>
      </c>
      <c r="D635" s="3" t="s">
        <v>1373</v>
      </c>
      <c r="E635" s="3" t="s">
        <v>790</v>
      </c>
      <c r="F635" s="3" t="s">
        <v>1374</v>
      </c>
      <c r="G635" s="3" t="s">
        <v>1371</v>
      </c>
      <c r="H635" s="2" t="s">
        <v>88</v>
      </c>
      <c r="I635" s="4">
        <v>0</v>
      </c>
      <c r="J635" s="5">
        <v>710000000</v>
      </c>
      <c r="K635" s="3" t="s">
        <v>89</v>
      </c>
      <c r="L635" s="2" t="s">
        <v>90</v>
      </c>
      <c r="M635" s="3" t="s">
        <v>787</v>
      </c>
      <c r="N635" s="7" t="s">
        <v>92</v>
      </c>
      <c r="O635" s="7" t="s">
        <v>93</v>
      </c>
      <c r="P635" s="3" t="s">
        <v>673</v>
      </c>
      <c r="Q635" s="8">
        <v>796</v>
      </c>
      <c r="R635" s="7" t="s">
        <v>118</v>
      </c>
      <c r="S635" s="9">
        <v>8</v>
      </c>
      <c r="T635" s="9">
        <v>6324.4</v>
      </c>
      <c r="U635" s="9">
        <f t="shared" si="278"/>
        <v>50595.199999999997</v>
      </c>
      <c r="V635" s="9">
        <f t="shared" si="279"/>
        <v>56666.624000000003</v>
      </c>
      <c r="W635" s="3"/>
      <c r="X635" s="2">
        <v>2016</v>
      </c>
      <c r="Y635" s="3"/>
    </row>
    <row r="636" spans="2:25" s="20" customFormat="1" ht="89.25" customHeight="1" outlineLevel="1" x14ac:dyDescent="0.25">
      <c r="B636" s="2" t="s">
        <v>1375</v>
      </c>
      <c r="C636" s="3" t="s">
        <v>83</v>
      </c>
      <c r="D636" s="3" t="s">
        <v>1376</v>
      </c>
      <c r="E636" s="3" t="s">
        <v>790</v>
      </c>
      <c r="F636" s="3" t="s">
        <v>1377</v>
      </c>
      <c r="G636" s="3" t="s">
        <v>1371</v>
      </c>
      <c r="H636" s="2" t="s">
        <v>88</v>
      </c>
      <c r="I636" s="21">
        <v>0</v>
      </c>
      <c r="J636" s="5">
        <v>710000000</v>
      </c>
      <c r="K636" s="3" t="s">
        <v>89</v>
      </c>
      <c r="L636" s="2" t="s">
        <v>90</v>
      </c>
      <c r="M636" s="3" t="s">
        <v>787</v>
      </c>
      <c r="N636" s="7" t="s">
        <v>92</v>
      </c>
      <c r="O636" s="7" t="s">
        <v>93</v>
      </c>
      <c r="P636" s="3" t="s">
        <v>673</v>
      </c>
      <c r="Q636" s="8">
        <v>796</v>
      </c>
      <c r="R636" s="7" t="s">
        <v>118</v>
      </c>
      <c r="S636" s="9">
        <v>8</v>
      </c>
      <c r="T636" s="9">
        <v>9041.67</v>
      </c>
      <c r="U636" s="9">
        <f t="shared" si="278"/>
        <v>72333.36</v>
      </c>
      <c r="V636" s="9">
        <f t="shared" si="279"/>
        <v>81013.363200000007</v>
      </c>
      <c r="W636" s="3"/>
      <c r="X636" s="2">
        <v>2016</v>
      </c>
      <c r="Y636" s="3"/>
    </row>
    <row r="637" spans="2:25" s="20" customFormat="1" ht="89.25" customHeight="1" outlineLevel="1" x14ac:dyDescent="0.25">
      <c r="B637" s="2" t="s">
        <v>1378</v>
      </c>
      <c r="C637" s="3" t="s">
        <v>83</v>
      </c>
      <c r="D637" s="3" t="s">
        <v>1307</v>
      </c>
      <c r="E637" s="3" t="s">
        <v>961</v>
      </c>
      <c r="F637" s="3" t="s">
        <v>1308</v>
      </c>
      <c r="G637" s="3" t="s">
        <v>1371</v>
      </c>
      <c r="H637" s="2" t="s">
        <v>88</v>
      </c>
      <c r="I637" s="4">
        <v>0</v>
      </c>
      <c r="J637" s="5">
        <v>710000000</v>
      </c>
      <c r="K637" s="3" t="s">
        <v>89</v>
      </c>
      <c r="L637" s="2" t="s">
        <v>90</v>
      </c>
      <c r="M637" s="3" t="s">
        <v>787</v>
      </c>
      <c r="N637" s="7" t="s">
        <v>92</v>
      </c>
      <c r="O637" s="7" t="s">
        <v>93</v>
      </c>
      <c r="P637" s="3" t="s">
        <v>673</v>
      </c>
      <c r="Q637" s="8">
        <v>796</v>
      </c>
      <c r="R637" s="7" t="s">
        <v>118</v>
      </c>
      <c r="S637" s="9">
        <v>1</v>
      </c>
      <c r="T637" s="9">
        <v>84672.62</v>
      </c>
      <c r="U637" s="9">
        <f t="shared" si="278"/>
        <v>84672.62</v>
      </c>
      <c r="V637" s="9">
        <f t="shared" si="279"/>
        <v>94833.334400000007</v>
      </c>
      <c r="W637" s="3"/>
      <c r="X637" s="2">
        <v>2016</v>
      </c>
      <c r="Y637" s="3"/>
    </row>
    <row r="638" spans="2:25" s="20" customFormat="1" ht="89.25" customHeight="1" outlineLevel="1" x14ac:dyDescent="0.25">
      <c r="B638" s="2" t="s">
        <v>1379</v>
      </c>
      <c r="C638" s="3" t="s">
        <v>83</v>
      </c>
      <c r="D638" s="3" t="s">
        <v>1380</v>
      </c>
      <c r="E638" s="3" t="s">
        <v>1381</v>
      </c>
      <c r="F638" s="3" t="s">
        <v>1382</v>
      </c>
      <c r="G638" s="3" t="s">
        <v>1371</v>
      </c>
      <c r="H638" s="2" t="s">
        <v>88</v>
      </c>
      <c r="I638" s="21">
        <v>0</v>
      </c>
      <c r="J638" s="5">
        <v>710000000</v>
      </c>
      <c r="K638" s="3" t="s">
        <v>89</v>
      </c>
      <c r="L638" s="2" t="s">
        <v>90</v>
      </c>
      <c r="M638" s="3" t="s">
        <v>787</v>
      </c>
      <c r="N638" s="7" t="s">
        <v>92</v>
      </c>
      <c r="O638" s="7" t="s">
        <v>93</v>
      </c>
      <c r="P638" s="3" t="s">
        <v>673</v>
      </c>
      <c r="Q638" s="8">
        <v>796</v>
      </c>
      <c r="R638" s="7" t="s">
        <v>118</v>
      </c>
      <c r="S638" s="9">
        <v>2</v>
      </c>
      <c r="T638" s="9">
        <v>312500</v>
      </c>
      <c r="U638" s="9">
        <f t="shared" si="278"/>
        <v>625000</v>
      </c>
      <c r="V638" s="9">
        <f t="shared" si="279"/>
        <v>700000.00000000012</v>
      </c>
      <c r="W638" s="3"/>
      <c r="X638" s="2">
        <v>2016</v>
      </c>
      <c r="Y638" s="3"/>
    </row>
    <row r="639" spans="2:25" s="11" customFormat="1" ht="89.25" customHeight="1" outlineLevel="1" x14ac:dyDescent="0.25">
      <c r="B639" s="2" t="s">
        <v>1383</v>
      </c>
      <c r="C639" s="3" t="s">
        <v>83</v>
      </c>
      <c r="D639" s="3" t="s">
        <v>1384</v>
      </c>
      <c r="E639" s="3" t="s">
        <v>1385</v>
      </c>
      <c r="F639" s="3" t="s">
        <v>1285</v>
      </c>
      <c r="G639" s="3" t="s">
        <v>1371</v>
      </c>
      <c r="H639" s="2" t="s">
        <v>88</v>
      </c>
      <c r="I639" s="21">
        <v>0</v>
      </c>
      <c r="J639" s="5">
        <v>710000000</v>
      </c>
      <c r="K639" s="3" t="s">
        <v>89</v>
      </c>
      <c r="L639" s="2" t="s">
        <v>90</v>
      </c>
      <c r="M639" s="3" t="s">
        <v>787</v>
      </c>
      <c r="N639" s="7" t="s">
        <v>92</v>
      </c>
      <c r="O639" s="7" t="s">
        <v>93</v>
      </c>
      <c r="P639" s="3" t="s">
        <v>673</v>
      </c>
      <c r="Q639" s="8">
        <v>796</v>
      </c>
      <c r="R639" s="7" t="s">
        <v>118</v>
      </c>
      <c r="S639" s="9">
        <v>2</v>
      </c>
      <c r="T639" s="9">
        <v>98214.29</v>
      </c>
      <c r="U639" s="9">
        <f t="shared" si="278"/>
        <v>196428.58</v>
      </c>
      <c r="V639" s="9">
        <f t="shared" si="279"/>
        <v>220000.00960000002</v>
      </c>
      <c r="W639" s="3"/>
      <c r="X639" s="2">
        <v>2016</v>
      </c>
      <c r="Y639" s="3"/>
    </row>
    <row r="640" spans="2:25" s="20" customFormat="1" ht="89.25" customHeight="1" outlineLevel="1" x14ac:dyDescent="0.25">
      <c r="B640" s="2" t="s">
        <v>1386</v>
      </c>
      <c r="C640" s="3" t="s">
        <v>83</v>
      </c>
      <c r="D640" s="3" t="s">
        <v>921</v>
      </c>
      <c r="E640" s="3" t="s">
        <v>790</v>
      </c>
      <c r="F640" s="3" t="s">
        <v>922</v>
      </c>
      <c r="G640" s="19" t="s">
        <v>1387</v>
      </c>
      <c r="H640" s="2" t="s">
        <v>88</v>
      </c>
      <c r="I640" s="4">
        <v>0</v>
      </c>
      <c r="J640" s="5">
        <v>710000000</v>
      </c>
      <c r="K640" s="5" t="s">
        <v>89</v>
      </c>
      <c r="L640" s="2" t="s">
        <v>90</v>
      </c>
      <c r="M640" s="6" t="s">
        <v>787</v>
      </c>
      <c r="N640" s="7" t="s">
        <v>92</v>
      </c>
      <c r="O640" s="7" t="s">
        <v>93</v>
      </c>
      <c r="P640" s="3" t="s">
        <v>673</v>
      </c>
      <c r="Q640" s="8">
        <v>796</v>
      </c>
      <c r="R640" s="7" t="s">
        <v>118</v>
      </c>
      <c r="S640" s="9">
        <v>2</v>
      </c>
      <c r="T640" s="9">
        <v>1383.93</v>
      </c>
      <c r="U640" s="9">
        <f t="shared" si="278"/>
        <v>2767.86</v>
      </c>
      <c r="V640" s="9">
        <f t="shared" si="279"/>
        <v>3100.0032000000006</v>
      </c>
      <c r="W640" s="7"/>
      <c r="X640" s="2">
        <v>2016</v>
      </c>
      <c r="Y640" s="2"/>
    </row>
    <row r="641" spans="2:25" s="20" customFormat="1" ht="89.25" customHeight="1" outlineLevel="1" x14ac:dyDescent="0.25">
      <c r="B641" s="2" t="s">
        <v>1388</v>
      </c>
      <c r="C641" s="3" t="s">
        <v>83</v>
      </c>
      <c r="D641" s="3" t="s">
        <v>1376</v>
      </c>
      <c r="E641" s="3" t="s">
        <v>790</v>
      </c>
      <c r="F641" s="3" t="s">
        <v>1377</v>
      </c>
      <c r="G641" s="19" t="s">
        <v>1387</v>
      </c>
      <c r="H641" s="2" t="s">
        <v>88</v>
      </c>
      <c r="I641" s="21">
        <v>0</v>
      </c>
      <c r="J641" s="5">
        <v>710000000</v>
      </c>
      <c r="K641" s="3" t="s">
        <v>89</v>
      </c>
      <c r="L641" s="2" t="s">
        <v>90</v>
      </c>
      <c r="M641" s="3" t="s">
        <v>787</v>
      </c>
      <c r="N641" s="7" t="s">
        <v>92</v>
      </c>
      <c r="O641" s="7" t="s">
        <v>93</v>
      </c>
      <c r="P641" s="3" t="s">
        <v>673</v>
      </c>
      <c r="Q641" s="8">
        <v>796</v>
      </c>
      <c r="R641" s="7" t="s">
        <v>118</v>
      </c>
      <c r="S641" s="9">
        <v>2</v>
      </c>
      <c r="T641" s="9">
        <v>642.86</v>
      </c>
      <c r="U641" s="9">
        <f t="shared" ref="U641:U649" si="280">T641*S641</f>
        <v>1285.72</v>
      </c>
      <c r="V641" s="9">
        <f t="shared" si="279"/>
        <v>1440.0064000000002</v>
      </c>
      <c r="W641" s="3"/>
      <c r="X641" s="2">
        <v>2016</v>
      </c>
      <c r="Y641" s="3"/>
    </row>
    <row r="642" spans="2:25" s="20" customFormat="1" ht="89.25" customHeight="1" outlineLevel="1" x14ac:dyDescent="0.25">
      <c r="B642" s="2" t="s">
        <v>1389</v>
      </c>
      <c r="C642" s="3" t="s">
        <v>83</v>
      </c>
      <c r="D642" s="3" t="s">
        <v>1307</v>
      </c>
      <c r="E642" s="3" t="s">
        <v>961</v>
      </c>
      <c r="F642" s="3" t="s">
        <v>1308</v>
      </c>
      <c r="G642" s="19" t="s">
        <v>1387</v>
      </c>
      <c r="H642" s="2" t="s">
        <v>88</v>
      </c>
      <c r="I642" s="21">
        <v>0</v>
      </c>
      <c r="J642" s="5">
        <v>710000000</v>
      </c>
      <c r="K642" s="3" t="s">
        <v>89</v>
      </c>
      <c r="L642" s="2" t="s">
        <v>90</v>
      </c>
      <c r="M642" s="3" t="s">
        <v>787</v>
      </c>
      <c r="N642" s="7" t="s">
        <v>92</v>
      </c>
      <c r="O642" s="7" t="s">
        <v>93</v>
      </c>
      <c r="P642" s="3" t="s">
        <v>673</v>
      </c>
      <c r="Q642" s="8">
        <v>796</v>
      </c>
      <c r="R642" s="7" t="s">
        <v>118</v>
      </c>
      <c r="S642" s="9">
        <v>1</v>
      </c>
      <c r="T642" s="9">
        <v>58035.71</v>
      </c>
      <c r="U642" s="9">
        <f t="shared" si="280"/>
        <v>58035.71</v>
      </c>
      <c r="V642" s="9">
        <f t="shared" si="279"/>
        <v>64999.995200000005</v>
      </c>
      <c r="W642" s="3"/>
      <c r="X642" s="2">
        <v>2016</v>
      </c>
      <c r="Y642" s="3"/>
    </row>
    <row r="643" spans="2:25" s="11" customFormat="1" ht="89.25" customHeight="1" outlineLevel="1" x14ac:dyDescent="0.25">
      <c r="B643" s="2" t="s">
        <v>1390</v>
      </c>
      <c r="C643" s="3" t="s">
        <v>83</v>
      </c>
      <c r="D643" s="3" t="s">
        <v>1380</v>
      </c>
      <c r="E643" s="3" t="s">
        <v>1381</v>
      </c>
      <c r="F643" s="3" t="s">
        <v>1382</v>
      </c>
      <c r="G643" s="19" t="s">
        <v>1387</v>
      </c>
      <c r="H643" s="2" t="s">
        <v>88</v>
      </c>
      <c r="I643" s="21">
        <v>0</v>
      </c>
      <c r="J643" s="5">
        <v>710000000</v>
      </c>
      <c r="K643" s="3" t="s">
        <v>89</v>
      </c>
      <c r="L643" s="2" t="s">
        <v>90</v>
      </c>
      <c r="M643" s="3" t="s">
        <v>787</v>
      </c>
      <c r="N643" s="7" t="s">
        <v>92</v>
      </c>
      <c r="O643" s="7" t="s">
        <v>93</v>
      </c>
      <c r="P643" s="3" t="s">
        <v>673</v>
      </c>
      <c r="Q643" s="8">
        <v>796</v>
      </c>
      <c r="R643" s="7" t="s">
        <v>118</v>
      </c>
      <c r="S643" s="9">
        <v>1</v>
      </c>
      <c r="T643" s="9">
        <v>40178.57</v>
      </c>
      <c r="U643" s="9">
        <f t="shared" si="280"/>
        <v>40178.57</v>
      </c>
      <c r="V643" s="9">
        <f t="shared" si="279"/>
        <v>44999.998400000004</v>
      </c>
      <c r="W643" s="3"/>
      <c r="X643" s="2">
        <v>2016</v>
      </c>
      <c r="Y643" s="3"/>
    </row>
    <row r="644" spans="2:25" s="11" customFormat="1" ht="89.25" customHeight="1" outlineLevel="1" x14ac:dyDescent="0.25">
      <c r="B644" s="2" t="s">
        <v>1391</v>
      </c>
      <c r="C644" s="3" t="s">
        <v>83</v>
      </c>
      <c r="D644" s="3" t="s">
        <v>921</v>
      </c>
      <c r="E644" s="3" t="s">
        <v>790</v>
      </c>
      <c r="F644" s="3" t="s">
        <v>922</v>
      </c>
      <c r="G644" s="19" t="s">
        <v>1392</v>
      </c>
      <c r="H644" s="2" t="s">
        <v>88</v>
      </c>
      <c r="I644" s="4">
        <v>0</v>
      </c>
      <c r="J644" s="5">
        <v>710000000</v>
      </c>
      <c r="K644" s="5" t="s">
        <v>89</v>
      </c>
      <c r="L644" s="2" t="s">
        <v>90</v>
      </c>
      <c r="M644" s="6" t="s">
        <v>787</v>
      </c>
      <c r="N644" s="7" t="s">
        <v>92</v>
      </c>
      <c r="O644" s="7" t="s">
        <v>93</v>
      </c>
      <c r="P644" s="3" t="s">
        <v>673</v>
      </c>
      <c r="Q644" s="8">
        <v>796</v>
      </c>
      <c r="R644" s="7" t="s">
        <v>118</v>
      </c>
      <c r="S644" s="9">
        <v>2</v>
      </c>
      <c r="T644" s="9">
        <v>1383.93</v>
      </c>
      <c r="U644" s="9">
        <f t="shared" si="280"/>
        <v>2767.86</v>
      </c>
      <c r="V644" s="9">
        <f t="shared" si="279"/>
        <v>3100.0032000000006</v>
      </c>
      <c r="W644" s="7"/>
      <c r="X644" s="2">
        <v>2016</v>
      </c>
      <c r="Y644" s="2"/>
    </row>
    <row r="645" spans="2:25" s="11" customFormat="1" ht="89.25" customHeight="1" outlineLevel="1" x14ac:dyDescent="0.25">
      <c r="B645" s="2" t="s">
        <v>1393</v>
      </c>
      <c r="C645" s="3" t="s">
        <v>83</v>
      </c>
      <c r="D645" s="3" t="s">
        <v>1376</v>
      </c>
      <c r="E645" s="3" t="s">
        <v>790</v>
      </c>
      <c r="F645" s="3" t="s">
        <v>1377</v>
      </c>
      <c r="G645" s="19" t="s">
        <v>1392</v>
      </c>
      <c r="H645" s="2" t="s">
        <v>88</v>
      </c>
      <c r="I645" s="21">
        <v>0</v>
      </c>
      <c r="J645" s="5">
        <v>710000000</v>
      </c>
      <c r="K645" s="3" t="s">
        <v>89</v>
      </c>
      <c r="L645" s="2" t="s">
        <v>90</v>
      </c>
      <c r="M645" s="3" t="s">
        <v>787</v>
      </c>
      <c r="N645" s="7" t="s">
        <v>92</v>
      </c>
      <c r="O645" s="7" t="s">
        <v>93</v>
      </c>
      <c r="P645" s="3" t="s">
        <v>673</v>
      </c>
      <c r="Q645" s="8">
        <v>796</v>
      </c>
      <c r="R645" s="7" t="s">
        <v>118</v>
      </c>
      <c r="S645" s="9">
        <v>1</v>
      </c>
      <c r="T645" s="9">
        <v>642.86</v>
      </c>
      <c r="U645" s="9">
        <f t="shared" si="280"/>
        <v>642.86</v>
      </c>
      <c r="V645" s="9">
        <f t="shared" si="279"/>
        <v>720.00320000000011</v>
      </c>
      <c r="W645" s="3"/>
      <c r="X645" s="2">
        <v>2016</v>
      </c>
      <c r="Y645" s="3"/>
    </row>
    <row r="646" spans="2:25" s="11" customFormat="1" ht="89.25" customHeight="1" outlineLevel="1" x14ac:dyDescent="0.25">
      <c r="B646" s="2" t="s">
        <v>1394</v>
      </c>
      <c r="C646" s="3" t="s">
        <v>83</v>
      </c>
      <c r="D646" s="3" t="s">
        <v>1380</v>
      </c>
      <c r="E646" s="3" t="s">
        <v>1381</v>
      </c>
      <c r="F646" s="3" t="s">
        <v>1382</v>
      </c>
      <c r="G646" s="19" t="s">
        <v>1392</v>
      </c>
      <c r="H646" s="2" t="s">
        <v>88</v>
      </c>
      <c r="I646" s="21">
        <v>0</v>
      </c>
      <c r="J646" s="5">
        <v>710000000</v>
      </c>
      <c r="K646" s="3" t="s">
        <v>89</v>
      </c>
      <c r="L646" s="2" t="s">
        <v>90</v>
      </c>
      <c r="M646" s="3" t="s">
        <v>787</v>
      </c>
      <c r="N646" s="7" t="s">
        <v>92</v>
      </c>
      <c r="O646" s="7" t="s">
        <v>93</v>
      </c>
      <c r="P646" s="3" t="s">
        <v>673</v>
      </c>
      <c r="Q646" s="8">
        <v>796</v>
      </c>
      <c r="R646" s="7" t="s">
        <v>118</v>
      </c>
      <c r="S646" s="9">
        <v>1</v>
      </c>
      <c r="T646" s="9">
        <v>30279.79</v>
      </c>
      <c r="U646" s="9">
        <f t="shared" si="280"/>
        <v>30279.79</v>
      </c>
      <c r="V646" s="9">
        <f t="shared" si="279"/>
        <v>33913.364800000003</v>
      </c>
      <c r="W646" s="3"/>
      <c r="X646" s="2">
        <v>2016</v>
      </c>
      <c r="Y646" s="3"/>
    </row>
    <row r="647" spans="2:25" s="20" customFormat="1" ht="89.25" customHeight="1" outlineLevel="1" x14ac:dyDescent="0.25">
      <c r="B647" s="2" t="s">
        <v>1395</v>
      </c>
      <c r="C647" s="3" t="s">
        <v>83</v>
      </c>
      <c r="D647" s="3" t="s">
        <v>1396</v>
      </c>
      <c r="E647" s="3" t="s">
        <v>906</v>
      </c>
      <c r="F647" s="3" t="s">
        <v>1397</v>
      </c>
      <c r="G647" s="19" t="s">
        <v>1392</v>
      </c>
      <c r="H647" s="2" t="s">
        <v>88</v>
      </c>
      <c r="I647" s="21">
        <v>0</v>
      </c>
      <c r="J647" s="5">
        <v>710000000</v>
      </c>
      <c r="K647" s="3" t="s">
        <v>89</v>
      </c>
      <c r="L647" s="2" t="s">
        <v>90</v>
      </c>
      <c r="M647" s="3" t="s">
        <v>787</v>
      </c>
      <c r="N647" s="7" t="s">
        <v>92</v>
      </c>
      <c r="O647" s="7" t="s">
        <v>93</v>
      </c>
      <c r="P647" s="3" t="s">
        <v>673</v>
      </c>
      <c r="Q647" s="8">
        <v>796</v>
      </c>
      <c r="R647" s="7" t="s">
        <v>118</v>
      </c>
      <c r="S647" s="9">
        <v>1</v>
      </c>
      <c r="T647" s="9">
        <v>22321.43</v>
      </c>
      <c r="U647" s="9">
        <f t="shared" si="280"/>
        <v>22321.43</v>
      </c>
      <c r="V647" s="9">
        <f t="shared" si="279"/>
        <v>25000.001600000003</v>
      </c>
      <c r="W647" s="3"/>
      <c r="X647" s="2">
        <v>2016</v>
      </c>
      <c r="Y647" s="3"/>
    </row>
    <row r="648" spans="2:25" s="20" customFormat="1" ht="89.25" customHeight="1" outlineLevel="1" x14ac:dyDescent="0.25">
      <c r="B648" s="2" t="s">
        <v>1398</v>
      </c>
      <c r="C648" s="3" t="s">
        <v>83</v>
      </c>
      <c r="D648" s="3" t="s">
        <v>1399</v>
      </c>
      <c r="E648" s="3" t="s">
        <v>1400</v>
      </c>
      <c r="F648" s="3" t="s">
        <v>1401</v>
      </c>
      <c r="G648" s="19"/>
      <c r="H648" s="2" t="s">
        <v>88</v>
      </c>
      <c r="I648" s="4">
        <v>0</v>
      </c>
      <c r="J648" s="5">
        <v>710000000</v>
      </c>
      <c r="K648" s="5" t="s">
        <v>89</v>
      </c>
      <c r="L648" s="2" t="s">
        <v>90</v>
      </c>
      <c r="M648" s="6" t="s">
        <v>787</v>
      </c>
      <c r="N648" s="7" t="s">
        <v>92</v>
      </c>
      <c r="O648" s="7" t="s">
        <v>93</v>
      </c>
      <c r="P648" s="3" t="s">
        <v>673</v>
      </c>
      <c r="Q648" s="8">
        <v>796</v>
      </c>
      <c r="R648" s="7" t="s">
        <v>118</v>
      </c>
      <c r="S648" s="9">
        <v>8</v>
      </c>
      <c r="T648" s="9">
        <v>58035.71</v>
      </c>
      <c r="U648" s="9">
        <f t="shared" si="280"/>
        <v>464285.68</v>
      </c>
      <c r="V648" s="9">
        <f t="shared" si="279"/>
        <v>519999.96160000004</v>
      </c>
      <c r="W648" s="7"/>
      <c r="X648" s="2">
        <v>2016</v>
      </c>
      <c r="Y648" s="2"/>
    </row>
    <row r="649" spans="2:25" s="20" customFormat="1" ht="89.25" customHeight="1" outlineLevel="1" x14ac:dyDescent="0.25">
      <c r="B649" s="2" t="s">
        <v>1402</v>
      </c>
      <c r="C649" s="3" t="s">
        <v>83</v>
      </c>
      <c r="D649" s="3" t="s">
        <v>1403</v>
      </c>
      <c r="E649" s="3" t="s">
        <v>1400</v>
      </c>
      <c r="F649" s="3" t="s">
        <v>1404</v>
      </c>
      <c r="G649" s="19"/>
      <c r="H649" s="2" t="s">
        <v>88</v>
      </c>
      <c r="I649" s="4">
        <v>0</v>
      </c>
      <c r="J649" s="5">
        <v>710000000</v>
      </c>
      <c r="K649" s="5" t="s">
        <v>89</v>
      </c>
      <c r="L649" s="2" t="s">
        <v>90</v>
      </c>
      <c r="M649" s="6" t="s">
        <v>787</v>
      </c>
      <c r="N649" s="7" t="s">
        <v>92</v>
      </c>
      <c r="O649" s="7" t="s">
        <v>93</v>
      </c>
      <c r="P649" s="3" t="s">
        <v>673</v>
      </c>
      <c r="Q649" s="8">
        <v>796</v>
      </c>
      <c r="R649" s="7" t="s">
        <v>118</v>
      </c>
      <c r="S649" s="9">
        <v>8</v>
      </c>
      <c r="T649" s="9">
        <v>64285.71</v>
      </c>
      <c r="U649" s="9">
        <f t="shared" si="280"/>
        <v>514285.68</v>
      </c>
      <c r="V649" s="9">
        <f t="shared" si="279"/>
        <v>575999.96160000004</v>
      </c>
      <c r="W649" s="7"/>
      <c r="X649" s="2">
        <v>2016</v>
      </c>
      <c r="Y649" s="2"/>
    </row>
    <row r="650" spans="2:25" s="20" customFormat="1" ht="89.25" customHeight="1" outlineLevel="1" x14ac:dyDescent="0.25">
      <c r="B650" s="2" t="s">
        <v>1405</v>
      </c>
      <c r="C650" s="3" t="s">
        <v>83</v>
      </c>
      <c r="D650" s="3" t="s">
        <v>1406</v>
      </c>
      <c r="E650" s="3" t="s">
        <v>1400</v>
      </c>
      <c r="F650" s="3" t="s">
        <v>1407</v>
      </c>
      <c r="G650" s="19"/>
      <c r="H650" s="2" t="s">
        <v>88</v>
      </c>
      <c r="I650" s="4">
        <v>0</v>
      </c>
      <c r="J650" s="5">
        <v>710000000</v>
      </c>
      <c r="K650" s="5" t="s">
        <v>89</v>
      </c>
      <c r="L650" s="2" t="s">
        <v>90</v>
      </c>
      <c r="M650" s="6" t="s">
        <v>787</v>
      </c>
      <c r="N650" s="7" t="s">
        <v>92</v>
      </c>
      <c r="O650" s="7" t="s">
        <v>93</v>
      </c>
      <c r="P650" s="3" t="s">
        <v>673</v>
      </c>
      <c r="Q650" s="8">
        <v>796</v>
      </c>
      <c r="R650" s="7" t="s">
        <v>118</v>
      </c>
      <c r="S650" s="9">
        <v>12</v>
      </c>
      <c r="T650" s="9">
        <v>45130.02</v>
      </c>
      <c r="U650" s="9">
        <f>T650*S650</f>
        <v>541560.24</v>
      </c>
      <c r="V650" s="9">
        <f t="shared" si="279"/>
        <v>606547.46880000003</v>
      </c>
      <c r="W650" s="7"/>
      <c r="X650" s="2">
        <v>2016</v>
      </c>
      <c r="Y650" s="2"/>
    </row>
    <row r="651" spans="2:25" s="20" customFormat="1" ht="89.25" customHeight="1" outlineLevel="1" x14ac:dyDescent="0.25">
      <c r="B651" s="2" t="s">
        <v>1408</v>
      </c>
      <c r="C651" s="3" t="s">
        <v>83</v>
      </c>
      <c r="D651" s="3" t="s">
        <v>1409</v>
      </c>
      <c r="E651" s="3" t="s">
        <v>1400</v>
      </c>
      <c r="F651" s="3" t="s">
        <v>1410</v>
      </c>
      <c r="G651" s="19"/>
      <c r="H651" s="2" t="s">
        <v>88</v>
      </c>
      <c r="I651" s="4">
        <v>0</v>
      </c>
      <c r="J651" s="5">
        <v>710000000</v>
      </c>
      <c r="K651" s="5" t="s">
        <v>89</v>
      </c>
      <c r="L651" s="2" t="s">
        <v>90</v>
      </c>
      <c r="M651" s="6" t="s">
        <v>787</v>
      </c>
      <c r="N651" s="7" t="s">
        <v>92</v>
      </c>
      <c r="O651" s="7" t="s">
        <v>93</v>
      </c>
      <c r="P651" s="3" t="s">
        <v>673</v>
      </c>
      <c r="Q651" s="8">
        <v>796</v>
      </c>
      <c r="R651" s="7" t="s">
        <v>118</v>
      </c>
      <c r="S651" s="9">
        <v>4</v>
      </c>
      <c r="T651" s="9">
        <v>55654.76</v>
      </c>
      <c r="U651" s="9">
        <f>T651*S651</f>
        <v>222619.04</v>
      </c>
      <c r="V651" s="9">
        <f t="shared" si="279"/>
        <v>249333.32480000003</v>
      </c>
      <c r="W651" s="7"/>
      <c r="X651" s="2">
        <v>2016</v>
      </c>
      <c r="Y651" s="2"/>
    </row>
    <row r="652" spans="2:25" s="20" customFormat="1" ht="89.25" customHeight="1" outlineLevel="1" x14ac:dyDescent="0.25">
      <c r="B652" s="2" t="s">
        <v>1411</v>
      </c>
      <c r="C652" s="3" t="s">
        <v>83</v>
      </c>
      <c r="D652" s="3" t="s">
        <v>1412</v>
      </c>
      <c r="E652" s="3" t="s">
        <v>1400</v>
      </c>
      <c r="F652" s="3" t="s">
        <v>1413</v>
      </c>
      <c r="G652" s="3"/>
      <c r="H652" s="2" t="s">
        <v>88</v>
      </c>
      <c r="I652" s="21">
        <v>0</v>
      </c>
      <c r="J652" s="5">
        <v>710000000</v>
      </c>
      <c r="K652" s="3" t="s">
        <v>89</v>
      </c>
      <c r="L652" s="2" t="s">
        <v>90</v>
      </c>
      <c r="M652" s="3" t="s">
        <v>787</v>
      </c>
      <c r="N652" s="7" t="s">
        <v>92</v>
      </c>
      <c r="O652" s="7" t="s">
        <v>93</v>
      </c>
      <c r="P652" s="3" t="s">
        <v>673</v>
      </c>
      <c r="Q652" s="8">
        <v>796</v>
      </c>
      <c r="R652" s="7" t="s">
        <v>118</v>
      </c>
      <c r="S652" s="9">
        <v>8</v>
      </c>
      <c r="T652" s="9">
        <v>45130.02</v>
      </c>
      <c r="U652" s="9">
        <f t="shared" ref="U652:U664" si="281">S652*T652</f>
        <v>361040.16</v>
      </c>
      <c r="V652" s="9">
        <f t="shared" si="279"/>
        <v>404364.9792</v>
      </c>
      <c r="W652" s="3"/>
      <c r="X652" s="2">
        <v>2016</v>
      </c>
      <c r="Y652" s="3"/>
    </row>
    <row r="653" spans="2:25" s="20" customFormat="1" ht="89.25" customHeight="1" outlineLevel="1" x14ac:dyDescent="0.25">
      <c r="B653" s="2" t="s">
        <v>1414</v>
      </c>
      <c r="C653" s="3" t="s">
        <v>83</v>
      </c>
      <c r="D653" s="3" t="s">
        <v>1415</v>
      </c>
      <c r="E653" s="3" t="s">
        <v>1400</v>
      </c>
      <c r="F653" s="3" t="s">
        <v>1416</v>
      </c>
      <c r="G653" s="3"/>
      <c r="H653" s="2" t="s">
        <v>88</v>
      </c>
      <c r="I653" s="21">
        <v>0</v>
      </c>
      <c r="J653" s="5">
        <v>710000000</v>
      </c>
      <c r="K653" s="3" t="s">
        <v>89</v>
      </c>
      <c r="L653" s="2" t="s">
        <v>90</v>
      </c>
      <c r="M653" s="3" t="s">
        <v>787</v>
      </c>
      <c r="N653" s="7" t="s">
        <v>92</v>
      </c>
      <c r="O653" s="7" t="s">
        <v>93</v>
      </c>
      <c r="P653" s="3" t="s">
        <v>673</v>
      </c>
      <c r="Q653" s="8">
        <v>796</v>
      </c>
      <c r="R653" s="7" t="s">
        <v>118</v>
      </c>
      <c r="S653" s="9">
        <v>8</v>
      </c>
      <c r="T653" s="9">
        <v>55654.76</v>
      </c>
      <c r="U653" s="9">
        <f t="shared" si="281"/>
        <v>445238.08</v>
      </c>
      <c r="V653" s="9">
        <f t="shared" si="279"/>
        <v>498666.64960000006</v>
      </c>
      <c r="W653" s="3"/>
      <c r="X653" s="2">
        <v>2016</v>
      </c>
      <c r="Y653" s="3"/>
    </row>
    <row r="654" spans="2:25" s="20" customFormat="1" ht="89.25" customHeight="1" outlineLevel="1" x14ac:dyDescent="0.25">
      <c r="B654" s="2" t="s">
        <v>1417</v>
      </c>
      <c r="C654" s="3" t="s">
        <v>83</v>
      </c>
      <c r="D654" s="3" t="s">
        <v>1418</v>
      </c>
      <c r="E654" s="3" t="s">
        <v>1400</v>
      </c>
      <c r="F654" s="3" t="s">
        <v>1419</v>
      </c>
      <c r="G654" s="3"/>
      <c r="H654" s="2" t="s">
        <v>88</v>
      </c>
      <c r="I654" s="21">
        <v>0</v>
      </c>
      <c r="J654" s="5">
        <v>710000000</v>
      </c>
      <c r="K654" s="3" t="s">
        <v>89</v>
      </c>
      <c r="L654" s="2" t="s">
        <v>90</v>
      </c>
      <c r="M654" s="3" t="s">
        <v>787</v>
      </c>
      <c r="N654" s="7" t="s">
        <v>92</v>
      </c>
      <c r="O654" s="7" t="s">
        <v>93</v>
      </c>
      <c r="P654" s="3" t="s">
        <v>673</v>
      </c>
      <c r="Q654" s="8">
        <v>796</v>
      </c>
      <c r="R654" s="7" t="s">
        <v>118</v>
      </c>
      <c r="S654" s="9">
        <v>16</v>
      </c>
      <c r="T654" s="9">
        <v>48161.18</v>
      </c>
      <c r="U654" s="9">
        <f t="shared" si="281"/>
        <v>770578.88</v>
      </c>
      <c r="V654" s="9">
        <f t="shared" si="279"/>
        <v>863048.34560000012</v>
      </c>
      <c r="W654" s="3"/>
      <c r="X654" s="2">
        <v>2016</v>
      </c>
      <c r="Y654" s="3"/>
    </row>
    <row r="655" spans="2:25" s="20" customFormat="1" ht="89.25" customHeight="1" outlineLevel="1" x14ac:dyDescent="0.25">
      <c r="B655" s="2" t="s">
        <v>1420</v>
      </c>
      <c r="C655" s="3" t="s">
        <v>83</v>
      </c>
      <c r="D655" s="3" t="s">
        <v>1421</v>
      </c>
      <c r="E655" s="3" t="s">
        <v>1400</v>
      </c>
      <c r="F655" s="3" t="s">
        <v>1422</v>
      </c>
      <c r="G655" s="3"/>
      <c r="H655" s="2" t="s">
        <v>88</v>
      </c>
      <c r="I655" s="21">
        <v>0</v>
      </c>
      <c r="J655" s="5">
        <v>710000000</v>
      </c>
      <c r="K655" s="3" t="s">
        <v>89</v>
      </c>
      <c r="L655" s="2" t="s">
        <v>90</v>
      </c>
      <c r="M655" s="3" t="s">
        <v>787</v>
      </c>
      <c r="N655" s="7" t="s">
        <v>92</v>
      </c>
      <c r="O655" s="7" t="s">
        <v>93</v>
      </c>
      <c r="P655" s="3" t="s">
        <v>673</v>
      </c>
      <c r="Q655" s="8">
        <v>796</v>
      </c>
      <c r="R655" s="7" t="s">
        <v>118</v>
      </c>
      <c r="S655" s="9">
        <v>20</v>
      </c>
      <c r="T655" s="9">
        <v>55357.14</v>
      </c>
      <c r="U655" s="9">
        <f t="shared" si="281"/>
        <v>1107142.8</v>
      </c>
      <c r="V655" s="9">
        <f t="shared" si="279"/>
        <v>1239999.9360000002</v>
      </c>
      <c r="W655" s="3"/>
      <c r="X655" s="2">
        <v>2016</v>
      </c>
      <c r="Y655" s="3"/>
    </row>
    <row r="656" spans="2:25" s="20" customFormat="1" ht="89.25" customHeight="1" outlineLevel="1" x14ac:dyDescent="0.25">
      <c r="B656" s="2" t="s">
        <v>1423</v>
      </c>
      <c r="C656" s="3" t="s">
        <v>83</v>
      </c>
      <c r="D656" s="3" t="s">
        <v>1424</v>
      </c>
      <c r="E656" s="3" t="s">
        <v>1400</v>
      </c>
      <c r="F656" s="3" t="s">
        <v>1425</v>
      </c>
      <c r="G656" s="3"/>
      <c r="H656" s="2" t="s">
        <v>88</v>
      </c>
      <c r="I656" s="21">
        <v>0</v>
      </c>
      <c r="J656" s="5">
        <v>710000000</v>
      </c>
      <c r="K656" s="3" t="s">
        <v>89</v>
      </c>
      <c r="L656" s="2" t="s">
        <v>90</v>
      </c>
      <c r="M656" s="3" t="s">
        <v>787</v>
      </c>
      <c r="N656" s="7" t="s">
        <v>92</v>
      </c>
      <c r="O656" s="7" t="s">
        <v>93</v>
      </c>
      <c r="P656" s="3" t="s">
        <v>673</v>
      </c>
      <c r="Q656" s="8">
        <v>796</v>
      </c>
      <c r="R656" s="7" t="s">
        <v>118</v>
      </c>
      <c r="S656" s="9">
        <v>12</v>
      </c>
      <c r="T656" s="9">
        <v>51891.25</v>
      </c>
      <c r="U656" s="9">
        <f t="shared" si="281"/>
        <v>622695</v>
      </c>
      <c r="V656" s="9">
        <f t="shared" si="279"/>
        <v>697418.4</v>
      </c>
      <c r="W656" s="3"/>
      <c r="X656" s="2">
        <v>2016</v>
      </c>
      <c r="Y656" s="3"/>
    </row>
    <row r="657" spans="2:25" s="20" customFormat="1" ht="89.25" customHeight="1" outlineLevel="1" x14ac:dyDescent="0.25">
      <c r="B657" s="2" t="s">
        <v>1426</v>
      </c>
      <c r="C657" s="3" t="s">
        <v>83</v>
      </c>
      <c r="D657" s="3" t="s">
        <v>1427</v>
      </c>
      <c r="E657" s="3" t="s">
        <v>1400</v>
      </c>
      <c r="F657" s="3" t="s">
        <v>1428</v>
      </c>
      <c r="G657" s="3"/>
      <c r="H657" s="2" t="s">
        <v>88</v>
      </c>
      <c r="I657" s="21">
        <v>0</v>
      </c>
      <c r="J657" s="5">
        <v>710000000</v>
      </c>
      <c r="K657" s="3" t="s">
        <v>89</v>
      </c>
      <c r="L657" s="2" t="s">
        <v>90</v>
      </c>
      <c r="M657" s="3" t="s">
        <v>787</v>
      </c>
      <c r="N657" s="7" t="s">
        <v>92</v>
      </c>
      <c r="O657" s="7" t="s">
        <v>93</v>
      </c>
      <c r="P657" s="3" t="s">
        <v>673</v>
      </c>
      <c r="Q657" s="8">
        <v>796</v>
      </c>
      <c r="R657" s="7" t="s">
        <v>118</v>
      </c>
      <c r="S657" s="9">
        <v>28</v>
      </c>
      <c r="T657" s="9">
        <v>35058.14</v>
      </c>
      <c r="U657" s="9">
        <f t="shared" si="281"/>
        <v>981627.91999999993</v>
      </c>
      <c r="V657" s="9">
        <f t="shared" si="279"/>
        <v>1099423.2704</v>
      </c>
      <c r="W657" s="3"/>
      <c r="X657" s="2">
        <v>2016</v>
      </c>
      <c r="Y657" s="3"/>
    </row>
    <row r="658" spans="2:25" s="20" customFormat="1" ht="89.25" customHeight="1" outlineLevel="1" x14ac:dyDescent="0.25">
      <c r="B658" s="2" t="s">
        <v>1429</v>
      </c>
      <c r="C658" s="3" t="s">
        <v>83</v>
      </c>
      <c r="D658" s="3" t="s">
        <v>1430</v>
      </c>
      <c r="E658" s="3" t="s">
        <v>1400</v>
      </c>
      <c r="F658" s="3" t="s">
        <v>1431</v>
      </c>
      <c r="G658" s="3"/>
      <c r="H658" s="2" t="s">
        <v>88</v>
      </c>
      <c r="I658" s="21">
        <v>0</v>
      </c>
      <c r="J658" s="5">
        <v>710000000</v>
      </c>
      <c r="K658" s="3" t="s">
        <v>89</v>
      </c>
      <c r="L658" s="2" t="s">
        <v>90</v>
      </c>
      <c r="M658" s="3" t="s">
        <v>787</v>
      </c>
      <c r="N658" s="7" t="s">
        <v>92</v>
      </c>
      <c r="O658" s="7" t="s">
        <v>93</v>
      </c>
      <c r="P658" s="3" t="s">
        <v>673</v>
      </c>
      <c r="Q658" s="8">
        <v>796</v>
      </c>
      <c r="R658" s="7" t="s">
        <v>118</v>
      </c>
      <c r="S658" s="9">
        <v>28</v>
      </c>
      <c r="T658" s="9">
        <v>42092.78</v>
      </c>
      <c r="U658" s="9">
        <f t="shared" si="281"/>
        <v>1178597.8399999999</v>
      </c>
      <c r="V658" s="9">
        <f t="shared" si="279"/>
        <v>1320029.5807999999</v>
      </c>
      <c r="W658" s="3"/>
      <c r="X658" s="2">
        <v>2016</v>
      </c>
      <c r="Y658" s="3"/>
    </row>
    <row r="659" spans="2:25" s="20" customFormat="1" ht="89.25" customHeight="1" outlineLevel="1" x14ac:dyDescent="0.25">
      <c r="B659" s="2" t="s">
        <v>1432</v>
      </c>
      <c r="C659" s="3" t="s">
        <v>83</v>
      </c>
      <c r="D659" s="3" t="s">
        <v>1433</v>
      </c>
      <c r="E659" s="3" t="s">
        <v>1400</v>
      </c>
      <c r="F659" s="3" t="s">
        <v>1434</v>
      </c>
      <c r="G659" s="3"/>
      <c r="H659" s="2" t="s">
        <v>88</v>
      </c>
      <c r="I659" s="21">
        <v>0</v>
      </c>
      <c r="J659" s="5">
        <v>710000000</v>
      </c>
      <c r="K659" s="3" t="s">
        <v>89</v>
      </c>
      <c r="L659" s="2" t="s">
        <v>90</v>
      </c>
      <c r="M659" s="3" t="s">
        <v>787</v>
      </c>
      <c r="N659" s="7" t="s">
        <v>92</v>
      </c>
      <c r="O659" s="7" t="s">
        <v>93</v>
      </c>
      <c r="P659" s="3" t="s">
        <v>673</v>
      </c>
      <c r="Q659" s="8">
        <v>796</v>
      </c>
      <c r="R659" s="7" t="s">
        <v>118</v>
      </c>
      <c r="S659" s="9">
        <v>12</v>
      </c>
      <c r="T659" s="9">
        <v>29739.99</v>
      </c>
      <c r="U659" s="9">
        <f t="shared" si="281"/>
        <v>356879.88</v>
      </c>
      <c r="V659" s="9">
        <f t="shared" si="279"/>
        <v>399705.46560000005</v>
      </c>
      <c r="W659" s="3"/>
      <c r="X659" s="2">
        <v>2016</v>
      </c>
      <c r="Y659" s="3"/>
    </row>
    <row r="660" spans="2:25" s="20" customFormat="1" ht="89.25" customHeight="1" outlineLevel="1" x14ac:dyDescent="0.25">
      <c r="B660" s="2" t="s">
        <v>1435</v>
      </c>
      <c r="C660" s="3" t="s">
        <v>83</v>
      </c>
      <c r="D660" s="3" t="s">
        <v>1436</v>
      </c>
      <c r="E660" s="3" t="s">
        <v>1400</v>
      </c>
      <c r="F660" s="3" t="s">
        <v>1437</v>
      </c>
      <c r="G660" s="3"/>
      <c r="H660" s="2" t="s">
        <v>88</v>
      </c>
      <c r="I660" s="21">
        <v>0</v>
      </c>
      <c r="J660" s="5">
        <v>710000000</v>
      </c>
      <c r="K660" s="3" t="s">
        <v>89</v>
      </c>
      <c r="L660" s="2" t="s">
        <v>90</v>
      </c>
      <c r="M660" s="3" t="s">
        <v>787</v>
      </c>
      <c r="N660" s="7" t="s">
        <v>92</v>
      </c>
      <c r="O660" s="7" t="s">
        <v>93</v>
      </c>
      <c r="P660" s="3" t="s">
        <v>673</v>
      </c>
      <c r="Q660" s="8">
        <v>796</v>
      </c>
      <c r="R660" s="7" t="s">
        <v>118</v>
      </c>
      <c r="S660" s="9">
        <v>12</v>
      </c>
      <c r="T660" s="9">
        <v>32974.26</v>
      </c>
      <c r="U660" s="9">
        <f t="shared" si="281"/>
        <v>395691.12</v>
      </c>
      <c r="V660" s="9">
        <f t="shared" si="279"/>
        <v>443174.05440000002</v>
      </c>
      <c r="W660" s="3"/>
      <c r="X660" s="2">
        <v>2016</v>
      </c>
      <c r="Y660" s="3"/>
    </row>
    <row r="661" spans="2:25" s="20" customFormat="1" ht="89.25" customHeight="1" outlineLevel="1" x14ac:dyDescent="0.25">
      <c r="B661" s="2" t="s">
        <v>1438</v>
      </c>
      <c r="C661" s="3" t="s">
        <v>83</v>
      </c>
      <c r="D661" s="3" t="s">
        <v>1439</v>
      </c>
      <c r="E661" s="3" t="s">
        <v>1400</v>
      </c>
      <c r="F661" s="3" t="s">
        <v>1440</v>
      </c>
      <c r="G661" s="3" t="s">
        <v>1441</v>
      </c>
      <c r="H661" s="2" t="s">
        <v>88</v>
      </c>
      <c r="I661" s="21">
        <v>0</v>
      </c>
      <c r="J661" s="5">
        <v>710000000</v>
      </c>
      <c r="K661" s="3" t="s">
        <v>89</v>
      </c>
      <c r="L661" s="2" t="s">
        <v>90</v>
      </c>
      <c r="M661" s="3" t="s">
        <v>787</v>
      </c>
      <c r="N661" s="7" t="s">
        <v>92</v>
      </c>
      <c r="O661" s="7" t="s">
        <v>93</v>
      </c>
      <c r="P661" s="3" t="s">
        <v>673</v>
      </c>
      <c r="Q661" s="8">
        <v>796</v>
      </c>
      <c r="R661" s="7" t="s">
        <v>118</v>
      </c>
      <c r="S661" s="9">
        <v>12</v>
      </c>
      <c r="T661" s="9">
        <v>37500</v>
      </c>
      <c r="U661" s="9">
        <f t="shared" si="281"/>
        <v>450000</v>
      </c>
      <c r="V661" s="9">
        <f t="shared" si="279"/>
        <v>504000.00000000006</v>
      </c>
      <c r="W661" s="3"/>
      <c r="X661" s="2">
        <v>2016</v>
      </c>
      <c r="Y661" s="3"/>
    </row>
    <row r="662" spans="2:25" s="20" customFormat="1" ht="89.25" customHeight="1" outlineLevel="1" x14ac:dyDescent="0.25">
      <c r="B662" s="2" t="s">
        <v>1442</v>
      </c>
      <c r="C662" s="3" t="s">
        <v>83</v>
      </c>
      <c r="D662" s="3" t="s">
        <v>1443</v>
      </c>
      <c r="E662" s="3" t="s">
        <v>1400</v>
      </c>
      <c r="F662" s="3" t="s">
        <v>1444</v>
      </c>
      <c r="G662" s="3" t="s">
        <v>1441</v>
      </c>
      <c r="H662" s="2" t="s">
        <v>88</v>
      </c>
      <c r="I662" s="21">
        <v>0</v>
      </c>
      <c r="J662" s="5">
        <v>710000000</v>
      </c>
      <c r="K662" s="3" t="s">
        <v>89</v>
      </c>
      <c r="L662" s="2" t="s">
        <v>90</v>
      </c>
      <c r="M662" s="3" t="s">
        <v>787</v>
      </c>
      <c r="N662" s="7" t="s">
        <v>92</v>
      </c>
      <c r="O662" s="7" t="s">
        <v>93</v>
      </c>
      <c r="P662" s="3" t="s">
        <v>673</v>
      </c>
      <c r="Q662" s="8">
        <v>796</v>
      </c>
      <c r="R662" s="7" t="s">
        <v>118</v>
      </c>
      <c r="S662" s="9">
        <v>12</v>
      </c>
      <c r="T662" s="9">
        <v>38944.870000000003</v>
      </c>
      <c r="U662" s="9">
        <f t="shared" si="281"/>
        <v>467338.44000000006</v>
      </c>
      <c r="V662" s="9">
        <f t="shared" si="279"/>
        <v>523419.05280000012</v>
      </c>
      <c r="W662" s="3"/>
      <c r="X662" s="2">
        <v>2016</v>
      </c>
      <c r="Y662" s="3"/>
    </row>
    <row r="663" spans="2:25" s="20" customFormat="1" ht="89.25" customHeight="1" outlineLevel="1" x14ac:dyDescent="0.25">
      <c r="B663" s="2" t="s">
        <v>1445</v>
      </c>
      <c r="C663" s="3" t="s">
        <v>83</v>
      </c>
      <c r="D663" s="3" t="s">
        <v>1446</v>
      </c>
      <c r="E663" s="3" t="s">
        <v>1400</v>
      </c>
      <c r="F663" s="3" t="s">
        <v>1447</v>
      </c>
      <c r="G663" s="3" t="s">
        <v>1448</v>
      </c>
      <c r="H663" s="2" t="s">
        <v>88</v>
      </c>
      <c r="I663" s="21">
        <v>0</v>
      </c>
      <c r="J663" s="5">
        <v>710000000</v>
      </c>
      <c r="K663" s="3" t="s">
        <v>89</v>
      </c>
      <c r="L663" s="2" t="s">
        <v>90</v>
      </c>
      <c r="M663" s="3" t="s">
        <v>787</v>
      </c>
      <c r="N663" s="7" t="s">
        <v>92</v>
      </c>
      <c r="O663" s="7" t="s">
        <v>93</v>
      </c>
      <c r="P663" s="3" t="s">
        <v>673</v>
      </c>
      <c r="Q663" s="8">
        <v>796</v>
      </c>
      <c r="R663" s="7" t="s">
        <v>118</v>
      </c>
      <c r="S663" s="9">
        <v>6</v>
      </c>
      <c r="T663" s="9">
        <v>85000</v>
      </c>
      <c r="U663" s="9">
        <f t="shared" si="281"/>
        <v>510000</v>
      </c>
      <c r="V663" s="9">
        <f t="shared" si="279"/>
        <v>571200</v>
      </c>
      <c r="W663" s="3"/>
      <c r="X663" s="2">
        <v>2016</v>
      </c>
      <c r="Y663" s="3"/>
    </row>
    <row r="664" spans="2:25" s="20" customFormat="1" ht="89.25" customHeight="1" outlineLevel="1" x14ac:dyDescent="0.25">
      <c r="B664" s="2" t="s">
        <v>1449</v>
      </c>
      <c r="C664" s="3" t="s">
        <v>83</v>
      </c>
      <c r="D664" s="3" t="s">
        <v>1446</v>
      </c>
      <c r="E664" s="3" t="s">
        <v>1400</v>
      </c>
      <c r="F664" s="3" t="s">
        <v>1447</v>
      </c>
      <c r="G664" s="3" t="s">
        <v>1450</v>
      </c>
      <c r="H664" s="2" t="s">
        <v>88</v>
      </c>
      <c r="I664" s="21">
        <v>0</v>
      </c>
      <c r="J664" s="5">
        <v>710000000</v>
      </c>
      <c r="K664" s="3" t="s">
        <v>89</v>
      </c>
      <c r="L664" s="2" t="s">
        <v>90</v>
      </c>
      <c r="M664" s="3" t="s">
        <v>787</v>
      </c>
      <c r="N664" s="7" t="s">
        <v>92</v>
      </c>
      <c r="O664" s="7" t="s">
        <v>93</v>
      </c>
      <c r="P664" s="3" t="s">
        <v>673</v>
      </c>
      <c r="Q664" s="8">
        <v>796</v>
      </c>
      <c r="R664" s="7" t="s">
        <v>118</v>
      </c>
      <c r="S664" s="9">
        <v>6</v>
      </c>
      <c r="T664" s="9">
        <v>62700</v>
      </c>
      <c r="U664" s="9">
        <f t="shared" si="281"/>
        <v>376200</v>
      </c>
      <c r="V664" s="9">
        <f t="shared" si="279"/>
        <v>421344.00000000006</v>
      </c>
      <c r="W664" s="3"/>
      <c r="X664" s="2">
        <v>2016</v>
      </c>
      <c r="Y664" s="3"/>
    </row>
    <row r="665" spans="2:25" s="11" customFormat="1" ht="89.25" customHeight="1" outlineLevel="1" x14ac:dyDescent="0.25">
      <c r="B665" s="2" t="s">
        <v>2033</v>
      </c>
      <c r="C665" s="3" t="s">
        <v>83</v>
      </c>
      <c r="D665" s="3" t="s">
        <v>814</v>
      </c>
      <c r="E665" s="3" t="s">
        <v>810</v>
      </c>
      <c r="F665" s="3" t="s">
        <v>815</v>
      </c>
      <c r="G665" s="19" t="s">
        <v>2040</v>
      </c>
      <c r="H665" s="2" t="s">
        <v>88</v>
      </c>
      <c r="I665" s="4">
        <v>0</v>
      </c>
      <c r="J665" s="5">
        <v>710000000</v>
      </c>
      <c r="K665" s="5" t="s">
        <v>89</v>
      </c>
      <c r="L665" s="2" t="s">
        <v>1466</v>
      </c>
      <c r="M665" s="6" t="s">
        <v>91</v>
      </c>
      <c r="N665" s="7" t="s">
        <v>92</v>
      </c>
      <c r="O665" s="7" t="s">
        <v>93</v>
      </c>
      <c r="P665" s="3" t="s">
        <v>673</v>
      </c>
      <c r="Q665" s="31">
        <v>839</v>
      </c>
      <c r="R665" s="5" t="s">
        <v>812</v>
      </c>
      <c r="S665" s="9">
        <v>1</v>
      </c>
      <c r="T665" s="9">
        <v>8482</v>
      </c>
      <c r="U665" s="9">
        <f t="shared" ref="U665:U666" si="282">T665*S665</f>
        <v>8482</v>
      </c>
      <c r="V665" s="9">
        <f t="shared" si="279"/>
        <v>9499.84</v>
      </c>
      <c r="W665" s="7"/>
      <c r="X665" s="2">
        <v>2016</v>
      </c>
      <c r="Y665" s="2"/>
    </row>
    <row r="666" spans="2:25" s="11" customFormat="1" ht="89.25" customHeight="1" outlineLevel="1" x14ac:dyDescent="0.25">
      <c r="B666" s="2" t="s">
        <v>2034</v>
      </c>
      <c r="C666" s="3" t="s">
        <v>83</v>
      </c>
      <c r="D666" s="3" t="s">
        <v>809</v>
      </c>
      <c r="E666" s="3" t="s">
        <v>810</v>
      </c>
      <c r="F666" s="3" t="s">
        <v>811</v>
      </c>
      <c r="G666" s="19" t="s">
        <v>2040</v>
      </c>
      <c r="H666" s="2" t="s">
        <v>88</v>
      </c>
      <c r="I666" s="4">
        <v>0</v>
      </c>
      <c r="J666" s="5">
        <v>710000000</v>
      </c>
      <c r="K666" s="5" t="s">
        <v>89</v>
      </c>
      <c r="L666" s="2" t="s">
        <v>1466</v>
      </c>
      <c r="M666" s="6" t="s">
        <v>91</v>
      </c>
      <c r="N666" s="7" t="s">
        <v>92</v>
      </c>
      <c r="O666" s="7" t="s">
        <v>93</v>
      </c>
      <c r="P666" s="3" t="s">
        <v>673</v>
      </c>
      <c r="Q666" s="31">
        <v>839</v>
      </c>
      <c r="R666" s="5" t="s">
        <v>812</v>
      </c>
      <c r="S666" s="9">
        <v>1</v>
      </c>
      <c r="T666" s="9">
        <v>5804</v>
      </c>
      <c r="U666" s="9">
        <f t="shared" si="282"/>
        <v>5804</v>
      </c>
      <c r="V666" s="9">
        <f t="shared" si="279"/>
        <v>6500.4800000000005</v>
      </c>
      <c r="W666" s="7"/>
      <c r="X666" s="2">
        <v>2016</v>
      </c>
      <c r="Y666" s="2"/>
    </row>
    <row r="667" spans="2:25" s="11" customFormat="1" ht="89.25" customHeight="1" outlineLevel="1" x14ac:dyDescent="0.25">
      <c r="B667" s="2" t="s">
        <v>2035</v>
      </c>
      <c r="C667" s="3" t="s">
        <v>83</v>
      </c>
      <c r="D667" s="3" t="s">
        <v>2036</v>
      </c>
      <c r="E667" s="3" t="s">
        <v>2037</v>
      </c>
      <c r="F667" s="3" t="s">
        <v>2038</v>
      </c>
      <c r="G667" s="19" t="s">
        <v>2039</v>
      </c>
      <c r="H667" s="2" t="s">
        <v>88</v>
      </c>
      <c r="I667" s="4">
        <v>0</v>
      </c>
      <c r="J667" s="5">
        <v>710000000</v>
      </c>
      <c r="K667" s="5" t="s">
        <v>89</v>
      </c>
      <c r="L667" s="2" t="s">
        <v>1466</v>
      </c>
      <c r="M667" s="6" t="s">
        <v>91</v>
      </c>
      <c r="N667" s="7" t="s">
        <v>92</v>
      </c>
      <c r="O667" s="7" t="s">
        <v>93</v>
      </c>
      <c r="P667" s="3" t="s">
        <v>673</v>
      </c>
      <c r="Q667" s="31">
        <v>796</v>
      </c>
      <c r="R667" s="5" t="s">
        <v>118</v>
      </c>
      <c r="S667" s="9">
        <v>2</v>
      </c>
      <c r="T667" s="9">
        <v>24107</v>
      </c>
      <c r="U667" s="9">
        <f t="shared" ref="U667:U675" si="283">T667*S667</f>
        <v>48214</v>
      </c>
      <c r="V667" s="9">
        <f t="shared" ref="V667:V675" si="284">U667*1.12</f>
        <v>53999.680000000008</v>
      </c>
      <c r="W667" s="7"/>
      <c r="X667" s="2">
        <v>2016</v>
      </c>
      <c r="Y667" s="2"/>
    </row>
    <row r="668" spans="2:25" s="11" customFormat="1" ht="89.25" customHeight="1" outlineLevel="1" x14ac:dyDescent="0.25">
      <c r="B668" s="2" t="s">
        <v>2041</v>
      </c>
      <c r="C668" s="3" t="s">
        <v>83</v>
      </c>
      <c r="D668" s="3" t="s">
        <v>917</v>
      </c>
      <c r="E668" s="3" t="s">
        <v>918</v>
      </c>
      <c r="F668" s="3" t="s">
        <v>919</v>
      </c>
      <c r="G668" s="19" t="s">
        <v>2042</v>
      </c>
      <c r="H668" s="2" t="s">
        <v>88</v>
      </c>
      <c r="I668" s="4">
        <v>0</v>
      </c>
      <c r="J668" s="5">
        <v>710000000</v>
      </c>
      <c r="K668" s="5" t="s">
        <v>89</v>
      </c>
      <c r="L668" s="2" t="s">
        <v>1466</v>
      </c>
      <c r="M668" s="6" t="s">
        <v>91</v>
      </c>
      <c r="N668" s="7" t="s">
        <v>92</v>
      </c>
      <c r="O668" s="7" t="s">
        <v>93</v>
      </c>
      <c r="P668" s="3" t="s">
        <v>673</v>
      </c>
      <c r="Q668" s="8">
        <v>796</v>
      </c>
      <c r="R668" s="7" t="s">
        <v>118</v>
      </c>
      <c r="S668" s="9">
        <v>1</v>
      </c>
      <c r="T668" s="9">
        <v>2500</v>
      </c>
      <c r="U668" s="9">
        <f t="shared" si="283"/>
        <v>2500</v>
      </c>
      <c r="V668" s="9">
        <f t="shared" si="284"/>
        <v>2800.0000000000005</v>
      </c>
      <c r="W668" s="7"/>
      <c r="X668" s="2">
        <v>2016</v>
      </c>
      <c r="Y668" s="2"/>
    </row>
    <row r="669" spans="2:25" s="11" customFormat="1" ht="89.25" customHeight="1" outlineLevel="1" x14ac:dyDescent="0.25">
      <c r="B669" s="2" t="s">
        <v>2043</v>
      </c>
      <c r="C669" s="3" t="s">
        <v>83</v>
      </c>
      <c r="D669" s="3" t="s">
        <v>1143</v>
      </c>
      <c r="E669" s="3" t="s">
        <v>1144</v>
      </c>
      <c r="F669" s="3" t="s">
        <v>895</v>
      </c>
      <c r="G669" s="19" t="s">
        <v>2040</v>
      </c>
      <c r="H669" s="19" t="s">
        <v>88</v>
      </c>
      <c r="I669" s="4">
        <v>0</v>
      </c>
      <c r="J669" s="5">
        <v>710000000</v>
      </c>
      <c r="K669" s="5" t="s">
        <v>89</v>
      </c>
      <c r="L669" s="5" t="s">
        <v>1466</v>
      </c>
      <c r="M669" s="6" t="s">
        <v>91</v>
      </c>
      <c r="N669" s="7" t="s">
        <v>92</v>
      </c>
      <c r="O669" s="7" t="s">
        <v>93</v>
      </c>
      <c r="P669" s="3" t="s">
        <v>673</v>
      </c>
      <c r="Q669" s="8">
        <v>796</v>
      </c>
      <c r="R669" s="7" t="s">
        <v>118</v>
      </c>
      <c r="S669" s="9">
        <v>1</v>
      </c>
      <c r="T669" s="9">
        <v>75893</v>
      </c>
      <c r="U669" s="9">
        <f t="shared" si="283"/>
        <v>75893</v>
      </c>
      <c r="V669" s="9">
        <f t="shared" si="284"/>
        <v>85000.16</v>
      </c>
      <c r="W669" s="7"/>
      <c r="X669" s="2">
        <v>2016</v>
      </c>
      <c r="Y669" s="2"/>
    </row>
    <row r="670" spans="2:25" s="11" customFormat="1" ht="89.25" customHeight="1" outlineLevel="1" x14ac:dyDescent="0.25">
      <c r="B670" s="2" t="s">
        <v>2044</v>
      </c>
      <c r="C670" s="3" t="s">
        <v>83</v>
      </c>
      <c r="D670" s="3" t="s">
        <v>935</v>
      </c>
      <c r="E670" s="3" t="s">
        <v>825</v>
      </c>
      <c r="F670" s="3" t="s">
        <v>936</v>
      </c>
      <c r="G670" s="19" t="s">
        <v>2040</v>
      </c>
      <c r="H670" s="19" t="s">
        <v>88</v>
      </c>
      <c r="I670" s="4">
        <v>0</v>
      </c>
      <c r="J670" s="5">
        <v>710000000</v>
      </c>
      <c r="K670" s="5" t="s">
        <v>89</v>
      </c>
      <c r="L670" s="5" t="s">
        <v>1466</v>
      </c>
      <c r="M670" s="6" t="s">
        <v>91</v>
      </c>
      <c r="N670" s="7" t="s">
        <v>92</v>
      </c>
      <c r="O670" s="7" t="s">
        <v>93</v>
      </c>
      <c r="P670" s="3" t="s">
        <v>673</v>
      </c>
      <c r="Q670" s="8">
        <v>796</v>
      </c>
      <c r="R670" s="7" t="s">
        <v>118</v>
      </c>
      <c r="S670" s="9">
        <v>4</v>
      </c>
      <c r="T670" s="9">
        <v>10268</v>
      </c>
      <c r="U670" s="9">
        <f t="shared" si="283"/>
        <v>41072</v>
      </c>
      <c r="V670" s="9">
        <f t="shared" si="284"/>
        <v>46000.640000000007</v>
      </c>
      <c r="W670" s="7"/>
      <c r="X670" s="2">
        <v>2016</v>
      </c>
      <c r="Y670" s="2"/>
    </row>
    <row r="671" spans="2:25" s="11" customFormat="1" ht="89.25" customHeight="1" outlineLevel="1" x14ac:dyDescent="0.25">
      <c r="B671" s="2" t="s">
        <v>2045</v>
      </c>
      <c r="C671" s="3" t="s">
        <v>83</v>
      </c>
      <c r="D671" s="3" t="s">
        <v>938</v>
      </c>
      <c r="E671" s="3" t="s">
        <v>825</v>
      </c>
      <c r="F671" s="3" t="s">
        <v>939</v>
      </c>
      <c r="G671" s="19" t="s">
        <v>2040</v>
      </c>
      <c r="H671" s="19" t="s">
        <v>88</v>
      </c>
      <c r="I671" s="4">
        <v>0</v>
      </c>
      <c r="J671" s="5">
        <v>710000000</v>
      </c>
      <c r="K671" s="5" t="s">
        <v>89</v>
      </c>
      <c r="L671" s="5" t="s">
        <v>1466</v>
      </c>
      <c r="M671" s="6" t="s">
        <v>91</v>
      </c>
      <c r="N671" s="7" t="s">
        <v>92</v>
      </c>
      <c r="O671" s="7" t="s">
        <v>93</v>
      </c>
      <c r="P671" s="3" t="s">
        <v>673</v>
      </c>
      <c r="Q671" s="8">
        <v>796</v>
      </c>
      <c r="R671" s="7" t="s">
        <v>118</v>
      </c>
      <c r="S671" s="9">
        <v>4</v>
      </c>
      <c r="T671" s="9">
        <v>9821.5</v>
      </c>
      <c r="U671" s="9">
        <f t="shared" si="283"/>
        <v>39286</v>
      </c>
      <c r="V671" s="9">
        <f t="shared" si="284"/>
        <v>44000.320000000007</v>
      </c>
      <c r="W671" s="7"/>
      <c r="X671" s="2">
        <v>2016</v>
      </c>
      <c r="Y671" s="2"/>
    </row>
    <row r="672" spans="2:25" s="11" customFormat="1" ht="89.25" customHeight="1" outlineLevel="1" x14ac:dyDescent="0.25">
      <c r="B672" s="2" t="s">
        <v>2047</v>
      </c>
      <c r="C672" s="3" t="s">
        <v>83</v>
      </c>
      <c r="D672" s="3" t="s">
        <v>879</v>
      </c>
      <c r="E672" s="3" t="s">
        <v>880</v>
      </c>
      <c r="F672" s="3" t="s">
        <v>881</v>
      </c>
      <c r="G672" s="19" t="s">
        <v>2046</v>
      </c>
      <c r="H672" s="19" t="s">
        <v>88</v>
      </c>
      <c r="I672" s="4">
        <v>0</v>
      </c>
      <c r="J672" s="5">
        <v>710000000</v>
      </c>
      <c r="K672" s="5" t="s">
        <v>89</v>
      </c>
      <c r="L672" s="5" t="s">
        <v>1466</v>
      </c>
      <c r="M672" s="6" t="s">
        <v>91</v>
      </c>
      <c r="N672" s="7" t="s">
        <v>92</v>
      </c>
      <c r="O672" s="7" t="s">
        <v>93</v>
      </c>
      <c r="P672" s="3" t="s">
        <v>673</v>
      </c>
      <c r="Q672" s="8">
        <v>796</v>
      </c>
      <c r="R672" s="7" t="s">
        <v>118</v>
      </c>
      <c r="S672" s="9">
        <v>4</v>
      </c>
      <c r="T672" s="9">
        <v>3571.5</v>
      </c>
      <c r="U672" s="9">
        <f t="shared" si="283"/>
        <v>14286</v>
      </c>
      <c r="V672" s="9">
        <f t="shared" si="284"/>
        <v>16000.320000000002</v>
      </c>
      <c r="W672" s="7"/>
      <c r="X672" s="2">
        <v>2016</v>
      </c>
      <c r="Y672" s="2"/>
    </row>
    <row r="673" spans="1:25" s="11" customFormat="1" ht="89.25" customHeight="1" outlineLevel="1" x14ac:dyDescent="0.25">
      <c r="B673" s="2" t="s">
        <v>2049</v>
      </c>
      <c r="C673" s="3" t="s">
        <v>83</v>
      </c>
      <c r="D673" s="3" t="s">
        <v>1146</v>
      </c>
      <c r="E673" s="3" t="s">
        <v>944</v>
      </c>
      <c r="F673" s="3" t="s">
        <v>1147</v>
      </c>
      <c r="G673" s="19" t="s">
        <v>2048</v>
      </c>
      <c r="H673" s="19" t="s">
        <v>88</v>
      </c>
      <c r="I673" s="4">
        <v>0</v>
      </c>
      <c r="J673" s="5">
        <v>710000000</v>
      </c>
      <c r="K673" s="5" t="s">
        <v>89</v>
      </c>
      <c r="L673" s="5" t="s">
        <v>1466</v>
      </c>
      <c r="M673" s="6" t="s">
        <v>91</v>
      </c>
      <c r="N673" s="7" t="s">
        <v>92</v>
      </c>
      <c r="O673" s="7" t="s">
        <v>93</v>
      </c>
      <c r="P673" s="3" t="s">
        <v>673</v>
      </c>
      <c r="Q673" s="8">
        <v>796</v>
      </c>
      <c r="R673" s="7" t="s">
        <v>118</v>
      </c>
      <c r="S673" s="9">
        <v>2</v>
      </c>
      <c r="T673" s="9">
        <v>23214</v>
      </c>
      <c r="U673" s="9">
        <f t="shared" si="283"/>
        <v>46428</v>
      </c>
      <c r="V673" s="9">
        <f t="shared" si="284"/>
        <v>51999.360000000008</v>
      </c>
      <c r="W673" s="7"/>
      <c r="X673" s="2">
        <v>2016</v>
      </c>
      <c r="Y673" s="2"/>
    </row>
    <row r="674" spans="1:25" s="11" customFormat="1" ht="89.25" customHeight="1" outlineLevel="1" x14ac:dyDescent="0.25">
      <c r="B674" s="2" t="s">
        <v>2050</v>
      </c>
      <c r="C674" s="3" t="s">
        <v>83</v>
      </c>
      <c r="D674" s="3" t="s">
        <v>1007</v>
      </c>
      <c r="E674" s="3" t="s">
        <v>980</v>
      </c>
      <c r="F674" s="3" t="s">
        <v>1008</v>
      </c>
      <c r="G674" s="19" t="s">
        <v>2051</v>
      </c>
      <c r="H674" s="19" t="s">
        <v>88</v>
      </c>
      <c r="I674" s="4">
        <v>0</v>
      </c>
      <c r="J674" s="5">
        <v>710000000</v>
      </c>
      <c r="K674" s="5" t="s">
        <v>89</v>
      </c>
      <c r="L674" s="5" t="s">
        <v>1466</v>
      </c>
      <c r="M674" s="6" t="s">
        <v>91</v>
      </c>
      <c r="N674" s="7" t="s">
        <v>92</v>
      </c>
      <c r="O674" s="7" t="s">
        <v>93</v>
      </c>
      <c r="P674" s="3" t="s">
        <v>673</v>
      </c>
      <c r="Q674" s="8">
        <v>796</v>
      </c>
      <c r="R674" s="7" t="s">
        <v>118</v>
      </c>
      <c r="S674" s="9">
        <v>1</v>
      </c>
      <c r="T674" s="9">
        <v>16071</v>
      </c>
      <c r="U674" s="9">
        <f t="shared" si="283"/>
        <v>16071</v>
      </c>
      <c r="V674" s="9">
        <f t="shared" si="284"/>
        <v>17999.52</v>
      </c>
      <c r="W674" s="7"/>
      <c r="X674" s="2">
        <v>2016</v>
      </c>
      <c r="Y674" s="2"/>
    </row>
    <row r="675" spans="1:25" s="11" customFormat="1" ht="89.25" customHeight="1" outlineLevel="1" x14ac:dyDescent="0.25">
      <c r="B675" s="2" t="s">
        <v>2052</v>
      </c>
      <c r="C675" s="3" t="s">
        <v>83</v>
      </c>
      <c r="D675" s="3" t="s">
        <v>964</v>
      </c>
      <c r="E675" s="3" t="s">
        <v>965</v>
      </c>
      <c r="F675" s="3" t="s">
        <v>966</v>
      </c>
      <c r="G675" s="19" t="s">
        <v>2040</v>
      </c>
      <c r="H675" s="19" t="s">
        <v>88</v>
      </c>
      <c r="I675" s="4">
        <v>0</v>
      </c>
      <c r="J675" s="5">
        <v>710000000</v>
      </c>
      <c r="K675" s="5" t="s">
        <v>89</v>
      </c>
      <c r="L675" s="5" t="s">
        <v>1466</v>
      </c>
      <c r="M675" s="6" t="s">
        <v>91</v>
      </c>
      <c r="N675" s="7" t="s">
        <v>92</v>
      </c>
      <c r="O675" s="7" t="s">
        <v>93</v>
      </c>
      <c r="P675" s="3" t="s">
        <v>673</v>
      </c>
      <c r="Q675" s="8">
        <v>796</v>
      </c>
      <c r="R675" s="7" t="s">
        <v>118</v>
      </c>
      <c r="S675" s="9">
        <v>1</v>
      </c>
      <c r="T675" s="9">
        <v>40179</v>
      </c>
      <c r="U675" s="9">
        <f t="shared" si="283"/>
        <v>40179</v>
      </c>
      <c r="V675" s="9">
        <f t="shared" si="284"/>
        <v>45000.480000000003</v>
      </c>
      <c r="W675" s="7"/>
      <c r="X675" s="2">
        <v>2016</v>
      </c>
      <c r="Y675" s="2"/>
    </row>
    <row r="676" spans="1:25" s="11" customFormat="1" ht="89.25" customHeight="1" outlineLevel="1" x14ac:dyDescent="0.25">
      <c r="B676" s="2" t="s">
        <v>2053</v>
      </c>
      <c r="C676" s="3" t="s">
        <v>83</v>
      </c>
      <c r="D676" s="3" t="s">
        <v>2054</v>
      </c>
      <c r="E676" s="3" t="s">
        <v>2055</v>
      </c>
      <c r="F676" s="3" t="s">
        <v>2056</v>
      </c>
      <c r="G676" s="19" t="s">
        <v>2040</v>
      </c>
      <c r="H676" s="19" t="s">
        <v>88</v>
      </c>
      <c r="I676" s="4">
        <v>0</v>
      </c>
      <c r="J676" s="5">
        <v>710000000</v>
      </c>
      <c r="K676" s="5" t="s">
        <v>89</v>
      </c>
      <c r="L676" s="5" t="s">
        <v>1466</v>
      </c>
      <c r="M676" s="6" t="s">
        <v>91</v>
      </c>
      <c r="N676" s="7" t="s">
        <v>92</v>
      </c>
      <c r="O676" s="7" t="s">
        <v>93</v>
      </c>
      <c r="P676" s="3" t="s">
        <v>673</v>
      </c>
      <c r="Q676" s="8">
        <v>796</v>
      </c>
      <c r="R676" s="7" t="s">
        <v>118</v>
      </c>
      <c r="S676" s="9">
        <v>1</v>
      </c>
      <c r="T676" s="9">
        <v>21429</v>
      </c>
      <c r="U676" s="9">
        <f t="shared" ref="U676:U680" si="285">T676*S676</f>
        <v>21429</v>
      </c>
      <c r="V676" s="9">
        <f t="shared" ref="V676:V680" si="286">U676*1.12</f>
        <v>24000.480000000003</v>
      </c>
      <c r="W676" s="7"/>
      <c r="X676" s="2">
        <v>2016</v>
      </c>
      <c r="Y676" s="2"/>
    </row>
    <row r="677" spans="1:25" s="11" customFormat="1" ht="89.25" customHeight="1" outlineLevel="1" x14ac:dyDescent="0.25">
      <c r="B677" s="2" t="s">
        <v>2057</v>
      </c>
      <c r="C677" s="3" t="s">
        <v>83</v>
      </c>
      <c r="D677" s="3" t="s">
        <v>875</v>
      </c>
      <c r="E677" s="3" t="s">
        <v>876</v>
      </c>
      <c r="F677" s="3" t="s">
        <v>877</v>
      </c>
      <c r="G677" s="19" t="s">
        <v>2058</v>
      </c>
      <c r="H677" s="19" t="s">
        <v>88</v>
      </c>
      <c r="I677" s="4">
        <v>0</v>
      </c>
      <c r="J677" s="5">
        <v>710000000</v>
      </c>
      <c r="K677" s="5" t="s">
        <v>89</v>
      </c>
      <c r="L677" s="5" t="s">
        <v>1466</v>
      </c>
      <c r="M677" s="6" t="s">
        <v>91</v>
      </c>
      <c r="N677" s="7" t="s">
        <v>92</v>
      </c>
      <c r="O677" s="7" t="s">
        <v>93</v>
      </c>
      <c r="P677" s="3" t="s">
        <v>673</v>
      </c>
      <c r="Q677" s="8">
        <v>796</v>
      </c>
      <c r="R677" s="7" t="s">
        <v>118</v>
      </c>
      <c r="S677" s="9">
        <v>6</v>
      </c>
      <c r="T677" s="9">
        <v>2500</v>
      </c>
      <c r="U677" s="9">
        <f t="shared" si="285"/>
        <v>15000</v>
      </c>
      <c r="V677" s="9">
        <f t="shared" si="286"/>
        <v>16800</v>
      </c>
      <c r="W677" s="7"/>
      <c r="X677" s="2">
        <v>2016</v>
      </c>
      <c r="Y677" s="2"/>
    </row>
    <row r="678" spans="1:25" s="11" customFormat="1" ht="89.25" customHeight="1" outlineLevel="1" x14ac:dyDescent="0.25">
      <c r="B678" s="2" t="s">
        <v>2059</v>
      </c>
      <c r="C678" s="3" t="s">
        <v>83</v>
      </c>
      <c r="D678" s="3" t="s">
        <v>1027</v>
      </c>
      <c r="E678" s="3" t="s">
        <v>806</v>
      </c>
      <c r="F678" s="3" t="s">
        <v>1028</v>
      </c>
      <c r="G678" s="19" t="s">
        <v>2060</v>
      </c>
      <c r="H678" s="2" t="s">
        <v>88</v>
      </c>
      <c r="I678" s="4">
        <v>0</v>
      </c>
      <c r="J678" s="5">
        <v>710000000</v>
      </c>
      <c r="K678" s="5" t="s">
        <v>89</v>
      </c>
      <c r="L678" s="2" t="s">
        <v>1466</v>
      </c>
      <c r="M678" s="6" t="s">
        <v>91</v>
      </c>
      <c r="N678" s="7" t="s">
        <v>92</v>
      </c>
      <c r="O678" s="7" t="s">
        <v>93</v>
      </c>
      <c r="P678" s="3" t="s">
        <v>673</v>
      </c>
      <c r="Q678" s="8">
        <v>796</v>
      </c>
      <c r="R678" s="7" t="s">
        <v>118</v>
      </c>
      <c r="S678" s="9">
        <v>4</v>
      </c>
      <c r="T678" s="9">
        <v>2589.25</v>
      </c>
      <c r="U678" s="9">
        <f t="shared" si="285"/>
        <v>10357</v>
      </c>
      <c r="V678" s="9">
        <f t="shared" si="286"/>
        <v>11599.840000000002</v>
      </c>
      <c r="W678" s="7"/>
      <c r="X678" s="2">
        <v>2016</v>
      </c>
      <c r="Y678" s="2"/>
    </row>
    <row r="679" spans="1:25" s="11" customFormat="1" ht="89.25" customHeight="1" outlineLevel="1" x14ac:dyDescent="0.25">
      <c r="B679" s="2" t="s">
        <v>2066</v>
      </c>
      <c r="C679" s="3" t="s">
        <v>83</v>
      </c>
      <c r="D679" s="3" t="s">
        <v>1433</v>
      </c>
      <c r="E679" s="3" t="s">
        <v>1400</v>
      </c>
      <c r="F679" s="3" t="s">
        <v>1434</v>
      </c>
      <c r="G679" s="19" t="s">
        <v>2279</v>
      </c>
      <c r="H679" s="19" t="s">
        <v>88</v>
      </c>
      <c r="I679" s="4">
        <v>0</v>
      </c>
      <c r="J679" s="5">
        <v>710000000</v>
      </c>
      <c r="K679" s="5" t="s">
        <v>89</v>
      </c>
      <c r="L679" s="5" t="s">
        <v>1466</v>
      </c>
      <c r="M679" s="6" t="s">
        <v>91</v>
      </c>
      <c r="N679" s="7" t="s">
        <v>92</v>
      </c>
      <c r="O679" s="7" t="s">
        <v>93</v>
      </c>
      <c r="P679" s="3" t="s">
        <v>673</v>
      </c>
      <c r="Q679" s="8">
        <v>796</v>
      </c>
      <c r="R679" s="7" t="s">
        <v>118</v>
      </c>
      <c r="S679" s="9">
        <v>8</v>
      </c>
      <c r="T679" s="9">
        <v>16517.86</v>
      </c>
      <c r="U679" s="9">
        <f t="shared" si="285"/>
        <v>132142.88</v>
      </c>
      <c r="V679" s="9">
        <f t="shared" si="286"/>
        <v>148000.02560000002</v>
      </c>
      <c r="W679" s="7"/>
      <c r="X679" s="2">
        <v>2016</v>
      </c>
      <c r="Y679" s="2"/>
    </row>
    <row r="680" spans="1:25" s="11" customFormat="1" ht="89.25" customHeight="1" outlineLevel="1" x14ac:dyDescent="0.25">
      <c r="B680" s="2" t="s">
        <v>2067</v>
      </c>
      <c r="C680" s="3" t="s">
        <v>83</v>
      </c>
      <c r="D680" s="3" t="s">
        <v>1436</v>
      </c>
      <c r="E680" s="3" t="s">
        <v>1400</v>
      </c>
      <c r="F680" s="3" t="s">
        <v>1437</v>
      </c>
      <c r="G680" s="19" t="s">
        <v>2279</v>
      </c>
      <c r="H680" s="19" t="s">
        <v>88</v>
      </c>
      <c r="I680" s="4">
        <v>0</v>
      </c>
      <c r="J680" s="5">
        <v>710000000</v>
      </c>
      <c r="K680" s="5" t="s">
        <v>89</v>
      </c>
      <c r="L680" s="5" t="s">
        <v>1466</v>
      </c>
      <c r="M680" s="6" t="s">
        <v>91</v>
      </c>
      <c r="N680" s="7" t="s">
        <v>92</v>
      </c>
      <c r="O680" s="7" t="s">
        <v>93</v>
      </c>
      <c r="P680" s="3" t="s">
        <v>673</v>
      </c>
      <c r="Q680" s="8">
        <v>796</v>
      </c>
      <c r="R680" s="7" t="s">
        <v>118</v>
      </c>
      <c r="S680" s="9">
        <v>8</v>
      </c>
      <c r="T680" s="9">
        <v>21026.79</v>
      </c>
      <c r="U680" s="9">
        <f t="shared" si="285"/>
        <v>168214.32</v>
      </c>
      <c r="V680" s="9">
        <f t="shared" si="286"/>
        <v>188400.03840000002</v>
      </c>
      <c r="W680" s="7"/>
      <c r="X680" s="2">
        <v>2016</v>
      </c>
      <c r="Y680" s="2"/>
    </row>
    <row r="681" spans="1:25" s="11" customFormat="1" ht="89.25" customHeight="1" outlineLevel="1" x14ac:dyDescent="0.25">
      <c r="B681" s="2" t="s">
        <v>2068</v>
      </c>
      <c r="C681" s="3" t="s">
        <v>83</v>
      </c>
      <c r="D681" s="3" t="s">
        <v>2061</v>
      </c>
      <c r="E681" s="3" t="s">
        <v>980</v>
      </c>
      <c r="F681" s="3" t="s">
        <v>2062</v>
      </c>
      <c r="G681" s="19" t="s">
        <v>2063</v>
      </c>
      <c r="H681" s="2" t="s">
        <v>88</v>
      </c>
      <c r="I681" s="4">
        <v>0</v>
      </c>
      <c r="J681" s="5">
        <v>710000000</v>
      </c>
      <c r="K681" s="5" t="s">
        <v>89</v>
      </c>
      <c r="L681" s="2" t="s">
        <v>1466</v>
      </c>
      <c r="M681" s="6" t="s">
        <v>91</v>
      </c>
      <c r="N681" s="7" t="s">
        <v>92</v>
      </c>
      <c r="O681" s="7" t="s">
        <v>93</v>
      </c>
      <c r="P681" s="3" t="s">
        <v>673</v>
      </c>
      <c r="Q681" s="8">
        <v>796</v>
      </c>
      <c r="R681" s="7" t="s">
        <v>118</v>
      </c>
      <c r="S681" s="9">
        <v>1</v>
      </c>
      <c r="T681" s="9">
        <v>491.07</v>
      </c>
      <c r="U681" s="9">
        <f t="shared" ref="U681" si="287">T681*S681</f>
        <v>491.07</v>
      </c>
      <c r="V681" s="9">
        <f t="shared" ref="V681" si="288">U681*1.12</f>
        <v>549.99840000000006</v>
      </c>
      <c r="W681" s="7"/>
      <c r="X681" s="2">
        <v>2016</v>
      </c>
      <c r="Y681" s="2"/>
    </row>
    <row r="682" spans="1:25" s="11" customFormat="1" ht="89.25" customHeight="1" outlineLevel="1" x14ac:dyDescent="0.25">
      <c r="B682" s="2" t="s">
        <v>2069</v>
      </c>
      <c r="C682" s="3" t="s">
        <v>83</v>
      </c>
      <c r="D682" s="3" t="s">
        <v>2064</v>
      </c>
      <c r="E682" s="3" t="s">
        <v>980</v>
      </c>
      <c r="F682" s="3" t="s">
        <v>2065</v>
      </c>
      <c r="G682" s="19" t="s">
        <v>2063</v>
      </c>
      <c r="H682" s="2" t="s">
        <v>88</v>
      </c>
      <c r="I682" s="4">
        <v>0</v>
      </c>
      <c r="J682" s="5">
        <v>710000000</v>
      </c>
      <c r="K682" s="5" t="s">
        <v>89</v>
      </c>
      <c r="L682" s="2" t="s">
        <v>1466</v>
      </c>
      <c r="M682" s="6" t="s">
        <v>91</v>
      </c>
      <c r="N682" s="7" t="s">
        <v>92</v>
      </c>
      <c r="O682" s="7" t="s">
        <v>93</v>
      </c>
      <c r="P682" s="3" t="s">
        <v>673</v>
      </c>
      <c r="Q682" s="8">
        <v>796</v>
      </c>
      <c r="R682" s="7" t="s">
        <v>118</v>
      </c>
      <c r="S682" s="9">
        <v>1</v>
      </c>
      <c r="T682" s="9">
        <v>446.43</v>
      </c>
      <c r="U682" s="9">
        <f t="shared" ref="U682" si="289">T682*S682</f>
        <v>446.43</v>
      </c>
      <c r="V682" s="9">
        <f t="shared" ref="V682" si="290">U682*1.12</f>
        <v>500.00160000000005</v>
      </c>
      <c r="W682" s="7"/>
      <c r="X682" s="2">
        <v>2016</v>
      </c>
      <c r="Y682" s="2"/>
    </row>
    <row r="683" spans="1:25" s="11" customFormat="1" ht="89.25" customHeight="1" outlineLevel="1" x14ac:dyDescent="0.25">
      <c r="B683" s="2" t="s">
        <v>2075</v>
      </c>
      <c r="C683" s="3" t="s">
        <v>83</v>
      </c>
      <c r="D683" s="3" t="s">
        <v>2070</v>
      </c>
      <c r="E683" s="3" t="s">
        <v>2071</v>
      </c>
      <c r="F683" s="3" t="s">
        <v>2072</v>
      </c>
      <c r="G683" s="19" t="s">
        <v>2073</v>
      </c>
      <c r="H683" s="2" t="s">
        <v>88</v>
      </c>
      <c r="I683" s="4">
        <v>0</v>
      </c>
      <c r="J683" s="5">
        <v>710000000</v>
      </c>
      <c r="K683" s="5" t="s">
        <v>89</v>
      </c>
      <c r="L683" s="2" t="s">
        <v>1466</v>
      </c>
      <c r="M683" s="6" t="s">
        <v>91</v>
      </c>
      <c r="N683" s="7" t="s">
        <v>92</v>
      </c>
      <c r="O683" s="7" t="s">
        <v>93</v>
      </c>
      <c r="P683" s="3" t="s">
        <v>673</v>
      </c>
      <c r="Q683" s="8">
        <v>796</v>
      </c>
      <c r="R683" s="7" t="s">
        <v>118</v>
      </c>
      <c r="S683" s="9">
        <v>1</v>
      </c>
      <c r="T683" s="9">
        <v>803.57</v>
      </c>
      <c r="U683" s="9">
        <f t="shared" ref="U683" si="291">T683*S683</f>
        <v>803.57</v>
      </c>
      <c r="V683" s="9">
        <f t="shared" ref="V683" si="292">U683*1.12</f>
        <v>899.99840000000017</v>
      </c>
      <c r="W683" s="7"/>
      <c r="X683" s="2">
        <v>2016</v>
      </c>
      <c r="Y683" s="2"/>
    </row>
    <row r="684" spans="1:25" s="11" customFormat="1" ht="89.25" customHeight="1" outlineLevel="1" x14ac:dyDescent="0.25">
      <c r="B684" s="2" t="s">
        <v>2080</v>
      </c>
      <c r="C684" s="3" t="s">
        <v>83</v>
      </c>
      <c r="D684" s="3" t="s">
        <v>979</v>
      </c>
      <c r="E684" s="3" t="s">
        <v>980</v>
      </c>
      <c r="F684" s="3" t="s">
        <v>981</v>
      </c>
      <c r="G684" s="19" t="s">
        <v>2074</v>
      </c>
      <c r="H684" s="2" t="s">
        <v>88</v>
      </c>
      <c r="I684" s="4">
        <v>0</v>
      </c>
      <c r="J684" s="5">
        <v>710000000</v>
      </c>
      <c r="K684" s="5" t="s">
        <v>89</v>
      </c>
      <c r="L684" s="2" t="s">
        <v>1466</v>
      </c>
      <c r="M684" s="6" t="s">
        <v>91</v>
      </c>
      <c r="N684" s="7" t="s">
        <v>92</v>
      </c>
      <c r="O684" s="7" t="s">
        <v>93</v>
      </c>
      <c r="P684" s="3" t="s">
        <v>673</v>
      </c>
      <c r="Q684" s="8">
        <v>796</v>
      </c>
      <c r="R684" s="7" t="s">
        <v>118</v>
      </c>
      <c r="S684" s="9">
        <v>2</v>
      </c>
      <c r="T684" s="9">
        <v>357.14</v>
      </c>
      <c r="U684" s="9">
        <f t="shared" ref="U684" si="293">T684*S684</f>
        <v>714.28</v>
      </c>
      <c r="V684" s="9">
        <f t="shared" ref="V684" si="294">U684*1.12</f>
        <v>799.99360000000001</v>
      </c>
      <c r="W684" s="7"/>
      <c r="X684" s="2">
        <v>2016</v>
      </c>
      <c r="Y684" s="2"/>
    </row>
    <row r="685" spans="1:25" s="11" customFormat="1" ht="89.25" customHeight="1" outlineLevel="1" x14ac:dyDescent="0.25">
      <c r="B685" s="2" t="s">
        <v>2082</v>
      </c>
      <c r="C685" s="3" t="s">
        <v>83</v>
      </c>
      <c r="D685" s="3" t="s">
        <v>2076</v>
      </c>
      <c r="E685" s="3" t="s">
        <v>2077</v>
      </c>
      <c r="F685" s="3" t="s">
        <v>2078</v>
      </c>
      <c r="G685" s="19" t="s">
        <v>2079</v>
      </c>
      <c r="H685" s="2" t="s">
        <v>88</v>
      </c>
      <c r="I685" s="4">
        <v>0</v>
      </c>
      <c r="J685" s="5">
        <v>710000000</v>
      </c>
      <c r="K685" s="5" t="s">
        <v>89</v>
      </c>
      <c r="L685" s="2" t="s">
        <v>1466</v>
      </c>
      <c r="M685" s="6" t="s">
        <v>91</v>
      </c>
      <c r="N685" s="7" t="s">
        <v>92</v>
      </c>
      <c r="O685" s="7" t="s">
        <v>93</v>
      </c>
      <c r="P685" s="3" t="s">
        <v>673</v>
      </c>
      <c r="Q685" s="8">
        <v>839</v>
      </c>
      <c r="R685" s="7" t="s">
        <v>812</v>
      </c>
      <c r="S685" s="9">
        <v>1</v>
      </c>
      <c r="T685" s="9">
        <v>3303.57</v>
      </c>
      <c r="U685" s="9">
        <f t="shared" ref="U685:U686" si="295">T685*S685</f>
        <v>3303.57</v>
      </c>
      <c r="V685" s="9">
        <f t="shared" ref="V685:V686" si="296">U685*1.12</f>
        <v>3699.9984000000004</v>
      </c>
      <c r="W685" s="7"/>
      <c r="X685" s="2">
        <v>2016</v>
      </c>
      <c r="Y685" s="2"/>
    </row>
    <row r="686" spans="1:25" s="20" customFormat="1" ht="89.25" customHeight="1" outlineLevel="1" x14ac:dyDescent="0.25">
      <c r="A686" s="11"/>
      <c r="B686" s="2" t="s">
        <v>2087</v>
      </c>
      <c r="C686" s="3" t="s">
        <v>83</v>
      </c>
      <c r="D686" s="3" t="s">
        <v>921</v>
      </c>
      <c r="E686" s="3" t="s">
        <v>790</v>
      </c>
      <c r="F686" s="3" t="s">
        <v>922</v>
      </c>
      <c r="G686" s="19" t="s">
        <v>2081</v>
      </c>
      <c r="H686" s="2" t="s">
        <v>88</v>
      </c>
      <c r="I686" s="4">
        <v>0</v>
      </c>
      <c r="J686" s="5">
        <v>710000000</v>
      </c>
      <c r="K686" s="5" t="s">
        <v>89</v>
      </c>
      <c r="L686" s="2" t="s">
        <v>1466</v>
      </c>
      <c r="M686" s="6" t="s">
        <v>91</v>
      </c>
      <c r="N686" s="7" t="s">
        <v>92</v>
      </c>
      <c r="O686" s="7" t="s">
        <v>93</v>
      </c>
      <c r="P686" s="3" t="s">
        <v>673</v>
      </c>
      <c r="Q686" s="8">
        <v>796</v>
      </c>
      <c r="R686" s="7" t="s">
        <v>118</v>
      </c>
      <c r="S686" s="9">
        <v>4</v>
      </c>
      <c r="T686" s="9">
        <v>166.07</v>
      </c>
      <c r="U686" s="9">
        <f t="shared" si="295"/>
        <v>664.28</v>
      </c>
      <c r="V686" s="9">
        <f t="shared" si="296"/>
        <v>743.99360000000001</v>
      </c>
      <c r="W686" s="7"/>
      <c r="X686" s="2">
        <v>2016</v>
      </c>
      <c r="Y686" s="2"/>
    </row>
    <row r="687" spans="1:25" s="20" customFormat="1" ht="89.25" customHeight="1" outlineLevel="1" x14ac:dyDescent="0.25">
      <c r="A687" s="11"/>
      <c r="B687" s="2" t="s">
        <v>2088</v>
      </c>
      <c r="C687" s="3" t="s">
        <v>83</v>
      </c>
      <c r="D687" s="3" t="s">
        <v>1226</v>
      </c>
      <c r="E687" s="3" t="s">
        <v>965</v>
      </c>
      <c r="F687" s="3" t="s">
        <v>1227</v>
      </c>
      <c r="G687" s="19" t="s">
        <v>2083</v>
      </c>
      <c r="H687" s="2" t="s">
        <v>88</v>
      </c>
      <c r="I687" s="4">
        <v>0</v>
      </c>
      <c r="J687" s="5">
        <v>710000000</v>
      </c>
      <c r="K687" s="5" t="s">
        <v>89</v>
      </c>
      <c r="L687" s="2" t="s">
        <v>1466</v>
      </c>
      <c r="M687" s="6" t="s">
        <v>91</v>
      </c>
      <c r="N687" s="7" t="s">
        <v>92</v>
      </c>
      <c r="O687" s="7" t="s">
        <v>93</v>
      </c>
      <c r="P687" s="3" t="s">
        <v>673</v>
      </c>
      <c r="Q687" s="8">
        <v>796</v>
      </c>
      <c r="R687" s="7" t="s">
        <v>118</v>
      </c>
      <c r="S687" s="9">
        <v>1</v>
      </c>
      <c r="T687" s="9">
        <v>14548.21</v>
      </c>
      <c r="U687" s="9">
        <f t="shared" ref="U687" si="297">T687*S687</f>
        <v>14548.21</v>
      </c>
      <c r="V687" s="9">
        <f t="shared" ref="V687" si="298">U687*1.12</f>
        <v>16293.995200000001</v>
      </c>
      <c r="W687" s="7"/>
      <c r="X687" s="2">
        <v>2016</v>
      </c>
      <c r="Y687" s="2"/>
    </row>
    <row r="688" spans="1:25" s="20" customFormat="1" ht="89.25" customHeight="1" outlineLevel="1" x14ac:dyDescent="0.25">
      <c r="A688" s="11"/>
      <c r="B688" s="2" t="s">
        <v>2093</v>
      </c>
      <c r="C688" s="3" t="s">
        <v>83</v>
      </c>
      <c r="D688" s="3" t="s">
        <v>2084</v>
      </c>
      <c r="E688" s="3" t="s">
        <v>2085</v>
      </c>
      <c r="F688" s="3" t="s">
        <v>2086</v>
      </c>
      <c r="G688" s="19" t="s">
        <v>2081</v>
      </c>
      <c r="H688" s="2" t="s">
        <v>88</v>
      </c>
      <c r="I688" s="4">
        <v>0</v>
      </c>
      <c r="J688" s="5">
        <v>710000000</v>
      </c>
      <c r="K688" s="5" t="s">
        <v>89</v>
      </c>
      <c r="L688" s="2" t="s">
        <v>1466</v>
      </c>
      <c r="M688" s="6" t="s">
        <v>91</v>
      </c>
      <c r="N688" s="7" t="s">
        <v>92</v>
      </c>
      <c r="O688" s="7" t="s">
        <v>93</v>
      </c>
      <c r="P688" s="3" t="s">
        <v>673</v>
      </c>
      <c r="Q688" s="8">
        <v>796</v>
      </c>
      <c r="R688" s="7" t="s">
        <v>118</v>
      </c>
      <c r="S688" s="9">
        <v>1</v>
      </c>
      <c r="T688" s="9">
        <v>25923.21</v>
      </c>
      <c r="U688" s="9">
        <f t="shared" ref="U688" si="299">T688*S688</f>
        <v>25923.21</v>
      </c>
      <c r="V688" s="9">
        <f t="shared" ref="V688" si="300">U688*1.12</f>
        <v>29033.995200000001</v>
      </c>
      <c r="W688" s="7"/>
      <c r="X688" s="2">
        <v>2016</v>
      </c>
      <c r="Y688" s="2"/>
    </row>
    <row r="689" spans="1:25" s="20" customFormat="1" ht="89.25" customHeight="1" outlineLevel="1" x14ac:dyDescent="0.25">
      <c r="A689" s="11"/>
      <c r="B689" s="2" t="s">
        <v>2099</v>
      </c>
      <c r="C689" s="3" t="s">
        <v>83</v>
      </c>
      <c r="D689" s="3" t="s">
        <v>2089</v>
      </c>
      <c r="E689" s="3" t="s">
        <v>2090</v>
      </c>
      <c r="F689" s="3" t="s">
        <v>2091</v>
      </c>
      <c r="G689" s="19" t="s">
        <v>2092</v>
      </c>
      <c r="H689" s="2" t="s">
        <v>88</v>
      </c>
      <c r="I689" s="4">
        <v>0</v>
      </c>
      <c r="J689" s="5">
        <v>710000000</v>
      </c>
      <c r="K689" s="5" t="s">
        <v>89</v>
      </c>
      <c r="L689" s="2" t="s">
        <v>1466</v>
      </c>
      <c r="M689" s="6" t="s">
        <v>91</v>
      </c>
      <c r="N689" s="7" t="s">
        <v>92</v>
      </c>
      <c r="O689" s="7" t="s">
        <v>93</v>
      </c>
      <c r="P689" s="3" t="s">
        <v>673</v>
      </c>
      <c r="Q689" s="8">
        <v>796</v>
      </c>
      <c r="R689" s="7" t="s">
        <v>118</v>
      </c>
      <c r="S689" s="9">
        <v>2</v>
      </c>
      <c r="T689" s="9">
        <v>4486.6099999999997</v>
      </c>
      <c r="U689" s="9">
        <f t="shared" ref="U689" si="301">T689*S689</f>
        <v>8973.2199999999993</v>
      </c>
      <c r="V689" s="9">
        <f t="shared" ref="V689" si="302">U689*1.12</f>
        <v>10050.0064</v>
      </c>
      <c r="W689" s="7"/>
      <c r="X689" s="2">
        <v>2016</v>
      </c>
      <c r="Y689" s="2"/>
    </row>
    <row r="690" spans="1:25" s="20" customFormat="1" ht="89.25" customHeight="1" outlineLevel="1" x14ac:dyDescent="0.25">
      <c r="A690" s="11"/>
      <c r="B690" s="2" t="s">
        <v>2100</v>
      </c>
      <c r="C690" s="3" t="s">
        <v>83</v>
      </c>
      <c r="D690" s="3" t="s">
        <v>2094</v>
      </c>
      <c r="E690" s="3" t="s">
        <v>2095</v>
      </c>
      <c r="F690" s="3" t="s">
        <v>1234</v>
      </c>
      <c r="G690" s="19" t="s">
        <v>2081</v>
      </c>
      <c r="H690" s="2" t="s">
        <v>88</v>
      </c>
      <c r="I690" s="4">
        <v>0</v>
      </c>
      <c r="J690" s="5">
        <v>710000000</v>
      </c>
      <c r="K690" s="5" t="s">
        <v>89</v>
      </c>
      <c r="L690" s="2" t="s">
        <v>1466</v>
      </c>
      <c r="M690" s="6" t="s">
        <v>91</v>
      </c>
      <c r="N690" s="7" t="s">
        <v>92</v>
      </c>
      <c r="O690" s="7" t="s">
        <v>93</v>
      </c>
      <c r="P690" s="3" t="s">
        <v>673</v>
      </c>
      <c r="Q690" s="8">
        <v>839</v>
      </c>
      <c r="R690" s="7" t="s">
        <v>812</v>
      </c>
      <c r="S690" s="9">
        <v>4</v>
      </c>
      <c r="T690" s="9">
        <v>5799.11</v>
      </c>
      <c r="U690" s="9">
        <f t="shared" ref="U690" si="303">T690*S690</f>
        <v>23196.44</v>
      </c>
      <c r="V690" s="9">
        <f t="shared" ref="V690" si="304">U690*1.12</f>
        <v>25980.0128</v>
      </c>
      <c r="W690" s="7"/>
      <c r="X690" s="2">
        <v>2016</v>
      </c>
      <c r="Y690" s="2"/>
    </row>
    <row r="691" spans="1:25" s="20" customFormat="1" ht="89.25" customHeight="1" outlineLevel="1" x14ac:dyDescent="0.25">
      <c r="A691" s="11"/>
      <c r="B691" s="2" t="s">
        <v>2103</v>
      </c>
      <c r="C691" s="3" t="s">
        <v>83</v>
      </c>
      <c r="D691" s="3" t="s">
        <v>2096</v>
      </c>
      <c r="E691" s="3" t="s">
        <v>2097</v>
      </c>
      <c r="F691" s="3" t="s">
        <v>2098</v>
      </c>
      <c r="G691" s="19" t="s">
        <v>2081</v>
      </c>
      <c r="H691" s="2" t="s">
        <v>88</v>
      </c>
      <c r="I691" s="4">
        <v>0</v>
      </c>
      <c r="J691" s="5">
        <v>710000000</v>
      </c>
      <c r="K691" s="5" t="s">
        <v>89</v>
      </c>
      <c r="L691" s="2" t="s">
        <v>1466</v>
      </c>
      <c r="M691" s="6" t="s">
        <v>91</v>
      </c>
      <c r="N691" s="7" t="s">
        <v>92</v>
      </c>
      <c r="O691" s="7" t="s">
        <v>93</v>
      </c>
      <c r="P691" s="3" t="s">
        <v>673</v>
      </c>
      <c r="Q691" s="8">
        <v>796</v>
      </c>
      <c r="R691" s="7" t="s">
        <v>118</v>
      </c>
      <c r="S691" s="9">
        <v>1</v>
      </c>
      <c r="T691" s="9">
        <v>24578.57</v>
      </c>
      <c r="U691" s="9">
        <f t="shared" ref="U691" si="305">T691*S691</f>
        <v>24578.57</v>
      </c>
      <c r="V691" s="9">
        <f t="shared" ref="V691" si="306">U691*1.12</f>
        <v>27527.998400000004</v>
      </c>
      <c r="W691" s="7"/>
      <c r="X691" s="2">
        <v>2016</v>
      </c>
      <c r="Y691" s="2"/>
    </row>
    <row r="692" spans="1:25" s="20" customFormat="1" ht="89.25" customHeight="1" outlineLevel="1" x14ac:dyDescent="0.25">
      <c r="A692" s="11"/>
      <c r="B692" s="2" t="s">
        <v>2104</v>
      </c>
      <c r="C692" s="3" t="s">
        <v>83</v>
      </c>
      <c r="D692" s="3" t="s">
        <v>2101</v>
      </c>
      <c r="E692" s="3" t="s">
        <v>818</v>
      </c>
      <c r="F692" s="3" t="s">
        <v>2102</v>
      </c>
      <c r="G692" s="19" t="s">
        <v>2081</v>
      </c>
      <c r="H692" s="2" t="s">
        <v>88</v>
      </c>
      <c r="I692" s="4">
        <v>0</v>
      </c>
      <c r="J692" s="5">
        <v>710000000</v>
      </c>
      <c r="K692" s="5" t="s">
        <v>89</v>
      </c>
      <c r="L692" s="2" t="s">
        <v>1466</v>
      </c>
      <c r="M692" s="6" t="s">
        <v>91</v>
      </c>
      <c r="N692" s="7" t="s">
        <v>92</v>
      </c>
      <c r="O692" s="7" t="s">
        <v>93</v>
      </c>
      <c r="P692" s="3" t="s">
        <v>673</v>
      </c>
      <c r="Q692" s="8">
        <v>796</v>
      </c>
      <c r="R692" s="7" t="s">
        <v>118</v>
      </c>
      <c r="S692" s="9">
        <v>1</v>
      </c>
      <c r="T692" s="9">
        <v>27584.82</v>
      </c>
      <c r="U692" s="9">
        <f t="shared" ref="U692" si="307">T692*S692</f>
        <v>27584.82</v>
      </c>
      <c r="V692" s="9">
        <f t="shared" ref="V692" si="308">U692*1.12</f>
        <v>30894.998400000004</v>
      </c>
      <c r="W692" s="7"/>
      <c r="X692" s="2">
        <v>2016</v>
      </c>
      <c r="Y692" s="2"/>
    </row>
    <row r="693" spans="1:25" s="20" customFormat="1" ht="89.25" customHeight="1" outlineLevel="1" x14ac:dyDescent="0.25">
      <c r="A693" s="11"/>
      <c r="B693" s="2" t="s">
        <v>2109</v>
      </c>
      <c r="C693" s="3" t="s">
        <v>83</v>
      </c>
      <c r="D693" s="3" t="s">
        <v>1384</v>
      </c>
      <c r="E693" s="3" t="s">
        <v>1385</v>
      </c>
      <c r="F693" s="3" t="s">
        <v>1285</v>
      </c>
      <c r="G693" s="19" t="s">
        <v>2081</v>
      </c>
      <c r="H693" s="2" t="s">
        <v>88</v>
      </c>
      <c r="I693" s="4">
        <v>0</v>
      </c>
      <c r="J693" s="5">
        <v>710000000</v>
      </c>
      <c r="K693" s="5" t="s">
        <v>89</v>
      </c>
      <c r="L693" s="2" t="s">
        <v>1466</v>
      </c>
      <c r="M693" s="6" t="s">
        <v>91</v>
      </c>
      <c r="N693" s="7" t="s">
        <v>92</v>
      </c>
      <c r="O693" s="7" t="s">
        <v>93</v>
      </c>
      <c r="P693" s="3" t="s">
        <v>673</v>
      </c>
      <c r="Q693" s="8">
        <v>796</v>
      </c>
      <c r="R693" s="7" t="s">
        <v>118</v>
      </c>
      <c r="S693" s="9">
        <v>1</v>
      </c>
      <c r="T693" s="9">
        <v>31543.75</v>
      </c>
      <c r="U693" s="9">
        <f t="shared" ref="U693" si="309">T693*S693</f>
        <v>31543.75</v>
      </c>
      <c r="V693" s="9">
        <f t="shared" ref="V693" si="310">U693*1.12</f>
        <v>35329</v>
      </c>
      <c r="W693" s="7"/>
      <c r="X693" s="2">
        <v>2016</v>
      </c>
      <c r="Y693" s="2"/>
    </row>
    <row r="694" spans="1:25" s="20" customFormat="1" ht="89.25" customHeight="1" outlineLevel="1" x14ac:dyDescent="0.25">
      <c r="A694" s="11"/>
      <c r="B694" s="2" t="s">
        <v>2114</v>
      </c>
      <c r="C694" s="3" t="s">
        <v>83</v>
      </c>
      <c r="D694" s="3" t="s">
        <v>2105</v>
      </c>
      <c r="E694" s="3" t="s">
        <v>2106</v>
      </c>
      <c r="F694" s="3" t="s">
        <v>2107</v>
      </c>
      <c r="G694" s="19" t="s">
        <v>2108</v>
      </c>
      <c r="H694" s="2" t="s">
        <v>88</v>
      </c>
      <c r="I694" s="4">
        <v>0</v>
      </c>
      <c r="J694" s="5">
        <v>710000000</v>
      </c>
      <c r="K694" s="5" t="s">
        <v>89</v>
      </c>
      <c r="L694" s="2" t="s">
        <v>1466</v>
      </c>
      <c r="M694" s="6" t="s">
        <v>91</v>
      </c>
      <c r="N694" s="7" t="s">
        <v>92</v>
      </c>
      <c r="O694" s="7" t="s">
        <v>93</v>
      </c>
      <c r="P694" s="3" t="s">
        <v>673</v>
      </c>
      <c r="Q694" s="8">
        <v>796</v>
      </c>
      <c r="R694" s="7" t="s">
        <v>118</v>
      </c>
      <c r="S694" s="9">
        <v>1</v>
      </c>
      <c r="T694" s="9">
        <v>2183.9299999999998</v>
      </c>
      <c r="U694" s="9">
        <f t="shared" ref="U694" si="311">T694*S694</f>
        <v>2183.9299999999998</v>
      </c>
      <c r="V694" s="9">
        <f t="shared" ref="V694" si="312">U694*1.12</f>
        <v>2446.0016000000001</v>
      </c>
      <c r="W694" s="7"/>
      <c r="X694" s="2">
        <v>2016</v>
      </c>
      <c r="Y694" s="2"/>
    </row>
    <row r="695" spans="1:25" s="20" customFormat="1" ht="89.25" customHeight="1" outlineLevel="1" x14ac:dyDescent="0.25">
      <c r="A695" s="11"/>
      <c r="B695" s="2" t="s">
        <v>2115</v>
      </c>
      <c r="C695" s="3" t="s">
        <v>83</v>
      </c>
      <c r="D695" s="3" t="s">
        <v>2110</v>
      </c>
      <c r="E695" s="3" t="s">
        <v>858</v>
      </c>
      <c r="F695" s="3" t="s">
        <v>2111</v>
      </c>
      <c r="G695" s="19" t="s">
        <v>2112</v>
      </c>
      <c r="H695" s="2" t="s">
        <v>88</v>
      </c>
      <c r="I695" s="4">
        <v>0</v>
      </c>
      <c r="J695" s="5">
        <v>710000000</v>
      </c>
      <c r="K695" s="5" t="s">
        <v>89</v>
      </c>
      <c r="L695" s="2" t="s">
        <v>1466</v>
      </c>
      <c r="M695" s="6" t="s">
        <v>91</v>
      </c>
      <c r="N695" s="7" t="s">
        <v>92</v>
      </c>
      <c r="O695" s="7" t="s">
        <v>93</v>
      </c>
      <c r="P695" s="3" t="s">
        <v>673</v>
      </c>
      <c r="Q695" s="8">
        <v>796</v>
      </c>
      <c r="R695" s="7" t="s">
        <v>118</v>
      </c>
      <c r="S695" s="9">
        <v>150</v>
      </c>
      <c r="T695" s="9">
        <v>333.93</v>
      </c>
      <c r="U695" s="9">
        <f t="shared" ref="U695:U696" si="313">T695*S695</f>
        <v>50089.5</v>
      </c>
      <c r="V695" s="9">
        <f t="shared" ref="V695:V696" si="314">U695*1.12</f>
        <v>56100.240000000005</v>
      </c>
      <c r="W695" s="7"/>
      <c r="X695" s="2">
        <v>2016</v>
      </c>
      <c r="Y695" s="2"/>
    </row>
    <row r="696" spans="1:25" s="20" customFormat="1" ht="89.25" customHeight="1" outlineLevel="1" x14ac:dyDescent="0.25">
      <c r="A696" s="11"/>
      <c r="B696" s="2" t="s">
        <v>2122</v>
      </c>
      <c r="C696" s="3" t="s">
        <v>83</v>
      </c>
      <c r="D696" s="3" t="s">
        <v>1376</v>
      </c>
      <c r="E696" s="3" t="s">
        <v>790</v>
      </c>
      <c r="F696" s="3" t="s">
        <v>1377</v>
      </c>
      <c r="G696" s="19" t="s">
        <v>2113</v>
      </c>
      <c r="H696" s="2" t="s">
        <v>88</v>
      </c>
      <c r="I696" s="21">
        <v>0</v>
      </c>
      <c r="J696" s="5">
        <v>710000000</v>
      </c>
      <c r="K696" s="3" t="s">
        <v>89</v>
      </c>
      <c r="L696" s="2" t="s">
        <v>1466</v>
      </c>
      <c r="M696" s="6" t="s">
        <v>91</v>
      </c>
      <c r="N696" s="7" t="s">
        <v>92</v>
      </c>
      <c r="O696" s="7" t="s">
        <v>93</v>
      </c>
      <c r="P696" s="3" t="s">
        <v>673</v>
      </c>
      <c r="Q696" s="8">
        <v>796</v>
      </c>
      <c r="R696" s="7" t="s">
        <v>118</v>
      </c>
      <c r="S696" s="9">
        <v>8</v>
      </c>
      <c r="T696" s="9">
        <v>4154.4799999999996</v>
      </c>
      <c r="U696" s="9">
        <f t="shared" si="313"/>
        <v>33235.839999999997</v>
      </c>
      <c r="V696" s="9">
        <f t="shared" si="314"/>
        <v>37224.140800000001</v>
      </c>
      <c r="W696" s="3"/>
      <c r="X696" s="2">
        <v>2016</v>
      </c>
      <c r="Y696" s="3"/>
    </row>
    <row r="697" spans="1:25" s="20" customFormat="1" ht="89.25" customHeight="1" outlineLevel="1" x14ac:dyDescent="0.25">
      <c r="A697" s="11"/>
      <c r="B697" s="2" t="s">
        <v>2123</v>
      </c>
      <c r="C697" s="3" t="s">
        <v>83</v>
      </c>
      <c r="D697" s="3" t="s">
        <v>2116</v>
      </c>
      <c r="E697" s="3" t="s">
        <v>980</v>
      </c>
      <c r="F697" s="3" t="s">
        <v>2117</v>
      </c>
      <c r="G697" s="19" t="s">
        <v>2113</v>
      </c>
      <c r="H697" s="2" t="s">
        <v>88</v>
      </c>
      <c r="I697" s="21">
        <v>0</v>
      </c>
      <c r="J697" s="5">
        <v>710000000</v>
      </c>
      <c r="K697" s="3" t="s">
        <v>89</v>
      </c>
      <c r="L697" s="2" t="s">
        <v>1466</v>
      </c>
      <c r="M697" s="6" t="s">
        <v>91</v>
      </c>
      <c r="N697" s="7" t="s">
        <v>92</v>
      </c>
      <c r="O697" s="7" t="s">
        <v>93</v>
      </c>
      <c r="P697" s="3" t="s">
        <v>673</v>
      </c>
      <c r="Q697" s="8">
        <v>796</v>
      </c>
      <c r="R697" s="7" t="s">
        <v>118</v>
      </c>
      <c r="S697" s="9">
        <v>8</v>
      </c>
      <c r="T697" s="9">
        <v>233.02</v>
      </c>
      <c r="U697" s="9">
        <f t="shared" ref="U697" si="315">T697*S697</f>
        <v>1864.16</v>
      </c>
      <c r="V697" s="9">
        <f t="shared" ref="V697" si="316">U697*1.12</f>
        <v>2087.8592000000003</v>
      </c>
      <c r="W697" s="3"/>
      <c r="X697" s="2">
        <v>2016</v>
      </c>
      <c r="Y697" s="3"/>
    </row>
    <row r="698" spans="1:25" s="20" customFormat="1" ht="89.25" customHeight="1" outlineLevel="1" x14ac:dyDescent="0.25">
      <c r="A698" s="11"/>
      <c r="B698" s="2" t="s">
        <v>2127</v>
      </c>
      <c r="C698" s="3" t="s">
        <v>83</v>
      </c>
      <c r="D698" s="3" t="s">
        <v>2118</v>
      </c>
      <c r="E698" s="3" t="s">
        <v>2119</v>
      </c>
      <c r="F698" s="3" t="s">
        <v>2120</v>
      </c>
      <c r="G698" s="19" t="s">
        <v>2121</v>
      </c>
      <c r="H698" s="2" t="s">
        <v>88</v>
      </c>
      <c r="I698" s="21">
        <v>0</v>
      </c>
      <c r="J698" s="5">
        <v>710000000</v>
      </c>
      <c r="K698" s="3" t="s">
        <v>89</v>
      </c>
      <c r="L698" s="2" t="s">
        <v>1466</v>
      </c>
      <c r="M698" s="6" t="s">
        <v>91</v>
      </c>
      <c r="N698" s="7" t="s">
        <v>92</v>
      </c>
      <c r="O698" s="7" t="s">
        <v>93</v>
      </c>
      <c r="P698" s="3" t="s">
        <v>673</v>
      </c>
      <c r="Q698" s="8">
        <v>796</v>
      </c>
      <c r="R698" s="7" t="s">
        <v>118</v>
      </c>
      <c r="S698" s="9">
        <v>2</v>
      </c>
      <c r="T698" s="9">
        <v>5322.16</v>
      </c>
      <c r="U698" s="9">
        <f t="shared" ref="U698" si="317">T698*S698</f>
        <v>10644.32</v>
      </c>
      <c r="V698" s="9">
        <f t="shared" ref="V698" si="318">U698*1.12</f>
        <v>11921.638400000002</v>
      </c>
      <c r="W698" s="3"/>
      <c r="X698" s="2">
        <v>2016</v>
      </c>
      <c r="Y698" s="3"/>
    </row>
    <row r="699" spans="1:25" s="11" customFormat="1" ht="89.25" customHeight="1" outlineLevel="1" x14ac:dyDescent="0.25">
      <c r="B699" s="2" t="s">
        <v>2128</v>
      </c>
      <c r="C699" s="3" t="s">
        <v>83</v>
      </c>
      <c r="D699" s="3" t="s">
        <v>2291</v>
      </c>
      <c r="E699" s="3" t="s">
        <v>1400</v>
      </c>
      <c r="F699" s="3" t="s">
        <v>2292</v>
      </c>
      <c r="G699" s="19" t="s">
        <v>2293</v>
      </c>
      <c r="H699" s="19" t="s">
        <v>88</v>
      </c>
      <c r="I699" s="4">
        <v>0</v>
      </c>
      <c r="J699" s="5">
        <v>710000000</v>
      </c>
      <c r="K699" s="5" t="s">
        <v>89</v>
      </c>
      <c r="L699" s="5" t="s">
        <v>1466</v>
      </c>
      <c r="M699" s="6" t="s">
        <v>91</v>
      </c>
      <c r="N699" s="7" t="s">
        <v>92</v>
      </c>
      <c r="O699" s="7" t="s">
        <v>93</v>
      </c>
      <c r="P699" s="3" t="s">
        <v>673</v>
      </c>
      <c r="Q699" s="8">
        <v>796</v>
      </c>
      <c r="R699" s="7" t="s">
        <v>118</v>
      </c>
      <c r="S699" s="9">
        <v>2</v>
      </c>
      <c r="T699" s="9">
        <v>52410.71</v>
      </c>
      <c r="U699" s="9">
        <f t="shared" ref="U699" si="319">T699*S699</f>
        <v>104821.42</v>
      </c>
      <c r="V699" s="9">
        <f t="shared" ref="V699" si="320">U699*1.12</f>
        <v>117399.99040000001</v>
      </c>
      <c r="W699" s="7"/>
      <c r="X699" s="2">
        <v>2016</v>
      </c>
      <c r="Y699" s="2"/>
    </row>
    <row r="700" spans="1:25" s="20" customFormat="1" ht="89.25" customHeight="1" outlineLevel="1" x14ac:dyDescent="0.25">
      <c r="A700" s="11"/>
      <c r="B700" s="2" t="s">
        <v>2133</v>
      </c>
      <c r="C700" s="3" t="s">
        <v>83</v>
      </c>
      <c r="D700" s="3" t="s">
        <v>1199</v>
      </c>
      <c r="E700" s="3" t="s">
        <v>810</v>
      </c>
      <c r="F700" s="3" t="s">
        <v>1200</v>
      </c>
      <c r="G700" s="19" t="s">
        <v>2124</v>
      </c>
      <c r="H700" s="2" t="s">
        <v>88</v>
      </c>
      <c r="I700" s="21">
        <v>0</v>
      </c>
      <c r="J700" s="5">
        <v>710000000</v>
      </c>
      <c r="K700" s="3" t="s">
        <v>89</v>
      </c>
      <c r="L700" s="2" t="s">
        <v>1466</v>
      </c>
      <c r="M700" s="6" t="s">
        <v>91</v>
      </c>
      <c r="N700" s="7" t="s">
        <v>92</v>
      </c>
      <c r="O700" s="7" t="s">
        <v>93</v>
      </c>
      <c r="P700" s="3" t="s">
        <v>673</v>
      </c>
      <c r="Q700" s="8">
        <v>839</v>
      </c>
      <c r="R700" s="7" t="s">
        <v>812</v>
      </c>
      <c r="S700" s="9">
        <v>12</v>
      </c>
      <c r="T700" s="9">
        <v>3214.29</v>
      </c>
      <c r="U700" s="9">
        <f t="shared" ref="U700" si="321">T700*S700</f>
        <v>38571.479999999996</v>
      </c>
      <c r="V700" s="9">
        <f t="shared" ref="V700" si="322">U700*1.12</f>
        <v>43200.0576</v>
      </c>
      <c r="W700" s="3"/>
      <c r="X700" s="2">
        <v>2016</v>
      </c>
      <c r="Y700" s="3"/>
    </row>
    <row r="701" spans="1:25" s="20" customFormat="1" ht="89.25" customHeight="1" outlineLevel="1" x14ac:dyDescent="0.25">
      <c r="A701" s="11"/>
      <c r="B701" s="2" t="s">
        <v>2136</v>
      </c>
      <c r="C701" s="3" t="s">
        <v>83</v>
      </c>
      <c r="D701" s="3" t="s">
        <v>2125</v>
      </c>
      <c r="E701" s="3" t="s">
        <v>965</v>
      </c>
      <c r="F701" s="3" t="s">
        <v>2126</v>
      </c>
      <c r="G701" s="19" t="s">
        <v>1358</v>
      </c>
      <c r="H701" s="2" t="s">
        <v>88</v>
      </c>
      <c r="I701" s="21">
        <v>0</v>
      </c>
      <c r="J701" s="5">
        <v>710000000</v>
      </c>
      <c r="K701" s="3" t="s">
        <v>89</v>
      </c>
      <c r="L701" s="2" t="s">
        <v>1466</v>
      </c>
      <c r="M701" s="6" t="s">
        <v>91</v>
      </c>
      <c r="N701" s="7" t="s">
        <v>92</v>
      </c>
      <c r="O701" s="7" t="s">
        <v>93</v>
      </c>
      <c r="P701" s="3" t="s">
        <v>673</v>
      </c>
      <c r="Q701" s="8">
        <v>796</v>
      </c>
      <c r="R701" s="7" t="s">
        <v>118</v>
      </c>
      <c r="S701" s="9">
        <v>1</v>
      </c>
      <c r="T701" s="9">
        <v>42857.14</v>
      </c>
      <c r="U701" s="9">
        <f t="shared" ref="U701" si="323">T701*S701</f>
        <v>42857.14</v>
      </c>
      <c r="V701" s="9">
        <f t="shared" ref="V701" si="324">U701*1.12</f>
        <v>47999.996800000001</v>
      </c>
      <c r="W701" s="3"/>
      <c r="X701" s="2">
        <v>2016</v>
      </c>
      <c r="Y701" s="3"/>
    </row>
    <row r="702" spans="1:25" s="20" customFormat="1" ht="89.25" customHeight="1" outlineLevel="1" x14ac:dyDescent="0.25">
      <c r="A702" s="11"/>
      <c r="B702" s="2" t="s">
        <v>2139</v>
      </c>
      <c r="C702" s="3" t="s">
        <v>83</v>
      </c>
      <c r="D702" s="3" t="s">
        <v>2129</v>
      </c>
      <c r="E702" s="3" t="s">
        <v>961</v>
      </c>
      <c r="F702" s="3" t="s">
        <v>2130</v>
      </c>
      <c r="G702" s="19" t="s">
        <v>1358</v>
      </c>
      <c r="H702" s="2" t="s">
        <v>88</v>
      </c>
      <c r="I702" s="21">
        <v>0</v>
      </c>
      <c r="J702" s="5">
        <v>710000000</v>
      </c>
      <c r="K702" s="3" t="s">
        <v>89</v>
      </c>
      <c r="L702" s="2" t="s">
        <v>1466</v>
      </c>
      <c r="M702" s="6" t="s">
        <v>91</v>
      </c>
      <c r="N702" s="7" t="s">
        <v>92</v>
      </c>
      <c r="O702" s="7" t="s">
        <v>93</v>
      </c>
      <c r="P702" s="3" t="s">
        <v>673</v>
      </c>
      <c r="Q702" s="8">
        <v>796</v>
      </c>
      <c r="R702" s="7" t="s">
        <v>118</v>
      </c>
      <c r="S702" s="9">
        <v>1</v>
      </c>
      <c r="T702" s="9">
        <v>53571.43</v>
      </c>
      <c r="U702" s="9">
        <f t="shared" ref="U702" si="325">T702*S702</f>
        <v>53571.43</v>
      </c>
      <c r="V702" s="9">
        <f t="shared" ref="V702" si="326">U702*1.12</f>
        <v>60000.001600000003</v>
      </c>
      <c r="W702" s="3"/>
      <c r="X702" s="2">
        <v>2016</v>
      </c>
      <c r="Y702" s="3"/>
    </row>
    <row r="703" spans="1:25" s="20" customFormat="1" ht="89.25" customHeight="1" outlineLevel="1" x14ac:dyDescent="0.25">
      <c r="A703" s="11"/>
      <c r="B703" s="2" t="s">
        <v>2141</v>
      </c>
      <c r="C703" s="3" t="s">
        <v>83</v>
      </c>
      <c r="D703" s="3" t="s">
        <v>2131</v>
      </c>
      <c r="E703" s="3" t="s">
        <v>887</v>
      </c>
      <c r="F703" s="3" t="s">
        <v>2132</v>
      </c>
      <c r="G703" s="19" t="s">
        <v>2137</v>
      </c>
      <c r="H703" s="2" t="s">
        <v>88</v>
      </c>
      <c r="I703" s="21">
        <v>0</v>
      </c>
      <c r="J703" s="5">
        <v>710000000</v>
      </c>
      <c r="K703" s="3" t="s">
        <v>89</v>
      </c>
      <c r="L703" s="2" t="s">
        <v>1466</v>
      </c>
      <c r="M703" s="6" t="s">
        <v>91</v>
      </c>
      <c r="N703" s="7" t="s">
        <v>92</v>
      </c>
      <c r="O703" s="7" t="s">
        <v>93</v>
      </c>
      <c r="P703" s="3" t="s">
        <v>673</v>
      </c>
      <c r="Q703" s="8">
        <v>796</v>
      </c>
      <c r="R703" s="7" t="s">
        <v>118</v>
      </c>
      <c r="S703" s="9">
        <v>6</v>
      </c>
      <c r="T703" s="9">
        <v>446.43</v>
      </c>
      <c r="U703" s="9">
        <f t="shared" ref="U703" si="327">T703*S703</f>
        <v>2678.58</v>
      </c>
      <c r="V703" s="9">
        <f t="shared" ref="V703" si="328">U703*1.12</f>
        <v>3000.0096000000003</v>
      </c>
      <c r="W703" s="3"/>
      <c r="X703" s="2">
        <v>2016</v>
      </c>
      <c r="Y703" s="3"/>
    </row>
    <row r="704" spans="1:25" s="20" customFormat="1" ht="89.25" customHeight="1" outlineLevel="1" x14ac:dyDescent="0.25">
      <c r="A704" s="11"/>
      <c r="B704" s="2" t="s">
        <v>2145</v>
      </c>
      <c r="C704" s="3" t="s">
        <v>83</v>
      </c>
      <c r="D704" s="3" t="s">
        <v>2134</v>
      </c>
      <c r="E704" s="3" t="s">
        <v>980</v>
      </c>
      <c r="F704" s="3" t="s">
        <v>2135</v>
      </c>
      <c r="G704" s="19" t="s">
        <v>2138</v>
      </c>
      <c r="H704" s="2" t="s">
        <v>88</v>
      </c>
      <c r="I704" s="21">
        <v>0</v>
      </c>
      <c r="J704" s="5">
        <v>710000000</v>
      </c>
      <c r="K704" s="3" t="s">
        <v>89</v>
      </c>
      <c r="L704" s="2" t="s">
        <v>1466</v>
      </c>
      <c r="M704" s="6" t="s">
        <v>91</v>
      </c>
      <c r="N704" s="7" t="s">
        <v>92</v>
      </c>
      <c r="O704" s="7" t="s">
        <v>93</v>
      </c>
      <c r="P704" s="3" t="s">
        <v>673</v>
      </c>
      <c r="Q704" s="8">
        <v>796</v>
      </c>
      <c r="R704" s="7" t="s">
        <v>118</v>
      </c>
      <c r="S704" s="9">
        <v>4</v>
      </c>
      <c r="T704" s="9">
        <v>1160.71</v>
      </c>
      <c r="U704" s="9">
        <f t="shared" ref="U704" si="329">T704*S704</f>
        <v>4642.84</v>
      </c>
      <c r="V704" s="9">
        <f t="shared" ref="V704" si="330">U704*1.12</f>
        <v>5199.9808000000003</v>
      </c>
      <c r="W704" s="3"/>
      <c r="X704" s="2">
        <v>2016</v>
      </c>
      <c r="Y704" s="3"/>
    </row>
    <row r="705" spans="1:25" s="20" customFormat="1" ht="89.25" customHeight="1" outlineLevel="1" x14ac:dyDescent="0.25">
      <c r="A705" s="11"/>
      <c r="B705" s="2" t="s">
        <v>2152</v>
      </c>
      <c r="C705" s="3" t="s">
        <v>83</v>
      </c>
      <c r="D705" s="3" t="s">
        <v>1367</v>
      </c>
      <c r="E705" s="3" t="s">
        <v>1368</v>
      </c>
      <c r="F705" s="3" t="s">
        <v>1369</v>
      </c>
      <c r="G705" s="19" t="s">
        <v>2140</v>
      </c>
      <c r="H705" s="2" t="s">
        <v>88</v>
      </c>
      <c r="I705" s="21">
        <v>0</v>
      </c>
      <c r="J705" s="5">
        <v>710000000</v>
      </c>
      <c r="K705" s="3" t="s">
        <v>89</v>
      </c>
      <c r="L705" s="2" t="s">
        <v>1466</v>
      </c>
      <c r="M705" s="6" t="s">
        <v>91</v>
      </c>
      <c r="N705" s="7" t="s">
        <v>92</v>
      </c>
      <c r="O705" s="7" t="s">
        <v>93</v>
      </c>
      <c r="P705" s="3" t="s">
        <v>673</v>
      </c>
      <c r="Q705" s="8">
        <v>796</v>
      </c>
      <c r="R705" s="7" t="s">
        <v>118</v>
      </c>
      <c r="S705" s="9">
        <v>2</v>
      </c>
      <c r="T705" s="9">
        <v>33928.57</v>
      </c>
      <c r="U705" s="9">
        <f t="shared" ref="U705" si="331">T705*S705</f>
        <v>67857.14</v>
      </c>
      <c r="V705" s="9">
        <f t="shared" ref="V705" si="332">U705*1.12</f>
        <v>75999.996800000008</v>
      </c>
      <c r="W705" s="3"/>
      <c r="X705" s="2">
        <v>2016</v>
      </c>
      <c r="Y705" s="3"/>
    </row>
    <row r="706" spans="1:25" s="20" customFormat="1" ht="89.25" customHeight="1" outlineLevel="1" x14ac:dyDescent="0.25">
      <c r="A706" s="11"/>
      <c r="B706" s="2" t="s">
        <v>2155</v>
      </c>
      <c r="C706" s="3" t="s">
        <v>83</v>
      </c>
      <c r="D706" s="3" t="s">
        <v>2142</v>
      </c>
      <c r="E706" s="3" t="s">
        <v>2143</v>
      </c>
      <c r="F706" s="3" t="s">
        <v>2144</v>
      </c>
      <c r="G706" s="19" t="s">
        <v>2140</v>
      </c>
      <c r="H706" s="2" t="s">
        <v>88</v>
      </c>
      <c r="I706" s="21">
        <v>0</v>
      </c>
      <c r="J706" s="5">
        <v>710000000</v>
      </c>
      <c r="K706" s="3" t="s">
        <v>89</v>
      </c>
      <c r="L706" s="2" t="s">
        <v>1466</v>
      </c>
      <c r="M706" s="6" t="s">
        <v>91</v>
      </c>
      <c r="N706" s="7" t="s">
        <v>92</v>
      </c>
      <c r="O706" s="7" t="s">
        <v>93</v>
      </c>
      <c r="P706" s="3" t="s">
        <v>673</v>
      </c>
      <c r="Q706" s="8">
        <v>796</v>
      </c>
      <c r="R706" s="7" t="s">
        <v>118</v>
      </c>
      <c r="S706" s="9">
        <v>1</v>
      </c>
      <c r="T706" s="9">
        <v>20089.29</v>
      </c>
      <c r="U706" s="9">
        <f t="shared" ref="U706" si="333">T706*S706</f>
        <v>20089.29</v>
      </c>
      <c r="V706" s="9">
        <f t="shared" ref="V706" si="334">U706*1.12</f>
        <v>22500.004800000002</v>
      </c>
      <c r="W706" s="3"/>
      <c r="X706" s="2">
        <v>2016</v>
      </c>
      <c r="Y706" s="3"/>
    </row>
    <row r="707" spans="1:25" s="20" customFormat="1" ht="89.25" customHeight="1" outlineLevel="1" x14ac:dyDescent="0.25">
      <c r="A707" s="11"/>
      <c r="B707" s="2" t="s">
        <v>2157</v>
      </c>
      <c r="C707" s="3" t="s">
        <v>83</v>
      </c>
      <c r="D707" s="3" t="s">
        <v>2146</v>
      </c>
      <c r="E707" s="3" t="s">
        <v>2147</v>
      </c>
      <c r="F707" s="3" t="s">
        <v>1305</v>
      </c>
      <c r="G707" s="19" t="s">
        <v>2148</v>
      </c>
      <c r="H707" s="2" t="s">
        <v>88</v>
      </c>
      <c r="I707" s="21">
        <v>0</v>
      </c>
      <c r="J707" s="5">
        <v>710000000</v>
      </c>
      <c r="K707" s="3" t="s">
        <v>89</v>
      </c>
      <c r="L707" s="2" t="s">
        <v>1466</v>
      </c>
      <c r="M707" s="6" t="s">
        <v>91</v>
      </c>
      <c r="N707" s="7" t="s">
        <v>92</v>
      </c>
      <c r="O707" s="7" t="s">
        <v>93</v>
      </c>
      <c r="P707" s="3" t="s">
        <v>673</v>
      </c>
      <c r="Q707" s="8">
        <v>796</v>
      </c>
      <c r="R707" s="7" t="s">
        <v>118</v>
      </c>
      <c r="S707" s="9">
        <v>1</v>
      </c>
      <c r="T707" s="9">
        <v>3571.43</v>
      </c>
      <c r="U707" s="9">
        <f t="shared" ref="U707" si="335">T707*S707</f>
        <v>3571.43</v>
      </c>
      <c r="V707" s="9">
        <f t="shared" ref="V707" si="336">U707*1.12</f>
        <v>4000.0016000000001</v>
      </c>
      <c r="W707" s="3"/>
      <c r="X707" s="2">
        <v>2016</v>
      </c>
      <c r="Y707" s="3"/>
    </row>
    <row r="708" spans="1:25" s="20" customFormat="1" ht="89.25" customHeight="1" outlineLevel="1" x14ac:dyDescent="0.25">
      <c r="A708" s="11"/>
      <c r="B708" s="2" t="s">
        <v>2158</v>
      </c>
      <c r="C708" s="3" t="s">
        <v>83</v>
      </c>
      <c r="D708" s="3" t="s">
        <v>2149</v>
      </c>
      <c r="E708" s="3" t="s">
        <v>818</v>
      </c>
      <c r="F708" s="3" t="s">
        <v>2150</v>
      </c>
      <c r="G708" s="19" t="s">
        <v>2151</v>
      </c>
      <c r="H708" s="2" t="s">
        <v>88</v>
      </c>
      <c r="I708" s="21">
        <v>0</v>
      </c>
      <c r="J708" s="5">
        <v>710000000</v>
      </c>
      <c r="K708" s="3" t="s">
        <v>89</v>
      </c>
      <c r="L708" s="2" t="s">
        <v>1466</v>
      </c>
      <c r="M708" s="6" t="s">
        <v>91</v>
      </c>
      <c r="N708" s="7" t="s">
        <v>92</v>
      </c>
      <c r="O708" s="7" t="s">
        <v>93</v>
      </c>
      <c r="P708" s="3" t="s">
        <v>673</v>
      </c>
      <c r="Q708" s="8">
        <v>796</v>
      </c>
      <c r="R708" s="7" t="s">
        <v>118</v>
      </c>
      <c r="S708" s="9">
        <v>2</v>
      </c>
      <c r="T708" s="9">
        <v>8482.14</v>
      </c>
      <c r="U708" s="9">
        <f t="shared" ref="U708" si="337">T708*S708</f>
        <v>16964.28</v>
      </c>
      <c r="V708" s="9">
        <f t="shared" ref="V708" si="338">U708*1.12</f>
        <v>18999.993600000002</v>
      </c>
      <c r="W708" s="3"/>
      <c r="X708" s="2">
        <v>2016</v>
      </c>
      <c r="Y708" s="3"/>
    </row>
    <row r="709" spans="1:25" s="20" customFormat="1" ht="89.25" customHeight="1" outlineLevel="1" x14ac:dyDescent="0.25">
      <c r="A709" s="11"/>
      <c r="B709" s="2" t="s">
        <v>2160</v>
      </c>
      <c r="C709" s="3" t="s">
        <v>83</v>
      </c>
      <c r="D709" s="3" t="s">
        <v>2153</v>
      </c>
      <c r="E709" s="3" t="s">
        <v>961</v>
      </c>
      <c r="F709" s="3" t="s">
        <v>2154</v>
      </c>
      <c r="G709" s="19" t="s">
        <v>2140</v>
      </c>
      <c r="H709" s="2" t="s">
        <v>88</v>
      </c>
      <c r="I709" s="21">
        <v>0</v>
      </c>
      <c r="J709" s="5">
        <v>710000000</v>
      </c>
      <c r="K709" s="3" t="s">
        <v>89</v>
      </c>
      <c r="L709" s="2" t="s">
        <v>1466</v>
      </c>
      <c r="M709" s="6" t="s">
        <v>91</v>
      </c>
      <c r="N709" s="7" t="s">
        <v>92</v>
      </c>
      <c r="O709" s="7" t="s">
        <v>93</v>
      </c>
      <c r="P709" s="3" t="s">
        <v>673</v>
      </c>
      <c r="Q709" s="8">
        <v>796</v>
      </c>
      <c r="R709" s="7" t="s">
        <v>118</v>
      </c>
      <c r="S709" s="9">
        <v>1</v>
      </c>
      <c r="T709" s="9">
        <v>9375</v>
      </c>
      <c r="U709" s="9">
        <f t="shared" ref="U709" si="339">T709*S709</f>
        <v>9375</v>
      </c>
      <c r="V709" s="9">
        <f t="shared" ref="V709" si="340">U709*1.12</f>
        <v>10500.000000000002</v>
      </c>
      <c r="W709" s="3"/>
      <c r="X709" s="2">
        <v>2016</v>
      </c>
      <c r="Y709" s="3"/>
    </row>
    <row r="710" spans="1:25" s="20" customFormat="1" ht="89.25" customHeight="1" outlineLevel="1" x14ac:dyDescent="0.25">
      <c r="A710" s="11"/>
      <c r="B710" s="2" t="s">
        <v>2162</v>
      </c>
      <c r="C710" s="3" t="s">
        <v>83</v>
      </c>
      <c r="D710" s="3" t="s">
        <v>809</v>
      </c>
      <c r="E710" s="3" t="s">
        <v>810</v>
      </c>
      <c r="F710" s="3" t="s">
        <v>811</v>
      </c>
      <c r="G710" s="19" t="s">
        <v>2156</v>
      </c>
      <c r="H710" s="2" t="s">
        <v>88</v>
      </c>
      <c r="I710" s="21">
        <v>0</v>
      </c>
      <c r="J710" s="5">
        <v>710000000</v>
      </c>
      <c r="K710" s="3" t="s">
        <v>89</v>
      </c>
      <c r="L710" s="2" t="s">
        <v>1466</v>
      </c>
      <c r="M710" s="6" t="s">
        <v>91</v>
      </c>
      <c r="N710" s="7" t="s">
        <v>92</v>
      </c>
      <c r="O710" s="7" t="s">
        <v>93</v>
      </c>
      <c r="P710" s="3" t="s">
        <v>673</v>
      </c>
      <c r="Q710" s="8">
        <v>839</v>
      </c>
      <c r="R710" s="7" t="s">
        <v>812</v>
      </c>
      <c r="S710" s="9">
        <v>1</v>
      </c>
      <c r="T710" s="9">
        <v>5357.14</v>
      </c>
      <c r="U710" s="9">
        <f t="shared" ref="U710" si="341">T710*S710</f>
        <v>5357.14</v>
      </c>
      <c r="V710" s="9">
        <f t="shared" ref="V710" si="342">U710*1.12</f>
        <v>5999.9968000000008</v>
      </c>
      <c r="W710" s="3"/>
      <c r="X710" s="2">
        <v>2016</v>
      </c>
      <c r="Y710" s="3"/>
    </row>
    <row r="711" spans="1:25" s="20" customFormat="1" ht="89.25" customHeight="1" outlineLevel="1" x14ac:dyDescent="0.25">
      <c r="A711" s="11"/>
      <c r="B711" s="2" t="s">
        <v>2163</v>
      </c>
      <c r="C711" s="3" t="s">
        <v>83</v>
      </c>
      <c r="D711" s="3" t="s">
        <v>814</v>
      </c>
      <c r="E711" s="3" t="s">
        <v>810</v>
      </c>
      <c r="F711" s="3" t="s">
        <v>815</v>
      </c>
      <c r="G711" s="19" t="s">
        <v>2156</v>
      </c>
      <c r="H711" s="2" t="s">
        <v>88</v>
      </c>
      <c r="I711" s="21">
        <v>0</v>
      </c>
      <c r="J711" s="5">
        <v>710000000</v>
      </c>
      <c r="K711" s="3" t="s">
        <v>89</v>
      </c>
      <c r="L711" s="2" t="s">
        <v>1466</v>
      </c>
      <c r="M711" s="6" t="s">
        <v>91</v>
      </c>
      <c r="N711" s="7" t="s">
        <v>92</v>
      </c>
      <c r="O711" s="7" t="s">
        <v>93</v>
      </c>
      <c r="P711" s="3" t="s">
        <v>673</v>
      </c>
      <c r="Q711" s="8">
        <v>839</v>
      </c>
      <c r="R711" s="7" t="s">
        <v>812</v>
      </c>
      <c r="S711" s="9">
        <v>1</v>
      </c>
      <c r="T711" s="9">
        <v>4285.71</v>
      </c>
      <c r="U711" s="9">
        <f t="shared" ref="U711" si="343">T711*S711</f>
        <v>4285.71</v>
      </c>
      <c r="V711" s="9">
        <f t="shared" ref="V711" si="344">U711*1.12</f>
        <v>4799.9952000000003</v>
      </c>
      <c r="W711" s="3"/>
      <c r="X711" s="2">
        <v>2016</v>
      </c>
      <c r="Y711" s="3"/>
    </row>
    <row r="712" spans="1:25" s="20" customFormat="1" ht="89.25" customHeight="1" outlineLevel="1" x14ac:dyDescent="0.25">
      <c r="A712" s="11"/>
      <c r="B712" s="2" t="s">
        <v>2165</v>
      </c>
      <c r="C712" s="3" t="s">
        <v>83</v>
      </c>
      <c r="D712" s="3" t="s">
        <v>2159</v>
      </c>
      <c r="E712" s="3" t="s">
        <v>806</v>
      </c>
      <c r="F712" s="3" t="s">
        <v>1028</v>
      </c>
      <c r="G712" s="19" t="s">
        <v>2156</v>
      </c>
      <c r="H712" s="2" t="s">
        <v>88</v>
      </c>
      <c r="I712" s="21">
        <v>0</v>
      </c>
      <c r="J712" s="5">
        <v>710000000</v>
      </c>
      <c r="K712" s="3" t="s">
        <v>89</v>
      </c>
      <c r="L712" s="2" t="s">
        <v>1466</v>
      </c>
      <c r="M712" s="6" t="s">
        <v>91</v>
      </c>
      <c r="N712" s="7" t="s">
        <v>92</v>
      </c>
      <c r="O712" s="7" t="s">
        <v>93</v>
      </c>
      <c r="P712" s="3" t="s">
        <v>673</v>
      </c>
      <c r="Q712" s="8">
        <v>839</v>
      </c>
      <c r="R712" s="7" t="s">
        <v>812</v>
      </c>
      <c r="S712" s="9">
        <v>4</v>
      </c>
      <c r="T712" s="9">
        <v>2500</v>
      </c>
      <c r="U712" s="9">
        <f t="shared" ref="U712:U713" si="345">T712*S712</f>
        <v>10000</v>
      </c>
      <c r="V712" s="9">
        <f t="shared" ref="V712:V713" si="346">U712*1.12</f>
        <v>11200.000000000002</v>
      </c>
      <c r="W712" s="3"/>
      <c r="X712" s="2">
        <v>2016</v>
      </c>
      <c r="Y712" s="3"/>
    </row>
    <row r="713" spans="1:25" s="11" customFormat="1" ht="89.25" customHeight="1" outlineLevel="1" x14ac:dyDescent="0.25">
      <c r="B713" s="2" t="s">
        <v>2168</v>
      </c>
      <c r="C713" s="3" t="s">
        <v>83</v>
      </c>
      <c r="D713" s="3" t="s">
        <v>1007</v>
      </c>
      <c r="E713" s="3" t="s">
        <v>980</v>
      </c>
      <c r="F713" s="3" t="s">
        <v>1008</v>
      </c>
      <c r="G713" s="19" t="s">
        <v>2161</v>
      </c>
      <c r="H713" s="19" t="s">
        <v>88</v>
      </c>
      <c r="I713" s="4">
        <v>0</v>
      </c>
      <c r="J713" s="5">
        <v>710000000</v>
      </c>
      <c r="K713" s="5" t="s">
        <v>89</v>
      </c>
      <c r="L713" s="5" t="s">
        <v>1466</v>
      </c>
      <c r="M713" s="6" t="s">
        <v>91</v>
      </c>
      <c r="N713" s="7" t="s">
        <v>92</v>
      </c>
      <c r="O713" s="7" t="s">
        <v>93</v>
      </c>
      <c r="P713" s="3" t="s">
        <v>673</v>
      </c>
      <c r="Q713" s="8">
        <v>796</v>
      </c>
      <c r="R713" s="7" t="s">
        <v>118</v>
      </c>
      <c r="S713" s="9">
        <v>1</v>
      </c>
      <c r="T713" s="9">
        <v>21428.57</v>
      </c>
      <c r="U713" s="9">
        <f t="shared" si="345"/>
        <v>21428.57</v>
      </c>
      <c r="V713" s="9">
        <f t="shared" si="346"/>
        <v>23999.9984</v>
      </c>
      <c r="W713" s="7"/>
      <c r="X713" s="2">
        <v>2016</v>
      </c>
      <c r="Y713" s="2"/>
    </row>
    <row r="714" spans="1:25" s="11" customFormat="1" ht="89.25" customHeight="1" outlineLevel="1" x14ac:dyDescent="0.25">
      <c r="B714" s="2" t="s">
        <v>2169</v>
      </c>
      <c r="C714" s="3" t="s">
        <v>83</v>
      </c>
      <c r="D714" s="3" t="s">
        <v>975</v>
      </c>
      <c r="E714" s="3" t="s">
        <v>976</v>
      </c>
      <c r="F714" s="3" t="s">
        <v>977</v>
      </c>
      <c r="G714" s="19" t="s">
        <v>2164</v>
      </c>
      <c r="H714" s="19" t="s">
        <v>88</v>
      </c>
      <c r="I714" s="4">
        <v>0</v>
      </c>
      <c r="J714" s="5">
        <v>710000000</v>
      </c>
      <c r="K714" s="5" t="s">
        <v>89</v>
      </c>
      <c r="L714" s="5" t="s">
        <v>1466</v>
      </c>
      <c r="M714" s="6" t="s">
        <v>91</v>
      </c>
      <c r="N714" s="7" t="s">
        <v>92</v>
      </c>
      <c r="O714" s="7" t="s">
        <v>93</v>
      </c>
      <c r="P714" s="3" t="s">
        <v>673</v>
      </c>
      <c r="Q714" s="8">
        <v>796</v>
      </c>
      <c r="R714" s="7" t="s">
        <v>118</v>
      </c>
      <c r="S714" s="9">
        <v>1</v>
      </c>
      <c r="T714" s="9">
        <v>3750</v>
      </c>
      <c r="U714" s="9">
        <f t="shared" ref="U714" si="347">T714*S714</f>
        <v>3750</v>
      </c>
      <c r="V714" s="9">
        <f t="shared" ref="V714" si="348">U714*1.12</f>
        <v>4200</v>
      </c>
      <c r="W714" s="7"/>
      <c r="X714" s="2">
        <v>2016</v>
      </c>
      <c r="Y714" s="2"/>
    </row>
    <row r="715" spans="1:25" s="11" customFormat="1" ht="89.25" customHeight="1" outlineLevel="1" x14ac:dyDescent="0.25">
      <c r="B715" s="2" t="s">
        <v>2173</v>
      </c>
      <c r="C715" s="3" t="s">
        <v>83</v>
      </c>
      <c r="D715" s="3" t="s">
        <v>2166</v>
      </c>
      <c r="E715" s="3" t="s">
        <v>980</v>
      </c>
      <c r="F715" s="3" t="s">
        <v>2167</v>
      </c>
      <c r="G715" s="19" t="s">
        <v>2156</v>
      </c>
      <c r="H715" s="19" t="s">
        <v>88</v>
      </c>
      <c r="I715" s="4">
        <v>0</v>
      </c>
      <c r="J715" s="5">
        <v>710000000</v>
      </c>
      <c r="K715" s="5" t="s">
        <v>89</v>
      </c>
      <c r="L715" s="5" t="s">
        <v>1466</v>
      </c>
      <c r="M715" s="6" t="s">
        <v>91</v>
      </c>
      <c r="N715" s="7" t="s">
        <v>92</v>
      </c>
      <c r="O715" s="7" t="s">
        <v>93</v>
      </c>
      <c r="P715" s="3" t="s">
        <v>673</v>
      </c>
      <c r="Q715" s="8">
        <v>796</v>
      </c>
      <c r="R715" s="7" t="s">
        <v>118</v>
      </c>
      <c r="S715" s="9">
        <v>1</v>
      </c>
      <c r="T715" s="9">
        <v>2678.57</v>
      </c>
      <c r="U715" s="9">
        <f t="shared" ref="U715" si="349">T715*S715</f>
        <v>2678.57</v>
      </c>
      <c r="V715" s="9">
        <f t="shared" ref="V715" si="350">U715*1.12</f>
        <v>2999.9984000000004</v>
      </c>
      <c r="W715" s="7"/>
      <c r="X715" s="2">
        <v>2016</v>
      </c>
      <c r="Y715" s="2"/>
    </row>
    <row r="716" spans="1:25" s="11" customFormat="1" ht="89.25" customHeight="1" outlineLevel="1" x14ac:dyDescent="0.25">
      <c r="B716" s="2" t="s">
        <v>2174</v>
      </c>
      <c r="C716" s="3" t="s">
        <v>83</v>
      </c>
      <c r="D716" s="3" t="s">
        <v>1098</v>
      </c>
      <c r="E716" s="3" t="s">
        <v>1095</v>
      </c>
      <c r="F716" s="3" t="s">
        <v>1099</v>
      </c>
      <c r="G716" s="19" t="s">
        <v>2156</v>
      </c>
      <c r="H716" s="19" t="s">
        <v>88</v>
      </c>
      <c r="I716" s="4">
        <v>0</v>
      </c>
      <c r="J716" s="5">
        <v>710000000</v>
      </c>
      <c r="K716" s="5" t="s">
        <v>89</v>
      </c>
      <c r="L716" s="5" t="s">
        <v>1466</v>
      </c>
      <c r="M716" s="6" t="s">
        <v>91</v>
      </c>
      <c r="N716" s="7" t="s">
        <v>92</v>
      </c>
      <c r="O716" s="7" t="s">
        <v>93</v>
      </c>
      <c r="P716" s="3" t="s">
        <v>673</v>
      </c>
      <c r="Q716" s="8">
        <v>796</v>
      </c>
      <c r="R716" s="7" t="s">
        <v>118</v>
      </c>
      <c r="S716" s="9">
        <v>2</v>
      </c>
      <c r="T716" s="9">
        <v>22321.43</v>
      </c>
      <c r="U716" s="9">
        <f t="shared" ref="U716" si="351">T716*S716</f>
        <v>44642.86</v>
      </c>
      <c r="V716" s="9">
        <f t="shared" ref="V716" si="352">U716*1.12</f>
        <v>50000.003200000006</v>
      </c>
      <c r="W716" s="7"/>
      <c r="X716" s="2">
        <v>2016</v>
      </c>
      <c r="Y716" s="2"/>
    </row>
    <row r="717" spans="1:25" s="11" customFormat="1" ht="89.25" customHeight="1" outlineLevel="1" x14ac:dyDescent="0.25">
      <c r="B717" s="2" t="s">
        <v>2179</v>
      </c>
      <c r="C717" s="3" t="s">
        <v>83</v>
      </c>
      <c r="D717" s="3" t="s">
        <v>2283</v>
      </c>
      <c r="E717" s="3" t="s">
        <v>1400</v>
      </c>
      <c r="F717" s="3" t="s">
        <v>2284</v>
      </c>
      <c r="G717" s="19" t="s">
        <v>2156</v>
      </c>
      <c r="H717" s="19" t="s">
        <v>88</v>
      </c>
      <c r="I717" s="4">
        <v>0</v>
      </c>
      <c r="J717" s="5">
        <v>710000000</v>
      </c>
      <c r="K717" s="5" t="s">
        <v>89</v>
      </c>
      <c r="L717" s="5" t="s">
        <v>1466</v>
      </c>
      <c r="M717" s="6" t="s">
        <v>91</v>
      </c>
      <c r="N717" s="7" t="s">
        <v>92</v>
      </c>
      <c r="O717" s="7" t="s">
        <v>93</v>
      </c>
      <c r="P717" s="3" t="s">
        <v>673</v>
      </c>
      <c r="Q717" s="8">
        <v>796</v>
      </c>
      <c r="R717" s="7" t="s">
        <v>118</v>
      </c>
      <c r="S717" s="9">
        <v>4</v>
      </c>
      <c r="T717" s="9">
        <v>16517.86</v>
      </c>
      <c r="U717" s="9">
        <f t="shared" ref="U717" si="353">T717*S717</f>
        <v>66071.44</v>
      </c>
      <c r="V717" s="9">
        <f t="shared" ref="V717" si="354">U717*1.12</f>
        <v>74000.012800000011</v>
      </c>
      <c r="W717" s="7"/>
      <c r="X717" s="2">
        <v>2016</v>
      </c>
      <c r="Y717" s="2"/>
    </row>
    <row r="718" spans="1:25" s="11" customFormat="1" ht="89.25" customHeight="1" outlineLevel="1" x14ac:dyDescent="0.25">
      <c r="B718" s="2" t="s">
        <v>2180</v>
      </c>
      <c r="C718" s="3" t="s">
        <v>83</v>
      </c>
      <c r="D718" s="3" t="s">
        <v>2285</v>
      </c>
      <c r="E718" s="3" t="s">
        <v>1400</v>
      </c>
      <c r="F718" s="3" t="s">
        <v>2286</v>
      </c>
      <c r="G718" s="19" t="s">
        <v>2156</v>
      </c>
      <c r="H718" s="19" t="s">
        <v>88</v>
      </c>
      <c r="I718" s="4">
        <v>0</v>
      </c>
      <c r="J718" s="5">
        <v>710000000</v>
      </c>
      <c r="K718" s="5" t="s">
        <v>89</v>
      </c>
      <c r="L718" s="5" t="s">
        <v>1466</v>
      </c>
      <c r="M718" s="6" t="s">
        <v>91</v>
      </c>
      <c r="N718" s="7" t="s">
        <v>92</v>
      </c>
      <c r="O718" s="7" t="s">
        <v>93</v>
      </c>
      <c r="P718" s="3" t="s">
        <v>673</v>
      </c>
      <c r="Q718" s="8">
        <v>796</v>
      </c>
      <c r="R718" s="7" t="s">
        <v>118</v>
      </c>
      <c r="S718" s="9">
        <v>4</v>
      </c>
      <c r="T718" s="9">
        <v>21026.79</v>
      </c>
      <c r="U718" s="9">
        <f>T718*S718</f>
        <v>84107.16</v>
      </c>
      <c r="V718" s="9">
        <f>U718*1.12</f>
        <v>94200.01920000001</v>
      </c>
      <c r="W718" s="7"/>
      <c r="X718" s="2">
        <v>2016</v>
      </c>
      <c r="Y718" s="2"/>
    </row>
    <row r="719" spans="1:25" s="11" customFormat="1" ht="89.25" customHeight="1" outlineLevel="1" x14ac:dyDescent="0.25">
      <c r="B719" s="2" t="s">
        <v>2188</v>
      </c>
      <c r="C719" s="3" t="s">
        <v>83</v>
      </c>
      <c r="D719" s="3" t="s">
        <v>2170</v>
      </c>
      <c r="E719" s="3" t="s">
        <v>825</v>
      </c>
      <c r="F719" s="3" t="s">
        <v>2171</v>
      </c>
      <c r="G719" s="19" t="s">
        <v>2172</v>
      </c>
      <c r="H719" s="19" t="s">
        <v>88</v>
      </c>
      <c r="I719" s="4">
        <v>0</v>
      </c>
      <c r="J719" s="5">
        <v>710000000</v>
      </c>
      <c r="K719" s="5" t="s">
        <v>89</v>
      </c>
      <c r="L719" s="5" t="s">
        <v>1466</v>
      </c>
      <c r="M719" s="6" t="s">
        <v>91</v>
      </c>
      <c r="N719" s="7" t="s">
        <v>92</v>
      </c>
      <c r="O719" s="7" t="s">
        <v>93</v>
      </c>
      <c r="P719" s="3" t="s">
        <v>673</v>
      </c>
      <c r="Q719" s="8">
        <v>796</v>
      </c>
      <c r="R719" s="7" t="s">
        <v>118</v>
      </c>
      <c r="S719" s="9">
        <v>2</v>
      </c>
      <c r="T719" s="9">
        <v>26785.71</v>
      </c>
      <c r="U719" s="9">
        <f t="shared" ref="U719" si="355">T719*S719</f>
        <v>53571.42</v>
      </c>
      <c r="V719" s="9">
        <f t="shared" ref="V719" si="356">U719*1.12</f>
        <v>59999.990400000002</v>
      </c>
      <c r="W719" s="7"/>
      <c r="X719" s="2">
        <v>2016</v>
      </c>
      <c r="Y719" s="2"/>
    </row>
    <row r="720" spans="1:25" s="11" customFormat="1" ht="89.25" customHeight="1" outlineLevel="1" x14ac:dyDescent="0.25">
      <c r="B720" s="2" t="s">
        <v>2189</v>
      </c>
      <c r="C720" s="3" t="s">
        <v>83</v>
      </c>
      <c r="D720" s="3" t="s">
        <v>2170</v>
      </c>
      <c r="E720" s="3" t="s">
        <v>825</v>
      </c>
      <c r="F720" s="3" t="s">
        <v>2171</v>
      </c>
      <c r="G720" s="19" t="s">
        <v>2175</v>
      </c>
      <c r="H720" s="19" t="s">
        <v>88</v>
      </c>
      <c r="I720" s="4">
        <v>0</v>
      </c>
      <c r="J720" s="5">
        <v>710000000</v>
      </c>
      <c r="K720" s="5" t="s">
        <v>89</v>
      </c>
      <c r="L720" s="5" t="s">
        <v>1466</v>
      </c>
      <c r="M720" s="6" t="s">
        <v>91</v>
      </c>
      <c r="N720" s="7" t="s">
        <v>92</v>
      </c>
      <c r="O720" s="7" t="s">
        <v>93</v>
      </c>
      <c r="P720" s="3" t="s">
        <v>673</v>
      </c>
      <c r="Q720" s="8">
        <v>796</v>
      </c>
      <c r="R720" s="7" t="s">
        <v>118</v>
      </c>
      <c r="S720" s="9">
        <v>2</v>
      </c>
      <c r="T720" s="9">
        <v>26785.71</v>
      </c>
      <c r="U720" s="9">
        <f t="shared" ref="U720" si="357">T720*S720</f>
        <v>53571.42</v>
      </c>
      <c r="V720" s="9">
        <f t="shared" ref="V720" si="358">U720*1.12</f>
        <v>59999.990400000002</v>
      </c>
      <c r="W720" s="7"/>
      <c r="X720" s="2">
        <v>2016</v>
      </c>
      <c r="Y720" s="2"/>
    </row>
    <row r="721" spans="2:25" s="11" customFormat="1" ht="89.25" customHeight="1" outlineLevel="1" x14ac:dyDescent="0.25">
      <c r="B721" s="2" t="s">
        <v>2197</v>
      </c>
      <c r="C721" s="3" t="s">
        <v>83</v>
      </c>
      <c r="D721" s="3" t="s">
        <v>2176</v>
      </c>
      <c r="E721" s="3" t="s">
        <v>810</v>
      </c>
      <c r="F721" s="3" t="s">
        <v>2177</v>
      </c>
      <c r="G721" s="19" t="s">
        <v>2178</v>
      </c>
      <c r="H721" s="19" t="s">
        <v>88</v>
      </c>
      <c r="I721" s="4">
        <v>0</v>
      </c>
      <c r="J721" s="5">
        <v>710000000</v>
      </c>
      <c r="K721" s="5" t="s">
        <v>89</v>
      </c>
      <c r="L721" s="5" t="s">
        <v>1466</v>
      </c>
      <c r="M721" s="6" t="s">
        <v>91</v>
      </c>
      <c r="N721" s="7" t="s">
        <v>92</v>
      </c>
      <c r="O721" s="7" t="s">
        <v>93</v>
      </c>
      <c r="P721" s="3" t="s">
        <v>673</v>
      </c>
      <c r="Q721" s="8">
        <v>839</v>
      </c>
      <c r="R721" s="7" t="s">
        <v>812</v>
      </c>
      <c r="S721" s="9">
        <v>2</v>
      </c>
      <c r="T721" s="9">
        <v>17410.71</v>
      </c>
      <c r="U721" s="9">
        <f t="shared" ref="U721" si="359">T721*S721</f>
        <v>34821.42</v>
      </c>
      <c r="V721" s="9">
        <f t="shared" ref="V721" si="360">U721*1.12</f>
        <v>38999.990400000002</v>
      </c>
      <c r="W721" s="7"/>
      <c r="X721" s="2">
        <v>2016</v>
      </c>
      <c r="Y721" s="2"/>
    </row>
    <row r="722" spans="2:25" s="11" customFormat="1" ht="89.25" customHeight="1" outlineLevel="1" x14ac:dyDescent="0.25">
      <c r="B722" s="2" t="s">
        <v>2198</v>
      </c>
      <c r="C722" s="3" t="s">
        <v>83</v>
      </c>
      <c r="D722" s="3" t="s">
        <v>2181</v>
      </c>
      <c r="E722" s="3" t="s">
        <v>1350</v>
      </c>
      <c r="F722" s="3" t="s">
        <v>2182</v>
      </c>
      <c r="G722" s="19" t="s">
        <v>2183</v>
      </c>
      <c r="H722" s="19" t="s">
        <v>88</v>
      </c>
      <c r="I722" s="4">
        <v>0</v>
      </c>
      <c r="J722" s="5">
        <v>710000000</v>
      </c>
      <c r="K722" s="5" t="s">
        <v>89</v>
      </c>
      <c r="L722" s="5" t="s">
        <v>1466</v>
      </c>
      <c r="M722" s="6" t="s">
        <v>91</v>
      </c>
      <c r="N722" s="7" t="s">
        <v>92</v>
      </c>
      <c r="O722" s="7" t="s">
        <v>93</v>
      </c>
      <c r="P722" s="3" t="s">
        <v>673</v>
      </c>
      <c r="Q722" s="8">
        <v>839</v>
      </c>
      <c r="R722" s="7" t="s">
        <v>812</v>
      </c>
      <c r="S722" s="9">
        <v>4</v>
      </c>
      <c r="T722" s="9">
        <v>6696.43</v>
      </c>
      <c r="U722" s="9">
        <f t="shared" ref="U722" si="361">T722*S722</f>
        <v>26785.72</v>
      </c>
      <c r="V722" s="9">
        <f t="shared" ref="V722" si="362">U722*1.12</f>
        <v>30000.006400000006</v>
      </c>
      <c r="W722" s="7"/>
      <c r="X722" s="2">
        <v>2016</v>
      </c>
      <c r="Y722" s="2"/>
    </row>
    <row r="723" spans="2:25" s="11" customFormat="1" ht="89.25" customHeight="1" outlineLevel="1" x14ac:dyDescent="0.25">
      <c r="B723" s="2" t="s">
        <v>2199</v>
      </c>
      <c r="C723" s="3" t="s">
        <v>83</v>
      </c>
      <c r="D723" s="3" t="s">
        <v>2184</v>
      </c>
      <c r="E723" s="3" t="s">
        <v>2185</v>
      </c>
      <c r="F723" s="3" t="s">
        <v>2186</v>
      </c>
      <c r="G723" s="19" t="s">
        <v>2187</v>
      </c>
      <c r="H723" s="19" t="s">
        <v>88</v>
      </c>
      <c r="I723" s="4">
        <v>0</v>
      </c>
      <c r="J723" s="5">
        <v>710000000</v>
      </c>
      <c r="K723" s="5" t="s">
        <v>89</v>
      </c>
      <c r="L723" s="5" t="s">
        <v>1466</v>
      </c>
      <c r="M723" s="6" t="s">
        <v>91</v>
      </c>
      <c r="N723" s="7" t="s">
        <v>92</v>
      </c>
      <c r="O723" s="7" t="s">
        <v>93</v>
      </c>
      <c r="P723" s="3" t="s">
        <v>673</v>
      </c>
      <c r="Q723" s="8">
        <v>796</v>
      </c>
      <c r="R723" s="7" t="s">
        <v>118</v>
      </c>
      <c r="S723" s="9">
        <v>1</v>
      </c>
      <c r="T723" s="9">
        <v>3571.43</v>
      </c>
      <c r="U723" s="9">
        <f t="shared" ref="U723" si="363">T723*S723</f>
        <v>3571.43</v>
      </c>
      <c r="V723" s="9">
        <f t="shared" ref="V723" si="364">U723*1.12</f>
        <v>4000.0016000000001</v>
      </c>
      <c r="W723" s="7"/>
      <c r="X723" s="2">
        <v>2016</v>
      </c>
      <c r="Y723" s="2"/>
    </row>
    <row r="724" spans="2:25" s="11" customFormat="1" ht="89.25" customHeight="1" outlineLevel="1" x14ac:dyDescent="0.25">
      <c r="B724" s="2" t="s">
        <v>2210</v>
      </c>
      <c r="C724" s="3" t="s">
        <v>83</v>
      </c>
      <c r="D724" s="3" t="s">
        <v>2190</v>
      </c>
      <c r="E724" s="3" t="s">
        <v>2191</v>
      </c>
      <c r="F724" s="3" t="s">
        <v>2192</v>
      </c>
      <c r="G724" s="19" t="s">
        <v>2193</v>
      </c>
      <c r="H724" s="19" t="s">
        <v>88</v>
      </c>
      <c r="I724" s="4">
        <v>0</v>
      </c>
      <c r="J724" s="5">
        <v>710000000</v>
      </c>
      <c r="K724" s="5" t="s">
        <v>89</v>
      </c>
      <c r="L724" s="5" t="s">
        <v>1466</v>
      </c>
      <c r="M724" s="6" t="s">
        <v>91</v>
      </c>
      <c r="N724" s="7" t="s">
        <v>92</v>
      </c>
      <c r="O724" s="7" t="s">
        <v>93</v>
      </c>
      <c r="P724" s="3" t="s">
        <v>673</v>
      </c>
      <c r="Q724" s="8">
        <v>796</v>
      </c>
      <c r="R724" s="7" t="s">
        <v>118</v>
      </c>
      <c r="S724" s="9">
        <v>2</v>
      </c>
      <c r="T724" s="9">
        <v>8035.71</v>
      </c>
      <c r="U724" s="9">
        <f t="shared" ref="U724" si="365">T724*S724</f>
        <v>16071.42</v>
      </c>
      <c r="V724" s="9">
        <f t="shared" ref="V724" si="366">U724*1.12</f>
        <v>17999.990400000002</v>
      </c>
      <c r="W724" s="7"/>
      <c r="X724" s="2">
        <v>2016</v>
      </c>
      <c r="Y724" s="2"/>
    </row>
    <row r="725" spans="2:25" s="11" customFormat="1" ht="89.25" customHeight="1" outlineLevel="1" x14ac:dyDescent="0.25">
      <c r="B725" s="2" t="s">
        <v>2211</v>
      </c>
      <c r="C725" s="3" t="s">
        <v>83</v>
      </c>
      <c r="D725" s="3" t="s">
        <v>2194</v>
      </c>
      <c r="E725" s="3" t="s">
        <v>1215</v>
      </c>
      <c r="F725" s="3" t="s">
        <v>2195</v>
      </c>
      <c r="G725" s="19" t="s">
        <v>2196</v>
      </c>
      <c r="H725" s="19" t="s">
        <v>88</v>
      </c>
      <c r="I725" s="4">
        <v>0</v>
      </c>
      <c r="J725" s="5">
        <v>710000000</v>
      </c>
      <c r="K725" s="5" t="s">
        <v>89</v>
      </c>
      <c r="L725" s="5" t="s">
        <v>1466</v>
      </c>
      <c r="M725" s="6" t="s">
        <v>91</v>
      </c>
      <c r="N725" s="7" t="s">
        <v>92</v>
      </c>
      <c r="O725" s="7" t="s">
        <v>93</v>
      </c>
      <c r="P725" s="3" t="s">
        <v>673</v>
      </c>
      <c r="Q725" s="8">
        <v>796</v>
      </c>
      <c r="R725" s="7" t="s">
        <v>118</v>
      </c>
      <c r="S725" s="9">
        <v>2</v>
      </c>
      <c r="T725" s="9">
        <v>8482.14</v>
      </c>
      <c r="U725" s="9">
        <f t="shared" ref="U725" si="367">T725*S725</f>
        <v>16964.28</v>
      </c>
      <c r="V725" s="9">
        <f t="shared" ref="V725" si="368">U725*1.12</f>
        <v>18999.993600000002</v>
      </c>
      <c r="W725" s="7"/>
      <c r="X725" s="2">
        <v>2016</v>
      </c>
      <c r="Y725" s="2"/>
    </row>
    <row r="726" spans="2:25" s="11" customFormat="1" ht="89.25" customHeight="1" outlineLevel="1" x14ac:dyDescent="0.25">
      <c r="B726" s="2" t="s">
        <v>2212</v>
      </c>
      <c r="C726" s="3" t="s">
        <v>83</v>
      </c>
      <c r="D726" s="3" t="s">
        <v>2200</v>
      </c>
      <c r="E726" s="3" t="s">
        <v>980</v>
      </c>
      <c r="F726" s="3" t="s">
        <v>2201</v>
      </c>
      <c r="G726" s="19" t="s">
        <v>2202</v>
      </c>
      <c r="H726" s="19" t="s">
        <v>88</v>
      </c>
      <c r="I726" s="4">
        <v>0</v>
      </c>
      <c r="J726" s="5">
        <v>710000000</v>
      </c>
      <c r="K726" s="5" t="s">
        <v>89</v>
      </c>
      <c r="L726" s="5" t="s">
        <v>1466</v>
      </c>
      <c r="M726" s="6" t="s">
        <v>91</v>
      </c>
      <c r="N726" s="7" t="s">
        <v>92</v>
      </c>
      <c r="O726" s="7" t="s">
        <v>93</v>
      </c>
      <c r="P726" s="3" t="s">
        <v>673</v>
      </c>
      <c r="Q726" s="8">
        <v>796</v>
      </c>
      <c r="R726" s="7" t="s">
        <v>118</v>
      </c>
      <c r="S726" s="9">
        <v>1</v>
      </c>
      <c r="T726" s="9">
        <v>1428.57</v>
      </c>
      <c r="U726" s="9">
        <f t="shared" ref="U726" si="369">T726*S726</f>
        <v>1428.57</v>
      </c>
      <c r="V726" s="9">
        <f t="shared" ref="V726" si="370">U726*1.12</f>
        <v>1599.9984000000002</v>
      </c>
      <c r="W726" s="7"/>
      <c r="X726" s="2">
        <v>2016</v>
      </c>
      <c r="Y726" s="2"/>
    </row>
    <row r="727" spans="2:25" s="11" customFormat="1" ht="89.25" customHeight="1" outlineLevel="1" x14ac:dyDescent="0.25">
      <c r="B727" s="2" t="s">
        <v>2216</v>
      </c>
      <c r="C727" s="3" t="s">
        <v>83</v>
      </c>
      <c r="D727" s="3" t="s">
        <v>2203</v>
      </c>
      <c r="E727" s="3" t="s">
        <v>980</v>
      </c>
      <c r="F727" s="3" t="s">
        <v>2204</v>
      </c>
      <c r="G727" s="19" t="s">
        <v>2202</v>
      </c>
      <c r="H727" s="19" t="s">
        <v>88</v>
      </c>
      <c r="I727" s="4">
        <v>0</v>
      </c>
      <c r="J727" s="5">
        <v>710000000</v>
      </c>
      <c r="K727" s="5" t="s">
        <v>89</v>
      </c>
      <c r="L727" s="5" t="s">
        <v>1466</v>
      </c>
      <c r="M727" s="6" t="s">
        <v>91</v>
      </c>
      <c r="N727" s="7" t="s">
        <v>92</v>
      </c>
      <c r="O727" s="7" t="s">
        <v>93</v>
      </c>
      <c r="P727" s="3" t="s">
        <v>673</v>
      </c>
      <c r="Q727" s="8">
        <v>796</v>
      </c>
      <c r="R727" s="7" t="s">
        <v>118</v>
      </c>
      <c r="S727" s="9">
        <v>1</v>
      </c>
      <c r="T727" s="9">
        <v>1964.29</v>
      </c>
      <c r="U727" s="9">
        <f t="shared" ref="U727" si="371">T727*S727</f>
        <v>1964.29</v>
      </c>
      <c r="V727" s="9">
        <f t="shared" ref="V727" si="372">U727*1.12</f>
        <v>2200.0048000000002</v>
      </c>
      <c r="W727" s="7"/>
      <c r="X727" s="2">
        <v>2016</v>
      </c>
      <c r="Y727" s="2"/>
    </row>
    <row r="728" spans="2:25" s="11" customFormat="1" ht="89.25" customHeight="1" outlineLevel="1" x14ac:dyDescent="0.25">
      <c r="B728" s="2" t="s">
        <v>2219</v>
      </c>
      <c r="C728" s="3" t="s">
        <v>83</v>
      </c>
      <c r="D728" s="3" t="s">
        <v>2205</v>
      </c>
      <c r="E728" s="3" t="s">
        <v>980</v>
      </c>
      <c r="F728" s="3" t="s">
        <v>2206</v>
      </c>
      <c r="G728" s="19" t="s">
        <v>2209</v>
      </c>
      <c r="H728" s="19" t="s">
        <v>88</v>
      </c>
      <c r="I728" s="4">
        <v>0</v>
      </c>
      <c r="J728" s="5">
        <v>710000000</v>
      </c>
      <c r="K728" s="5" t="s">
        <v>89</v>
      </c>
      <c r="L728" s="5" t="s">
        <v>1466</v>
      </c>
      <c r="M728" s="6" t="s">
        <v>91</v>
      </c>
      <c r="N728" s="7" t="s">
        <v>92</v>
      </c>
      <c r="O728" s="7" t="s">
        <v>93</v>
      </c>
      <c r="P728" s="3" t="s">
        <v>673</v>
      </c>
      <c r="Q728" s="8">
        <v>796</v>
      </c>
      <c r="R728" s="7" t="s">
        <v>118</v>
      </c>
      <c r="S728" s="9">
        <v>1</v>
      </c>
      <c r="T728" s="9">
        <v>4464.29</v>
      </c>
      <c r="U728" s="9">
        <f t="shared" ref="U728" si="373">T728*S728</f>
        <v>4464.29</v>
      </c>
      <c r="V728" s="9">
        <f t="shared" ref="V728" si="374">U728*1.12</f>
        <v>5000.0048000000006</v>
      </c>
      <c r="W728" s="7"/>
      <c r="X728" s="2">
        <v>2016</v>
      </c>
      <c r="Y728" s="2"/>
    </row>
    <row r="729" spans="2:25" s="11" customFormat="1" ht="89.25" customHeight="1" outlineLevel="1" x14ac:dyDescent="0.25">
      <c r="B729" s="2" t="s">
        <v>2220</v>
      </c>
      <c r="C729" s="3" t="s">
        <v>83</v>
      </c>
      <c r="D729" s="3" t="s">
        <v>2207</v>
      </c>
      <c r="E729" s="3" t="s">
        <v>980</v>
      </c>
      <c r="F729" s="3" t="s">
        <v>2208</v>
      </c>
      <c r="G729" s="19" t="s">
        <v>2202</v>
      </c>
      <c r="H729" s="19" t="s">
        <v>88</v>
      </c>
      <c r="I729" s="4">
        <v>0</v>
      </c>
      <c r="J729" s="5">
        <v>710000000</v>
      </c>
      <c r="K729" s="5" t="s">
        <v>89</v>
      </c>
      <c r="L729" s="5" t="s">
        <v>1466</v>
      </c>
      <c r="M729" s="6" t="s">
        <v>91</v>
      </c>
      <c r="N729" s="7" t="s">
        <v>92</v>
      </c>
      <c r="O729" s="7" t="s">
        <v>93</v>
      </c>
      <c r="P729" s="3" t="s">
        <v>673</v>
      </c>
      <c r="Q729" s="8">
        <v>796</v>
      </c>
      <c r="R729" s="7" t="s">
        <v>118</v>
      </c>
      <c r="S729" s="9">
        <v>1</v>
      </c>
      <c r="T729" s="9">
        <v>2857.14</v>
      </c>
      <c r="U729" s="9">
        <f t="shared" ref="U729" si="375">T729*S729</f>
        <v>2857.14</v>
      </c>
      <c r="V729" s="9">
        <f t="shared" ref="V729" si="376">U729*1.12</f>
        <v>3199.9968000000003</v>
      </c>
      <c r="W729" s="7"/>
      <c r="X729" s="2">
        <v>2016</v>
      </c>
      <c r="Y729" s="2"/>
    </row>
    <row r="730" spans="2:25" s="11" customFormat="1" ht="89.25" customHeight="1" outlineLevel="1" x14ac:dyDescent="0.25">
      <c r="B730" s="2" t="s">
        <v>2227</v>
      </c>
      <c r="C730" s="3" t="s">
        <v>83</v>
      </c>
      <c r="D730" s="3" t="s">
        <v>2213</v>
      </c>
      <c r="E730" s="3" t="s">
        <v>790</v>
      </c>
      <c r="F730" s="3" t="s">
        <v>2214</v>
      </c>
      <c r="G730" s="19" t="s">
        <v>2215</v>
      </c>
      <c r="H730" s="19" t="s">
        <v>88</v>
      </c>
      <c r="I730" s="4">
        <v>0</v>
      </c>
      <c r="J730" s="5">
        <v>710000000</v>
      </c>
      <c r="K730" s="5" t="s">
        <v>89</v>
      </c>
      <c r="L730" s="5" t="s">
        <v>1466</v>
      </c>
      <c r="M730" s="6" t="s">
        <v>91</v>
      </c>
      <c r="N730" s="7" t="s">
        <v>92</v>
      </c>
      <c r="O730" s="7" t="s">
        <v>93</v>
      </c>
      <c r="P730" s="3" t="s">
        <v>673</v>
      </c>
      <c r="Q730" s="8">
        <v>796</v>
      </c>
      <c r="R730" s="7" t="s">
        <v>118</v>
      </c>
      <c r="S730" s="9">
        <v>1</v>
      </c>
      <c r="T730" s="9">
        <v>1339.29</v>
      </c>
      <c r="U730" s="9">
        <f t="shared" ref="U730" si="377">T730*S730</f>
        <v>1339.29</v>
      </c>
      <c r="V730" s="9">
        <f t="shared" ref="V730" si="378">U730*1.12</f>
        <v>1500.0048000000002</v>
      </c>
      <c r="W730" s="7"/>
      <c r="X730" s="2">
        <v>2016</v>
      </c>
      <c r="Y730" s="2"/>
    </row>
    <row r="731" spans="2:25" s="11" customFormat="1" ht="89.25" customHeight="1" outlineLevel="1" x14ac:dyDescent="0.25">
      <c r="B731" s="2" t="s">
        <v>2228</v>
      </c>
      <c r="C731" s="3" t="s">
        <v>83</v>
      </c>
      <c r="D731" s="3" t="s">
        <v>921</v>
      </c>
      <c r="E731" s="3" t="s">
        <v>790</v>
      </c>
      <c r="F731" s="3" t="s">
        <v>922</v>
      </c>
      <c r="G731" s="19" t="s">
        <v>2217</v>
      </c>
      <c r="H731" s="19" t="s">
        <v>88</v>
      </c>
      <c r="I731" s="4">
        <v>0</v>
      </c>
      <c r="J731" s="5">
        <v>710000000</v>
      </c>
      <c r="K731" s="5" t="s">
        <v>89</v>
      </c>
      <c r="L731" s="5" t="s">
        <v>1466</v>
      </c>
      <c r="M731" s="6" t="s">
        <v>91</v>
      </c>
      <c r="N731" s="7" t="s">
        <v>92</v>
      </c>
      <c r="O731" s="7" t="s">
        <v>93</v>
      </c>
      <c r="P731" s="3" t="s">
        <v>673</v>
      </c>
      <c r="Q731" s="8">
        <v>796</v>
      </c>
      <c r="R731" s="7" t="s">
        <v>118</v>
      </c>
      <c r="S731" s="9">
        <v>1</v>
      </c>
      <c r="T731" s="9">
        <v>3125</v>
      </c>
      <c r="U731" s="9">
        <f t="shared" ref="U731" si="379">T731*S731</f>
        <v>3125</v>
      </c>
      <c r="V731" s="9">
        <f t="shared" ref="V731" si="380">U731*1.12</f>
        <v>3500.0000000000005</v>
      </c>
      <c r="W731" s="7"/>
      <c r="X731" s="2">
        <v>2016</v>
      </c>
      <c r="Y731" s="2"/>
    </row>
    <row r="732" spans="2:25" s="11" customFormat="1" ht="89.25" customHeight="1" outlineLevel="1" x14ac:dyDescent="0.25">
      <c r="B732" s="2" t="s">
        <v>2237</v>
      </c>
      <c r="C732" s="3" t="s">
        <v>83</v>
      </c>
      <c r="D732" s="3" t="s">
        <v>1190</v>
      </c>
      <c r="E732" s="3" t="s">
        <v>790</v>
      </c>
      <c r="F732" s="3" t="s">
        <v>1191</v>
      </c>
      <c r="G732" s="19" t="s">
        <v>2218</v>
      </c>
      <c r="H732" s="19" t="s">
        <v>88</v>
      </c>
      <c r="I732" s="4">
        <v>0</v>
      </c>
      <c r="J732" s="5">
        <v>710000000</v>
      </c>
      <c r="K732" s="5" t="s">
        <v>89</v>
      </c>
      <c r="L732" s="5" t="s">
        <v>1466</v>
      </c>
      <c r="M732" s="6" t="s">
        <v>91</v>
      </c>
      <c r="N732" s="7" t="s">
        <v>92</v>
      </c>
      <c r="O732" s="7" t="s">
        <v>93</v>
      </c>
      <c r="P732" s="3" t="s">
        <v>673</v>
      </c>
      <c r="Q732" s="8">
        <v>796</v>
      </c>
      <c r="R732" s="7" t="s">
        <v>118</v>
      </c>
      <c r="S732" s="9">
        <v>1</v>
      </c>
      <c r="T732" s="9">
        <v>10714.29</v>
      </c>
      <c r="U732" s="9">
        <f t="shared" ref="U732" si="381">T732*S732</f>
        <v>10714.29</v>
      </c>
      <c r="V732" s="9">
        <f t="shared" ref="V732" si="382">U732*1.12</f>
        <v>12000.004800000002</v>
      </c>
      <c r="W732" s="7"/>
      <c r="X732" s="2">
        <v>2016</v>
      </c>
      <c r="Y732" s="2"/>
    </row>
    <row r="733" spans="2:25" s="11" customFormat="1" ht="89.25" customHeight="1" outlineLevel="1" x14ac:dyDescent="0.25">
      <c r="B733" s="2" t="s">
        <v>2239</v>
      </c>
      <c r="C733" s="3" t="s">
        <v>83</v>
      </c>
      <c r="D733" s="3" t="s">
        <v>2221</v>
      </c>
      <c r="E733" s="3" t="s">
        <v>2077</v>
      </c>
      <c r="F733" s="3" t="s">
        <v>2222</v>
      </c>
      <c r="G733" s="19" t="s">
        <v>2223</v>
      </c>
      <c r="H733" s="19" t="s">
        <v>88</v>
      </c>
      <c r="I733" s="4">
        <v>0</v>
      </c>
      <c r="J733" s="5">
        <v>710000000</v>
      </c>
      <c r="K733" s="5" t="s">
        <v>89</v>
      </c>
      <c r="L733" s="5" t="s">
        <v>1466</v>
      </c>
      <c r="M733" s="6" t="s">
        <v>91</v>
      </c>
      <c r="N733" s="7" t="s">
        <v>92</v>
      </c>
      <c r="O733" s="7" t="s">
        <v>93</v>
      </c>
      <c r="P733" s="3" t="s">
        <v>673</v>
      </c>
      <c r="Q733" s="8">
        <v>796</v>
      </c>
      <c r="R733" s="7" t="s">
        <v>118</v>
      </c>
      <c r="S733" s="9">
        <v>1</v>
      </c>
      <c r="T733" s="9">
        <v>133928.57</v>
      </c>
      <c r="U733" s="9">
        <f t="shared" ref="U733" si="383">T733*S733</f>
        <v>133928.57</v>
      </c>
      <c r="V733" s="9">
        <f t="shared" ref="V733" si="384">U733*1.12</f>
        <v>149999.99840000001</v>
      </c>
      <c r="W733" s="7"/>
      <c r="X733" s="2">
        <v>2016</v>
      </c>
      <c r="Y733" s="2"/>
    </row>
    <row r="734" spans="2:25" s="11" customFormat="1" ht="89.25" customHeight="1" outlineLevel="1" x14ac:dyDescent="0.25">
      <c r="B734" s="2" t="s">
        <v>2241</v>
      </c>
      <c r="C734" s="3" t="s">
        <v>83</v>
      </c>
      <c r="D734" s="3" t="s">
        <v>2224</v>
      </c>
      <c r="E734" s="3" t="s">
        <v>876</v>
      </c>
      <c r="F734" s="3" t="s">
        <v>2225</v>
      </c>
      <c r="G734" s="19" t="s">
        <v>2226</v>
      </c>
      <c r="H734" s="19" t="s">
        <v>88</v>
      </c>
      <c r="I734" s="4">
        <v>0</v>
      </c>
      <c r="J734" s="5">
        <v>710000000</v>
      </c>
      <c r="K734" s="5" t="s">
        <v>89</v>
      </c>
      <c r="L734" s="5" t="s">
        <v>1466</v>
      </c>
      <c r="M734" s="6" t="s">
        <v>91</v>
      </c>
      <c r="N734" s="7" t="s">
        <v>92</v>
      </c>
      <c r="O734" s="7" t="s">
        <v>93</v>
      </c>
      <c r="P734" s="3" t="s">
        <v>673</v>
      </c>
      <c r="Q734" s="8">
        <v>796</v>
      </c>
      <c r="R734" s="7" t="s">
        <v>118</v>
      </c>
      <c r="S734" s="9">
        <v>4</v>
      </c>
      <c r="T734" s="9">
        <v>7142.86</v>
      </c>
      <c r="U734" s="9">
        <f t="shared" ref="U734" si="385">T734*S734</f>
        <v>28571.439999999999</v>
      </c>
      <c r="V734" s="9">
        <f t="shared" ref="V734" si="386">U734*1.12</f>
        <v>32000.0128</v>
      </c>
      <c r="W734" s="7"/>
      <c r="X734" s="2">
        <v>2016</v>
      </c>
      <c r="Y734" s="2"/>
    </row>
    <row r="735" spans="2:25" s="11" customFormat="1" ht="89.25" customHeight="1" outlineLevel="1" x14ac:dyDescent="0.25">
      <c r="B735" s="2" t="s">
        <v>2249</v>
      </c>
      <c r="C735" s="3" t="s">
        <v>83</v>
      </c>
      <c r="D735" s="3" t="s">
        <v>2229</v>
      </c>
      <c r="E735" s="3" t="s">
        <v>2230</v>
      </c>
      <c r="F735" s="3" t="s">
        <v>7698</v>
      </c>
      <c r="G735" s="19" t="s">
        <v>2231</v>
      </c>
      <c r="H735" s="19" t="s">
        <v>88</v>
      </c>
      <c r="I735" s="4">
        <v>0</v>
      </c>
      <c r="J735" s="5">
        <v>710000000</v>
      </c>
      <c r="K735" s="5" t="s">
        <v>89</v>
      </c>
      <c r="L735" s="5" t="s">
        <v>1466</v>
      </c>
      <c r="M735" s="6" t="s">
        <v>91</v>
      </c>
      <c r="N735" s="7" t="s">
        <v>92</v>
      </c>
      <c r="O735" s="7" t="s">
        <v>93</v>
      </c>
      <c r="P735" s="3" t="s">
        <v>673</v>
      </c>
      <c r="Q735" s="8">
        <v>796</v>
      </c>
      <c r="R735" s="7" t="s">
        <v>118</v>
      </c>
      <c r="S735" s="9">
        <v>2</v>
      </c>
      <c r="T735" s="9">
        <v>8928.57</v>
      </c>
      <c r="U735" s="9">
        <f t="shared" ref="U735" si="387">T735*S735</f>
        <v>17857.14</v>
      </c>
      <c r="V735" s="9">
        <f t="shared" ref="V735" si="388">U735*1.12</f>
        <v>19999.996800000001</v>
      </c>
      <c r="W735" s="7"/>
      <c r="X735" s="2">
        <v>2016</v>
      </c>
      <c r="Y735" s="2"/>
    </row>
    <row r="736" spans="2:25" s="11" customFormat="1" ht="89.25" customHeight="1" outlineLevel="1" x14ac:dyDescent="0.25">
      <c r="B736" s="2" t="s">
        <v>2251</v>
      </c>
      <c r="C736" s="3" t="s">
        <v>83</v>
      </c>
      <c r="D736" s="3" t="s">
        <v>2233</v>
      </c>
      <c r="E736" s="3" t="s">
        <v>2234</v>
      </c>
      <c r="F736" s="3" t="s">
        <v>2235</v>
      </c>
      <c r="G736" s="19" t="s">
        <v>2236</v>
      </c>
      <c r="H736" s="19" t="s">
        <v>88</v>
      </c>
      <c r="I736" s="4">
        <v>0</v>
      </c>
      <c r="J736" s="5">
        <v>710000000</v>
      </c>
      <c r="K736" s="5" t="s">
        <v>89</v>
      </c>
      <c r="L736" s="5" t="s">
        <v>1466</v>
      </c>
      <c r="M736" s="6" t="s">
        <v>91</v>
      </c>
      <c r="N736" s="7" t="s">
        <v>92</v>
      </c>
      <c r="O736" s="7" t="s">
        <v>93</v>
      </c>
      <c r="P736" s="3" t="s">
        <v>673</v>
      </c>
      <c r="Q736" s="8">
        <v>796</v>
      </c>
      <c r="R736" s="7" t="s">
        <v>118</v>
      </c>
      <c r="S736" s="9">
        <v>1</v>
      </c>
      <c r="T736" s="9">
        <v>16071.43</v>
      </c>
      <c r="U736" s="9">
        <f t="shared" ref="U736" si="389">T736*S736</f>
        <v>16071.43</v>
      </c>
      <c r="V736" s="9">
        <f t="shared" ref="V736" si="390">U736*1.12</f>
        <v>18000.001600000003</v>
      </c>
      <c r="W736" s="7"/>
      <c r="X736" s="2">
        <v>2016</v>
      </c>
      <c r="Y736" s="2"/>
    </row>
    <row r="737" spans="2:25" s="11" customFormat="1" ht="89.25" customHeight="1" outlineLevel="1" x14ac:dyDescent="0.25">
      <c r="B737" s="2" t="s">
        <v>2252</v>
      </c>
      <c r="C737" s="3" t="s">
        <v>83</v>
      </c>
      <c r="D737" s="3" t="s">
        <v>879</v>
      </c>
      <c r="E737" s="3" t="s">
        <v>880</v>
      </c>
      <c r="F737" s="3" t="s">
        <v>881</v>
      </c>
      <c r="G737" s="19" t="s">
        <v>2238</v>
      </c>
      <c r="H737" s="19" t="s">
        <v>88</v>
      </c>
      <c r="I737" s="4">
        <v>0</v>
      </c>
      <c r="J737" s="5">
        <v>710000000</v>
      </c>
      <c r="K737" s="5" t="s">
        <v>89</v>
      </c>
      <c r="L737" s="5" t="s">
        <v>1466</v>
      </c>
      <c r="M737" s="6" t="s">
        <v>91</v>
      </c>
      <c r="N737" s="7" t="s">
        <v>92</v>
      </c>
      <c r="O737" s="7" t="s">
        <v>93</v>
      </c>
      <c r="P737" s="3" t="s">
        <v>673</v>
      </c>
      <c r="Q737" s="8">
        <v>796</v>
      </c>
      <c r="R737" s="7" t="s">
        <v>118</v>
      </c>
      <c r="S737" s="9">
        <v>2</v>
      </c>
      <c r="T737" s="9">
        <v>4464.29</v>
      </c>
      <c r="U737" s="9">
        <f t="shared" ref="U737" si="391">T737*S737</f>
        <v>8928.58</v>
      </c>
      <c r="V737" s="9">
        <f t="shared" ref="V737" si="392">U737*1.12</f>
        <v>10000.009600000001</v>
      </c>
      <c r="W737" s="7"/>
      <c r="X737" s="2">
        <v>2016</v>
      </c>
      <c r="Y737" s="2"/>
    </row>
    <row r="738" spans="2:25" s="11" customFormat="1" ht="89.25" customHeight="1" outlineLevel="1" x14ac:dyDescent="0.25">
      <c r="B738" s="2" t="s">
        <v>2253</v>
      </c>
      <c r="C738" s="3" t="s">
        <v>83</v>
      </c>
      <c r="D738" s="3" t="s">
        <v>879</v>
      </c>
      <c r="E738" s="3" t="s">
        <v>880</v>
      </c>
      <c r="F738" s="3" t="s">
        <v>881</v>
      </c>
      <c r="G738" s="19" t="s">
        <v>2240</v>
      </c>
      <c r="H738" s="19" t="s">
        <v>88</v>
      </c>
      <c r="I738" s="4">
        <v>0</v>
      </c>
      <c r="J738" s="5">
        <v>710000000</v>
      </c>
      <c r="K738" s="5" t="s">
        <v>89</v>
      </c>
      <c r="L738" s="5" t="s">
        <v>1466</v>
      </c>
      <c r="M738" s="6" t="s">
        <v>91</v>
      </c>
      <c r="N738" s="7" t="s">
        <v>92</v>
      </c>
      <c r="O738" s="7" t="s">
        <v>93</v>
      </c>
      <c r="P738" s="3" t="s">
        <v>673</v>
      </c>
      <c r="Q738" s="8">
        <v>796</v>
      </c>
      <c r="R738" s="7" t="s">
        <v>118</v>
      </c>
      <c r="S738" s="9">
        <v>2</v>
      </c>
      <c r="T738" s="9">
        <v>4017.86</v>
      </c>
      <c r="U738" s="9">
        <f t="shared" ref="U738" si="393">T738*S738</f>
        <v>8035.72</v>
      </c>
      <c r="V738" s="9">
        <f t="shared" ref="V738" si="394">U738*1.12</f>
        <v>9000.006400000002</v>
      </c>
      <c r="W738" s="7"/>
      <c r="X738" s="2">
        <v>2016</v>
      </c>
      <c r="Y738" s="2"/>
    </row>
    <row r="739" spans="2:25" s="11" customFormat="1" ht="89.25" customHeight="1" outlineLevel="1" x14ac:dyDescent="0.25">
      <c r="B739" s="2" t="s">
        <v>2259</v>
      </c>
      <c r="C739" s="3" t="s">
        <v>83</v>
      </c>
      <c r="D739" s="3" t="s">
        <v>2242</v>
      </c>
      <c r="E739" s="3" t="s">
        <v>2055</v>
      </c>
      <c r="F739" s="3" t="s">
        <v>2243</v>
      </c>
      <c r="G739" s="19" t="s">
        <v>2244</v>
      </c>
      <c r="H739" s="19" t="s">
        <v>88</v>
      </c>
      <c r="I739" s="4">
        <v>0</v>
      </c>
      <c r="J739" s="5">
        <v>710000000</v>
      </c>
      <c r="K739" s="5" t="s">
        <v>89</v>
      </c>
      <c r="L739" s="5" t="s">
        <v>1466</v>
      </c>
      <c r="M739" s="6" t="s">
        <v>91</v>
      </c>
      <c r="N739" s="7" t="s">
        <v>92</v>
      </c>
      <c r="O739" s="7" t="s">
        <v>93</v>
      </c>
      <c r="P739" s="3" t="s">
        <v>673</v>
      </c>
      <c r="Q739" s="8">
        <v>796</v>
      </c>
      <c r="R739" s="7" t="s">
        <v>118</v>
      </c>
      <c r="S739" s="9">
        <v>1</v>
      </c>
      <c r="T739" s="9">
        <v>16071.43</v>
      </c>
      <c r="U739" s="9">
        <f t="shared" ref="U739" si="395">T739*S739</f>
        <v>16071.43</v>
      </c>
      <c r="V739" s="9">
        <f t="shared" ref="V739" si="396">U739*1.12</f>
        <v>18000.001600000003</v>
      </c>
      <c r="W739" s="7"/>
      <c r="X739" s="2">
        <v>2016</v>
      </c>
      <c r="Y739" s="2"/>
    </row>
    <row r="740" spans="2:25" s="11" customFormat="1" ht="89.25" customHeight="1" outlineLevel="1" x14ac:dyDescent="0.25">
      <c r="B740" s="2" t="s">
        <v>2260</v>
      </c>
      <c r="C740" s="3" t="s">
        <v>83</v>
      </c>
      <c r="D740" s="3" t="s">
        <v>2245</v>
      </c>
      <c r="E740" s="3" t="s">
        <v>2246</v>
      </c>
      <c r="F740" s="3" t="s">
        <v>2247</v>
      </c>
      <c r="G740" s="19" t="s">
        <v>2248</v>
      </c>
      <c r="H740" s="19" t="s">
        <v>88</v>
      </c>
      <c r="I740" s="4">
        <v>0</v>
      </c>
      <c r="J740" s="5">
        <v>710000000</v>
      </c>
      <c r="K740" s="5" t="s">
        <v>89</v>
      </c>
      <c r="L740" s="5" t="s">
        <v>1466</v>
      </c>
      <c r="M740" s="6" t="s">
        <v>91</v>
      </c>
      <c r="N740" s="7" t="s">
        <v>92</v>
      </c>
      <c r="O740" s="7" t="s">
        <v>93</v>
      </c>
      <c r="P740" s="3" t="s">
        <v>673</v>
      </c>
      <c r="Q740" s="8">
        <v>796</v>
      </c>
      <c r="R740" s="7" t="s">
        <v>118</v>
      </c>
      <c r="S740" s="9">
        <v>1</v>
      </c>
      <c r="T740" s="9">
        <v>24553.57</v>
      </c>
      <c r="U740" s="9">
        <f t="shared" ref="U740" si="397">T740*S740</f>
        <v>24553.57</v>
      </c>
      <c r="V740" s="9">
        <f t="shared" ref="V740" si="398">U740*1.12</f>
        <v>27499.998400000004</v>
      </c>
      <c r="W740" s="7"/>
      <c r="X740" s="2">
        <v>2016</v>
      </c>
      <c r="Y740" s="2"/>
    </row>
    <row r="741" spans="2:25" s="11" customFormat="1" ht="89.25" customHeight="1" outlineLevel="1" x14ac:dyDescent="0.25">
      <c r="B741" s="2" t="s">
        <v>2268</v>
      </c>
      <c r="C741" s="3" t="s">
        <v>83</v>
      </c>
      <c r="D741" s="3" t="s">
        <v>1098</v>
      </c>
      <c r="E741" s="3" t="s">
        <v>1095</v>
      </c>
      <c r="F741" s="3" t="s">
        <v>1099</v>
      </c>
      <c r="G741" s="19" t="s">
        <v>2250</v>
      </c>
      <c r="H741" s="19" t="s">
        <v>88</v>
      </c>
      <c r="I741" s="4">
        <v>0</v>
      </c>
      <c r="J741" s="5">
        <v>710000000</v>
      </c>
      <c r="K741" s="5" t="s">
        <v>89</v>
      </c>
      <c r="L741" s="5" t="s">
        <v>1466</v>
      </c>
      <c r="M741" s="6" t="s">
        <v>91</v>
      </c>
      <c r="N741" s="7" t="s">
        <v>92</v>
      </c>
      <c r="O741" s="7" t="s">
        <v>93</v>
      </c>
      <c r="P741" s="3" t="s">
        <v>673</v>
      </c>
      <c r="Q741" s="8">
        <v>796</v>
      </c>
      <c r="R741" s="7" t="s">
        <v>118</v>
      </c>
      <c r="S741" s="9">
        <v>2</v>
      </c>
      <c r="T741" s="9">
        <v>15625</v>
      </c>
      <c r="U741" s="9">
        <f t="shared" ref="U741" si="399">T741*S741</f>
        <v>31250</v>
      </c>
      <c r="V741" s="9">
        <f t="shared" ref="V741" si="400">U741*1.12</f>
        <v>35000</v>
      </c>
      <c r="W741" s="7"/>
      <c r="X741" s="2">
        <v>2016</v>
      </c>
      <c r="Y741" s="2"/>
    </row>
    <row r="742" spans="2:25" s="11" customFormat="1" ht="89.25" customHeight="1" outlineLevel="1" x14ac:dyDescent="0.25">
      <c r="B742" s="2" t="s">
        <v>2269</v>
      </c>
      <c r="C742" s="3" t="s">
        <v>83</v>
      </c>
      <c r="D742" s="3" t="s">
        <v>1094</v>
      </c>
      <c r="E742" s="3" t="s">
        <v>1095</v>
      </c>
      <c r="F742" s="3" t="s">
        <v>1096</v>
      </c>
      <c r="G742" s="19" t="s">
        <v>2250</v>
      </c>
      <c r="H742" s="19" t="s">
        <v>88</v>
      </c>
      <c r="I742" s="4">
        <v>0</v>
      </c>
      <c r="J742" s="5">
        <v>710000000</v>
      </c>
      <c r="K742" s="5" t="s">
        <v>89</v>
      </c>
      <c r="L742" s="5" t="s">
        <v>1466</v>
      </c>
      <c r="M742" s="6" t="s">
        <v>91</v>
      </c>
      <c r="N742" s="7" t="s">
        <v>92</v>
      </c>
      <c r="O742" s="7" t="s">
        <v>93</v>
      </c>
      <c r="P742" s="3" t="s">
        <v>673</v>
      </c>
      <c r="Q742" s="8">
        <v>796</v>
      </c>
      <c r="R742" s="7" t="s">
        <v>118</v>
      </c>
      <c r="S742" s="9">
        <v>2</v>
      </c>
      <c r="T742" s="9">
        <v>11607.14</v>
      </c>
      <c r="U742" s="9">
        <f t="shared" ref="U742:U744" si="401">T742*S742</f>
        <v>23214.28</v>
      </c>
      <c r="V742" s="9">
        <f t="shared" ref="V742:V744" si="402">U742*1.12</f>
        <v>25999.993600000002</v>
      </c>
      <c r="W742" s="7"/>
      <c r="X742" s="2">
        <v>2016</v>
      </c>
      <c r="Y742" s="2"/>
    </row>
    <row r="743" spans="2:25" s="11" customFormat="1" ht="89.25" customHeight="1" outlineLevel="1" x14ac:dyDescent="0.25">
      <c r="B743" s="2" t="s">
        <v>2270</v>
      </c>
      <c r="C743" s="3" t="s">
        <v>83</v>
      </c>
      <c r="D743" s="3" t="s">
        <v>2289</v>
      </c>
      <c r="E743" s="3" t="s">
        <v>1400</v>
      </c>
      <c r="F743" s="3" t="s">
        <v>2290</v>
      </c>
      <c r="G743" s="19" t="s">
        <v>2232</v>
      </c>
      <c r="H743" s="19" t="s">
        <v>88</v>
      </c>
      <c r="I743" s="4">
        <v>0</v>
      </c>
      <c r="J743" s="5">
        <v>710000000</v>
      </c>
      <c r="K743" s="5" t="s">
        <v>89</v>
      </c>
      <c r="L743" s="5" t="s">
        <v>1466</v>
      </c>
      <c r="M743" s="6" t="s">
        <v>91</v>
      </c>
      <c r="N743" s="7" t="s">
        <v>92</v>
      </c>
      <c r="O743" s="7" t="s">
        <v>93</v>
      </c>
      <c r="P743" s="3" t="s">
        <v>673</v>
      </c>
      <c r="Q743" s="8">
        <v>796</v>
      </c>
      <c r="R743" s="7" t="s">
        <v>118</v>
      </c>
      <c r="S743" s="9">
        <v>4</v>
      </c>
      <c r="T743" s="9">
        <v>18660.71</v>
      </c>
      <c r="U743" s="9">
        <f t="shared" ref="U743" si="403">T743*S743</f>
        <v>74642.84</v>
      </c>
      <c r="V743" s="9">
        <f t="shared" ref="V743" si="404">U743*1.12</f>
        <v>83599.980800000005</v>
      </c>
      <c r="W743" s="7"/>
      <c r="X743" s="2">
        <v>2016</v>
      </c>
      <c r="Y743" s="2"/>
    </row>
    <row r="744" spans="2:25" s="11" customFormat="1" ht="89.25" customHeight="1" outlineLevel="1" x14ac:dyDescent="0.25">
      <c r="B744" s="2" t="s">
        <v>2277</v>
      </c>
      <c r="C744" s="3" t="s">
        <v>83</v>
      </c>
      <c r="D744" s="3" t="s">
        <v>2254</v>
      </c>
      <c r="E744" s="3" t="s">
        <v>2255</v>
      </c>
      <c r="F744" s="3" t="s">
        <v>2256</v>
      </c>
      <c r="G744" s="19" t="s">
        <v>2257</v>
      </c>
      <c r="H744" s="19" t="s">
        <v>88</v>
      </c>
      <c r="I744" s="4">
        <v>0</v>
      </c>
      <c r="J744" s="5">
        <v>710000000</v>
      </c>
      <c r="K744" s="5" t="s">
        <v>89</v>
      </c>
      <c r="L744" s="5" t="s">
        <v>1466</v>
      </c>
      <c r="M744" s="6" t="s">
        <v>91</v>
      </c>
      <c r="N744" s="7" t="s">
        <v>92</v>
      </c>
      <c r="O744" s="7" t="s">
        <v>93</v>
      </c>
      <c r="P744" s="3" t="s">
        <v>673</v>
      </c>
      <c r="Q744" s="8">
        <v>796</v>
      </c>
      <c r="R744" s="7" t="s">
        <v>118</v>
      </c>
      <c r="S744" s="9">
        <v>4</v>
      </c>
      <c r="T744" s="9">
        <v>4007.25</v>
      </c>
      <c r="U744" s="9">
        <f t="shared" si="401"/>
        <v>16029</v>
      </c>
      <c r="V744" s="9">
        <f t="shared" si="402"/>
        <v>17952.480000000003</v>
      </c>
      <c r="W744" s="7"/>
      <c r="X744" s="2">
        <v>2016</v>
      </c>
      <c r="Y744" s="2"/>
    </row>
    <row r="745" spans="2:25" s="11" customFormat="1" ht="89.25" customHeight="1" outlineLevel="1" x14ac:dyDescent="0.25">
      <c r="B745" s="2" t="s">
        <v>2278</v>
      </c>
      <c r="C745" s="3" t="s">
        <v>83</v>
      </c>
      <c r="D745" s="3" t="s">
        <v>2254</v>
      </c>
      <c r="E745" s="3" t="s">
        <v>2255</v>
      </c>
      <c r="F745" s="3" t="s">
        <v>2256</v>
      </c>
      <c r="G745" s="19" t="s">
        <v>2258</v>
      </c>
      <c r="H745" s="19" t="s">
        <v>88</v>
      </c>
      <c r="I745" s="4">
        <v>0</v>
      </c>
      <c r="J745" s="5">
        <v>710000000</v>
      </c>
      <c r="K745" s="5" t="s">
        <v>89</v>
      </c>
      <c r="L745" s="5" t="s">
        <v>1466</v>
      </c>
      <c r="M745" s="6" t="s">
        <v>91</v>
      </c>
      <c r="N745" s="7" t="s">
        <v>92</v>
      </c>
      <c r="O745" s="7" t="s">
        <v>93</v>
      </c>
      <c r="P745" s="3" t="s">
        <v>673</v>
      </c>
      <c r="Q745" s="8">
        <v>796</v>
      </c>
      <c r="R745" s="7" t="s">
        <v>118</v>
      </c>
      <c r="S745" s="9">
        <v>4</v>
      </c>
      <c r="T745" s="9">
        <v>4007.25</v>
      </c>
      <c r="U745" s="9">
        <f t="shared" ref="U745:U746" si="405">T745*S745</f>
        <v>16029</v>
      </c>
      <c r="V745" s="9">
        <f t="shared" ref="V745:V746" si="406">U745*1.12</f>
        <v>17952.480000000003</v>
      </c>
      <c r="W745" s="7"/>
      <c r="X745" s="2">
        <v>2016</v>
      </c>
      <c r="Y745" s="2"/>
    </row>
    <row r="746" spans="2:25" s="11" customFormat="1" ht="89.25" customHeight="1" outlineLevel="1" x14ac:dyDescent="0.25">
      <c r="B746" s="2" t="s">
        <v>2280</v>
      </c>
      <c r="C746" s="3" t="s">
        <v>83</v>
      </c>
      <c r="D746" s="3" t="s">
        <v>2261</v>
      </c>
      <c r="E746" s="3" t="s">
        <v>980</v>
      </c>
      <c r="F746" s="3" t="s">
        <v>2262</v>
      </c>
      <c r="G746" s="19" t="s">
        <v>2320</v>
      </c>
      <c r="H746" s="19" t="s">
        <v>88</v>
      </c>
      <c r="I746" s="4">
        <v>0</v>
      </c>
      <c r="J746" s="5">
        <v>710000000</v>
      </c>
      <c r="K746" s="5" t="s">
        <v>89</v>
      </c>
      <c r="L746" s="5" t="s">
        <v>1466</v>
      </c>
      <c r="M746" s="6" t="s">
        <v>91</v>
      </c>
      <c r="N746" s="7" t="s">
        <v>92</v>
      </c>
      <c r="O746" s="7" t="s">
        <v>93</v>
      </c>
      <c r="P746" s="3" t="s">
        <v>673</v>
      </c>
      <c r="Q746" s="8">
        <v>796</v>
      </c>
      <c r="R746" s="7" t="s">
        <v>118</v>
      </c>
      <c r="S746" s="9">
        <v>4</v>
      </c>
      <c r="T746" s="9">
        <v>30000</v>
      </c>
      <c r="U746" s="9">
        <f t="shared" si="405"/>
        <v>120000</v>
      </c>
      <c r="V746" s="9">
        <f t="shared" si="406"/>
        <v>134400</v>
      </c>
      <c r="W746" s="7"/>
      <c r="X746" s="2">
        <v>2016</v>
      </c>
      <c r="Y746" s="2"/>
    </row>
    <row r="747" spans="2:25" s="11" customFormat="1" ht="89.25" customHeight="1" outlineLevel="1" x14ac:dyDescent="0.25">
      <c r="B747" s="2" t="s">
        <v>2281</v>
      </c>
      <c r="C747" s="3" t="s">
        <v>83</v>
      </c>
      <c r="D747" s="3" t="s">
        <v>1027</v>
      </c>
      <c r="E747" s="3" t="s">
        <v>806</v>
      </c>
      <c r="F747" s="3" t="s">
        <v>1028</v>
      </c>
      <c r="G747" s="19" t="s">
        <v>2263</v>
      </c>
      <c r="H747" s="19" t="s">
        <v>88</v>
      </c>
      <c r="I747" s="4">
        <v>0</v>
      </c>
      <c r="J747" s="5">
        <v>710000000</v>
      </c>
      <c r="K747" s="5" t="s">
        <v>89</v>
      </c>
      <c r="L747" s="5" t="s">
        <v>1466</v>
      </c>
      <c r="M747" s="6" t="s">
        <v>91</v>
      </c>
      <c r="N747" s="7" t="s">
        <v>92</v>
      </c>
      <c r="O747" s="7" t="s">
        <v>93</v>
      </c>
      <c r="P747" s="3" t="s">
        <v>673</v>
      </c>
      <c r="Q747" s="8">
        <v>796</v>
      </c>
      <c r="R747" s="7" t="s">
        <v>118</v>
      </c>
      <c r="S747" s="9">
        <v>10</v>
      </c>
      <c r="T747" s="9">
        <v>1373.9</v>
      </c>
      <c r="U747" s="9">
        <f t="shared" ref="U747" si="407">T747*S747</f>
        <v>13739</v>
      </c>
      <c r="V747" s="9">
        <f t="shared" ref="V747" si="408">U747*1.12</f>
        <v>15387.680000000002</v>
      </c>
      <c r="W747" s="7"/>
      <c r="X747" s="2">
        <v>2016</v>
      </c>
      <c r="Y747" s="2"/>
    </row>
    <row r="748" spans="2:25" s="11" customFormat="1" ht="89.25" customHeight="1" outlineLevel="1" x14ac:dyDescent="0.25">
      <c r="B748" s="2" t="s">
        <v>2282</v>
      </c>
      <c r="C748" s="3" t="s">
        <v>83</v>
      </c>
      <c r="D748" s="3" t="s">
        <v>2264</v>
      </c>
      <c r="E748" s="3" t="s">
        <v>2265</v>
      </c>
      <c r="F748" s="3" t="s">
        <v>2266</v>
      </c>
      <c r="G748" s="19" t="s">
        <v>2267</v>
      </c>
      <c r="H748" s="19" t="s">
        <v>88</v>
      </c>
      <c r="I748" s="4">
        <v>0</v>
      </c>
      <c r="J748" s="5">
        <v>710000000</v>
      </c>
      <c r="K748" s="5" t="s">
        <v>89</v>
      </c>
      <c r="L748" s="5" t="s">
        <v>1466</v>
      </c>
      <c r="M748" s="6" t="s">
        <v>91</v>
      </c>
      <c r="N748" s="7" t="s">
        <v>92</v>
      </c>
      <c r="O748" s="7" t="s">
        <v>93</v>
      </c>
      <c r="P748" s="3" t="s">
        <v>673</v>
      </c>
      <c r="Q748" s="8">
        <v>796</v>
      </c>
      <c r="R748" s="7" t="s">
        <v>118</v>
      </c>
      <c r="S748" s="9">
        <v>2</v>
      </c>
      <c r="T748" s="9">
        <v>25188</v>
      </c>
      <c r="U748" s="9">
        <f t="shared" ref="U748:U749" si="409">T748*S748</f>
        <v>50376</v>
      </c>
      <c r="V748" s="9">
        <f t="shared" ref="V748:V749" si="410">U748*1.12</f>
        <v>56421.120000000003</v>
      </c>
      <c r="W748" s="7"/>
      <c r="X748" s="2">
        <v>2016</v>
      </c>
      <c r="Y748" s="2"/>
    </row>
    <row r="749" spans="2:25" s="11" customFormat="1" ht="89.25" customHeight="1" outlineLevel="1" x14ac:dyDescent="0.25">
      <c r="B749" s="2" t="s">
        <v>2287</v>
      </c>
      <c r="C749" s="3" t="s">
        <v>83</v>
      </c>
      <c r="D749" s="3" t="s">
        <v>2271</v>
      </c>
      <c r="E749" s="3" t="s">
        <v>790</v>
      </c>
      <c r="F749" s="3" t="s">
        <v>2272</v>
      </c>
      <c r="G749" s="19" t="s">
        <v>2273</v>
      </c>
      <c r="H749" s="19" t="s">
        <v>88</v>
      </c>
      <c r="I749" s="4">
        <v>0</v>
      </c>
      <c r="J749" s="5">
        <v>710000000</v>
      </c>
      <c r="K749" s="5" t="s">
        <v>89</v>
      </c>
      <c r="L749" s="5" t="s">
        <v>1466</v>
      </c>
      <c r="M749" s="6" t="s">
        <v>91</v>
      </c>
      <c r="N749" s="7" t="s">
        <v>92</v>
      </c>
      <c r="O749" s="7" t="s">
        <v>93</v>
      </c>
      <c r="P749" s="3" t="s">
        <v>673</v>
      </c>
      <c r="Q749" s="8">
        <v>796</v>
      </c>
      <c r="R749" s="7" t="s">
        <v>118</v>
      </c>
      <c r="S749" s="9">
        <v>4</v>
      </c>
      <c r="T749" s="9">
        <v>2060.75</v>
      </c>
      <c r="U749" s="9">
        <f t="shared" si="409"/>
        <v>8243</v>
      </c>
      <c r="V749" s="9">
        <f t="shared" si="410"/>
        <v>9232.1600000000017</v>
      </c>
      <c r="W749" s="7"/>
      <c r="X749" s="2">
        <v>2016</v>
      </c>
      <c r="Y749" s="2"/>
    </row>
    <row r="750" spans="2:25" s="11" customFormat="1" ht="89.25" customHeight="1" outlineLevel="1" x14ac:dyDescent="0.25">
      <c r="B750" s="2" t="s">
        <v>2288</v>
      </c>
      <c r="C750" s="3" t="s">
        <v>83</v>
      </c>
      <c r="D750" s="3" t="s">
        <v>2274</v>
      </c>
      <c r="E750" s="3" t="s">
        <v>790</v>
      </c>
      <c r="F750" s="3" t="s">
        <v>2275</v>
      </c>
      <c r="G750" s="19" t="s">
        <v>2276</v>
      </c>
      <c r="H750" s="19" t="s">
        <v>88</v>
      </c>
      <c r="I750" s="4">
        <v>0</v>
      </c>
      <c r="J750" s="5">
        <v>710000000</v>
      </c>
      <c r="K750" s="5" t="s">
        <v>89</v>
      </c>
      <c r="L750" s="5" t="s">
        <v>1466</v>
      </c>
      <c r="M750" s="6" t="s">
        <v>91</v>
      </c>
      <c r="N750" s="7" t="s">
        <v>92</v>
      </c>
      <c r="O750" s="7" t="s">
        <v>93</v>
      </c>
      <c r="P750" s="3" t="s">
        <v>673</v>
      </c>
      <c r="Q750" s="8">
        <v>796</v>
      </c>
      <c r="R750" s="7" t="s">
        <v>118</v>
      </c>
      <c r="S750" s="9">
        <v>4</v>
      </c>
      <c r="T750" s="9">
        <v>2289.75</v>
      </c>
      <c r="U750" s="9">
        <f t="shared" ref="U750" si="411">T750*S750</f>
        <v>9159</v>
      </c>
      <c r="V750" s="9">
        <f t="shared" ref="V750" si="412">U750*1.12</f>
        <v>10258.080000000002</v>
      </c>
      <c r="W750" s="7"/>
      <c r="X750" s="2">
        <v>2016</v>
      </c>
      <c r="Y750" s="2"/>
    </row>
    <row r="751" spans="2:25" s="11" customFormat="1" ht="89.25" customHeight="1" outlineLevel="1" x14ac:dyDescent="0.25">
      <c r="B751" s="2" t="s">
        <v>2297</v>
      </c>
      <c r="C751" s="3" t="s">
        <v>83</v>
      </c>
      <c r="D751" s="3" t="s">
        <v>2294</v>
      </c>
      <c r="E751" s="3" t="s">
        <v>1400</v>
      </c>
      <c r="F751" s="3" t="s">
        <v>2295</v>
      </c>
      <c r="G751" s="19" t="s">
        <v>2296</v>
      </c>
      <c r="H751" s="19" t="s">
        <v>88</v>
      </c>
      <c r="I751" s="4">
        <v>0</v>
      </c>
      <c r="J751" s="5">
        <v>710000000</v>
      </c>
      <c r="K751" s="5" t="s">
        <v>89</v>
      </c>
      <c r="L751" s="5" t="s">
        <v>1466</v>
      </c>
      <c r="M751" s="6" t="s">
        <v>91</v>
      </c>
      <c r="N751" s="7" t="s">
        <v>92</v>
      </c>
      <c r="O751" s="7" t="s">
        <v>93</v>
      </c>
      <c r="P751" s="3" t="s">
        <v>673</v>
      </c>
      <c r="Q751" s="8">
        <v>796</v>
      </c>
      <c r="R751" s="7" t="s">
        <v>118</v>
      </c>
      <c r="S751" s="9">
        <v>6</v>
      </c>
      <c r="T751" s="9">
        <v>8035.71</v>
      </c>
      <c r="U751" s="9">
        <f t="shared" ref="U751" si="413">T751*S751</f>
        <v>48214.26</v>
      </c>
      <c r="V751" s="9">
        <f t="shared" ref="V751" si="414">U751*1.12</f>
        <v>53999.971200000007</v>
      </c>
      <c r="W751" s="7"/>
      <c r="X751" s="2">
        <v>2016</v>
      </c>
      <c r="Y751" s="2"/>
    </row>
    <row r="752" spans="2:25" s="11" customFormat="1" ht="89.25" customHeight="1" outlineLevel="1" x14ac:dyDescent="0.25">
      <c r="B752" s="2" t="s">
        <v>2298</v>
      </c>
      <c r="C752" s="3" t="s">
        <v>83</v>
      </c>
      <c r="D752" s="3" t="s">
        <v>2299</v>
      </c>
      <c r="E752" s="3" t="s">
        <v>2300</v>
      </c>
      <c r="F752" s="3" t="s">
        <v>2301</v>
      </c>
      <c r="G752" s="19"/>
      <c r="H752" s="19" t="s">
        <v>88</v>
      </c>
      <c r="I752" s="4">
        <v>0</v>
      </c>
      <c r="J752" s="5">
        <v>710000000</v>
      </c>
      <c r="K752" s="5" t="s">
        <v>89</v>
      </c>
      <c r="L752" s="5" t="s">
        <v>1466</v>
      </c>
      <c r="M752" s="6" t="s">
        <v>91</v>
      </c>
      <c r="N752" s="7" t="s">
        <v>92</v>
      </c>
      <c r="O752" s="7" t="s">
        <v>93</v>
      </c>
      <c r="P752" s="3" t="s">
        <v>673</v>
      </c>
      <c r="Q752" s="8">
        <v>796</v>
      </c>
      <c r="R752" s="7" t="s">
        <v>118</v>
      </c>
      <c r="S752" s="9">
        <v>6</v>
      </c>
      <c r="T752" s="9">
        <v>34017.83</v>
      </c>
      <c r="U752" s="9">
        <f t="shared" ref="U752" si="415">T752*S752</f>
        <v>204106.98</v>
      </c>
      <c r="V752" s="9">
        <f t="shared" ref="V752" si="416">U752*1.12</f>
        <v>228599.81760000004</v>
      </c>
      <c r="W752" s="7"/>
      <c r="X752" s="2">
        <v>2016</v>
      </c>
      <c r="Y752" s="2"/>
    </row>
    <row r="753" spans="1:25" s="11" customFormat="1" ht="89.25" customHeight="1" outlineLevel="1" x14ac:dyDescent="0.25">
      <c r="B753" s="2" t="s">
        <v>2302</v>
      </c>
      <c r="C753" s="3" t="s">
        <v>83</v>
      </c>
      <c r="D753" s="3" t="s">
        <v>2303</v>
      </c>
      <c r="E753" s="3" t="s">
        <v>2300</v>
      </c>
      <c r="F753" s="3" t="s">
        <v>2304</v>
      </c>
      <c r="G753" s="19"/>
      <c r="H753" s="19" t="s">
        <v>88</v>
      </c>
      <c r="I753" s="4">
        <v>0</v>
      </c>
      <c r="J753" s="5">
        <v>710000000</v>
      </c>
      <c r="K753" s="5" t="s">
        <v>89</v>
      </c>
      <c r="L753" s="5" t="s">
        <v>1466</v>
      </c>
      <c r="M753" s="6" t="s">
        <v>91</v>
      </c>
      <c r="N753" s="7" t="s">
        <v>92</v>
      </c>
      <c r="O753" s="7" t="s">
        <v>93</v>
      </c>
      <c r="P753" s="3" t="s">
        <v>673</v>
      </c>
      <c r="Q753" s="8">
        <v>796</v>
      </c>
      <c r="R753" s="7" t="s">
        <v>118</v>
      </c>
      <c r="S753" s="9">
        <v>1</v>
      </c>
      <c r="T753" s="9">
        <v>17411</v>
      </c>
      <c r="U753" s="9">
        <f t="shared" ref="U753" si="417">T753*S753</f>
        <v>17411</v>
      </c>
      <c r="V753" s="9">
        <f t="shared" ref="V753" si="418">U753*1.12</f>
        <v>19500.320000000003</v>
      </c>
      <c r="W753" s="7"/>
      <c r="X753" s="2">
        <v>2016</v>
      </c>
      <c r="Y753" s="2"/>
    </row>
    <row r="754" spans="1:25" s="11" customFormat="1" ht="89.25" customHeight="1" outlineLevel="1" x14ac:dyDescent="0.25">
      <c r="B754" s="2" t="s">
        <v>2305</v>
      </c>
      <c r="C754" s="3" t="s">
        <v>83</v>
      </c>
      <c r="D754" s="3" t="s">
        <v>2306</v>
      </c>
      <c r="E754" s="3" t="s">
        <v>2300</v>
      </c>
      <c r="F754" s="3" t="s">
        <v>2307</v>
      </c>
      <c r="G754" s="19"/>
      <c r="H754" s="19" t="s">
        <v>88</v>
      </c>
      <c r="I754" s="4">
        <v>0</v>
      </c>
      <c r="J754" s="5">
        <v>710000000</v>
      </c>
      <c r="K754" s="5" t="s">
        <v>89</v>
      </c>
      <c r="L754" s="5" t="s">
        <v>1466</v>
      </c>
      <c r="M754" s="6" t="s">
        <v>91</v>
      </c>
      <c r="N754" s="7" t="s">
        <v>92</v>
      </c>
      <c r="O754" s="7" t="s">
        <v>93</v>
      </c>
      <c r="P754" s="3" t="s">
        <v>673</v>
      </c>
      <c r="Q754" s="8">
        <v>796</v>
      </c>
      <c r="R754" s="7" t="s">
        <v>118</v>
      </c>
      <c r="S754" s="9">
        <v>2</v>
      </c>
      <c r="T754" s="9">
        <v>39018</v>
      </c>
      <c r="U754" s="9">
        <f t="shared" ref="U754" si="419">T754*S754</f>
        <v>78036</v>
      </c>
      <c r="V754" s="9">
        <f t="shared" ref="V754" si="420">U754*1.12</f>
        <v>87400.320000000007</v>
      </c>
      <c r="W754" s="7"/>
      <c r="X754" s="2">
        <v>2016</v>
      </c>
      <c r="Y754" s="2"/>
    </row>
    <row r="755" spans="1:25" s="11" customFormat="1" ht="89.25" customHeight="1" outlineLevel="1" x14ac:dyDescent="0.25">
      <c r="B755" s="2" t="s">
        <v>2308</v>
      </c>
      <c r="C755" s="3" t="s">
        <v>83</v>
      </c>
      <c r="D755" s="3" t="s">
        <v>2309</v>
      </c>
      <c r="E755" s="3" t="s">
        <v>2300</v>
      </c>
      <c r="F755" s="3" t="s">
        <v>2310</v>
      </c>
      <c r="G755" s="19"/>
      <c r="H755" s="19" t="s">
        <v>88</v>
      </c>
      <c r="I755" s="4">
        <v>0</v>
      </c>
      <c r="J755" s="5">
        <v>710000000</v>
      </c>
      <c r="K755" s="5" t="s">
        <v>89</v>
      </c>
      <c r="L755" s="5" t="s">
        <v>1466</v>
      </c>
      <c r="M755" s="6" t="s">
        <v>91</v>
      </c>
      <c r="N755" s="7" t="s">
        <v>92</v>
      </c>
      <c r="O755" s="7" t="s">
        <v>93</v>
      </c>
      <c r="P755" s="3" t="s">
        <v>673</v>
      </c>
      <c r="Q755" s="8">
        <v>796</v>
      </c>
      <c r="R755" s="7" t="s">
        <v>118</v>
      </c>
      <c r="S755" s="9">
        <v>1</v>
      </c>
      <c r="T755" s="9">
        <v>24911</v>
      </c>
      <c r="U755" s="9">
        <f t="shared" ref="U755" si="421">T755*S755</f>
        <v>24911</v>
      </c>
      <c r="V755" s="9">
        <f t="shared" ref="V755" si="422">U755*1.12</f>
        <v>27900.320000000003</v>
      </c>
      <c r="W755" s="7"/>
      <c r="X755" s="2">
        <v>2016</v>
      </c>
      <c r="Y755" s="2"/>
    </row>
    <row r="756" spans="1:25" s="11" customFormat="1" ht="89.25" customHeight="1" outlineLevel="1" x14ac:dyDescent="0.25">
      <c r="B756" s="2" t="s">
        <v>2311</v>
      </c>
      <c r="C756" s="3" t="s">
        <v>83</v>
      </c>
      <c r="D756" s="3" t="s">
        <v>2312</v>
      </c>
      <c r="E756" s="3" t="s">
        <v>2300</v>
      </c>
      <c r="F756" s="3" t="s">
        <v>2313</v>
      </c>
      <c r="G756" s="19" t="s">
        <v>2314</v>
      </c>
      <c r="H756" s="19" t="s">
        <v>88</v>
      </c>
      <c r="I756" s="4">
        <v>0</v>
      </c>
      <c r="J756" s="5">
        <v>710000000</v>
      </c>
      <c r="K756" s="5" t="s">
        <v>89</v>
      </c>
      <c r="L756" s="5" t="s">
        <v>1466</v>
      </c>
      <c r="M756" s="6" t="s">
        <v>91</v>
      </c>
      <c r="N756" s="7" t="s">
        <v>92</v>
      </c>
      <c r="O756" s="7" t="s">
        <v>93</v>
      </c>
      <c r="P756" s="3" t="s">
        <v>673</v>
      </c>
      <c r="Q756" s="8">
        <v>796</v>
      </c>
      <c r="R756" s="7" t="s">
        <v>118</v>
      </c>
      <c r="S756" s="9">
        <v>3</v>
      </c>
      <c r="T756" s="9">
        <v>32100</v>
      </c>
      <c r="U756" s="9">
        <f t="shared" ref="U756" si="423">T756*S756</f>
        <v>96300</v>
      </c>
      <c r="V756" s="9">
        <f t="shared" ref="V756" si="424">U756*1.12</f>
        <v>107856.00000000001</v>
      </c>
      <c r="W756" s="7"/>
      <c r="X756" s="2">
        <v>2016</v>
      </c>
      <c r="Y756" s="2"/>
    </row>
    <row r="757" spans="1:25" s="11" customFormat="1" ht="89.25" customHeight="1" outlineLevel="1" x14ac:dyDescent="0.25">
      <c r="B757" s="2" t="s">
        <v>2316</v>
      </c>
      <c r="C757" s="3" t="s">
        <v>83</v>
      </c>
      <c r="D757" s="3" t="s">
        <v>2312</v>
      </c>
      <c r="E757" s="3" t="s">
        <v>2300</v>
      </c>
      <c r="F757" s="3" t="s">
        <v>2313</v>
      </c>
      <c r="G757" s="19" t="s">
        <v>2315</v>
      </c>
      <c r="H757" s="19" t="s">
        <v>88</v>
      </c>
      <c r="I757" s="4">
        <v>0</v>
      </c>
      <c r="J757" s="5">
        <v>710000000</v>
      </c>
      <c r="K757" s="5" t="s">
        <v>89</v>
      </c>
      <c r="L757" s="5" t="s">
        <v>1466</v>
      </c>
      <c r="M757" s="6" t="s">
        <v>91</v>
      </c>
      <c r="N757" s="7" t="s">
        <v>92</v>
      </c>
      <c r="O757" s="7" t="s">
        <v>93</v>
      </c>
      <c r="P757" s="3" t="s">
        <v>673</v>
      </c>
      <c r="Q757" s="8">
        <v>796</v>
      </c>
      <c r="R757" s="7" t="s">
        <v>118</v>
      </c>
      <c r="S757" s="9">
        <v>3</v>
      </c>
      <c r="T757" s="9">
        <v>35952</v>
      </c>
      <c r="U757" s="9">
        <f t="shared" ref="U757" si="425">T757*S757</f>
        <v>107856</v>
      </c>
      <c r="V757" s="9">
        <f t="shared" ref="V757" si="426">U757*1.12</f>
        <v>120798.72000000002</v>
      </c>
      <c r="W757" s="7"/>
      <c r="X757" s="2">
        <v>2016</v>
      </c>
      <c r="Y757" s="2"/>
    </row>
    <row r="758" spans="1:25" s="11" customFormat="1" ht="89.25" customHeight="1" outlineLevel="1" x14ac:dyDescent="0.25">
      <c r="B758" s="2" t="s">
        <v>2317</v>
      </c>
      <c r="C758" s="3" t="s">
        <v>83</v>
      </c>
      <c r="D758" s="3" t="s">
        <v>2318</v>
      </c>
      <c r="E758" s="3" t="s">
        <v>2300</v>
      </c>
      <c r="F758" s="3" t="s">
        <v>2319</v>
      </c>
      <c r="G758" s="19"/>
      <c r="H758" s="19" t="s">
        <v>88</v>
      </c>
      <c r="I758" s="4">
        <v>0</v>
      </c>
      <c r="J758" s="5">
        <v>710000000</v>
      </c>
      <c r="K758" s="5" t="s">
        <v>89</v>
      </c>
      <c r="L758" s="5" t="s">
        <v>1466</v>
      </c>
      <c r="M758" s="6" t="s">
        <v>91</v>
      </c>
      <c r="N758" s="7" t="s">
        <v>92</v>
      </c>
      <c r="O758" s="7" t="s">
        <v>93</v>
      </c>
      <c r="P758" s="3" t="s">
        <v>673</v>
      </c>
      <c r="Q758" s="8">
        <v>796</v>
      </c>
      <c r="R758" s="7" t="s">
        <v>118</v>
      </c>
      <c r="S758" s="9">
        <v>1</v>
      </c>
      <c r="T758" s="9">
        <v>25680</v>
      </c>
      <c r="U758" s="9">
        <f t="shared" ref="U758" si="427">T758*S758</f>
        <v>25680</v>
      </c>
      <c r="V758" s="9">
        <f t="shared" ref="V758" si="428">U758*1.12</f>
        <v>28761.600000000002</v>
      </c>
      <c r="W758" s="7"/>
      <c r="X758" s="2">
        <v>2016</v>
      </c>
      <c r="Y758" s="2"/>
    </row>
    <row r="759" spans="1:25" s="11" customFormat="1" ht="89.25" customHeight="1" outlineLevel="1" x14ac:dyDescent="0.2">
      <c r="A759" s="32"/>
      <c r="B759" s="2" t="s">
        <v>2324</v>
      </c>
      <c r="C759" s="3" t="s">
        <v>83</v>
      </c>
      <c r="D759" s="3" t="s">
        <v>2325</v>
      </c>
      <c r="E759" s="3" t="s">
        <v>2326</v>
      </c>
      <c r="F759" s="3" t="s">
        <v>2327</v>
      </c>
      <c r="G759" s="19"/>
      <c r="H759" s="19" t="s">
        <v>88</v>
      </c>
      <c r="I759" s="4">
        <v>0</v>
      </c>
      <c r="J759" s="5">
        <v>710000000</v>
      </c>
      <c r="K759" s="5" t="s">
        <v>89</v>
      </c>
      <c r="L759" s="5" t="s">
        <v>1466</v>
      </c>
      <c r="M759" s="6" t="s">
        <v>766</v>
      </c>
      <c r="N759" s="7" t="s">
        <v>92</v>
      </c>
      <c r="O759" s="7" t="s">
        <v>93</v>
      </c>
      <c r="P759" s="3" t="s">
        <v>673</v>
      </c>
      <c r="Q759" s="8">
        <v>796</v>
      </c>
      <c r="R759" s="7" t="s">
        <v>118</v>
      </c>
      <c r="S759" s="9">
        <v>1</v>
      </c>
      <c r="T759" s="9">
        <v>78500</v>
      </c>
      <c r="U759" s="9">
        <v>0</v>
      </c>
      <c r="V759" s="9">
        <f t="shared" ref="V759" si="429">U759*1.12</f>
        <v>0</v>
      </c>
      <c r="W759" s="7"/>
      <c r="X759" s="2">
        <v>2016</v>
      </c>
      <c r="Y759" s="2">
        <v>7.11</v>
      </c>
    </row>
    <row r="760" spans="1:25" s="11" customFormat="1" ht="89.25" customHeight="1" outlineLevel="1" x14ac:dyDescent="0.25">
      <c r="B760" s="2" t="s">
        <v>7519</v>
      </c>
      <c r="C760" s="3" t="s">
        <v>83</v>
      </c>
      <c r="D760" s="3" t="s">
        <v>2325</v>
      </c>
      <c r="E760" s="3" t="s">
        <v>2326</v>
      </c>
      <c r="F760" s="3" t="s">
        <v>2327</v>
      </c>
      <c r="G760" s="19"/>
      <c r="H760" s="19" t="s">
        <v>694</v>
      </c>
      <c r="I760" s="4">
        <v>0</v>
      </c>
      <c r="J760" s="5">
        <v>710000000</v>
      </c>
      <c r="K760" s="5" t="s">
        <v>89</v>
      </c>
      <c r="L760" s="5" t="s">
        <v>754</v>
      </c>
      <c r="M760" s="6" t="s">
        <v>766</v>
      </c>
      <c r="N760" s="7" t="s">
        <v>92</v>
      </c>
      <c r="O760" s="7" t="s">
        <v>93</v>
      </c>
      <c r="P760" s="3" t="s">
        <v>673</v>
      </c>
      <c r="Q760" s="8">
        <v>796</v>
      </c>
      <c r="R760" s="7" t="s">
        <v>118</v>
      </c>
      <c r="S760" s="9">
        <v>1</v>
      </c>
      <c r="T760" s="9">
        <v>78500</v>
      </c>
      <c r="U760" s="9">
        <f t="shared" ref="U760" si="430">T760*S760</f>
        <v>78500</v>
      </c>
      <c r="V760" s="9">
        <f t="shared" ref="V760" si="431">U760*1.12</f>
        <v>87920.000000000015</v>
      </c>
      <c r="W760" s="7"/>
      <c r="X760" s="2">
        <v>2016</v>
      </c>
      <c r="Y760" s="2"/>
    </row>
    <row r="761" spans="1:25" s="20" customFormat="1" ht="114.75" customHeight="1" outlineLevel="1" x14ac:dyDescent="0.25">
      <c r="A761" s="16"/>
      <c r="B761" s="2" t="s">
        <v>5914</v>
      </c>
      <c r="C761" s="3" t="s">
        <v>83</v>
      </c>
      <c r="D761" s="3" t="s">
        <v>2340</v>
      </c>
      <c r="E761" s="19" t="s">
        <v>2341</v>
      </c>
      <c r="F761" s="19" t="s">
        <v>2342</v>
      </c>
      <c r="G761" s="19" t="s">
        <v>2343</v>
      </c>
      <c r="H761" s="2" t="s">
        <v>88</v>
      </c>
      <c r="I761" s="4">
        <v>0.4</v>
      </c>
      <c r="J761" s="5">
        <v>710000000</v>
      </c>
      <c r="K761" s="5" t="s">
        <v>89</v>
      </c>
      <c r="L761" s="2" t="s">
        <v>754</v>
      </c>
      <c r="M761" s="6" t="s">
        <v>787</v>
      </c>
      <c r="N761" s="7" t="s">
        <v>92</v>
      </c>
      <c r="O761" s="7" t="s">
        <v>93</v>
      </c>
      <c r="P761" s="3" t="s">
        <v>94</v>
      </c>
      <c r="Q761" s="8">
        <v>796</v>
      </c>
      <c r="R761" s="7" t="s">
        <v>118</v>
      </c>
      <c r="S761" s="9">
        <f>3576+66+200+605+48+24+40+63</f>
        <v>4622</v>
      </c>
      <c r="T761" s="9">
        <v>437.95</v>
      </c>
      <c r="U761" s="9">
        <v>2024204.9</v>
      </c>
      <c r="V761" s="9">
        <v>2267109.4879999999</v>
      </c>
      <c r="W761" s="7" t="s">
        <v>97</v>
      </c>
      <c r="X761" s="2">
        <v>2016</v>
      </c>
      <c r="Y761" s="2"/>
    </row>
    <row r="762" spans="1:25" s="11" customFormat="1" ht="216.75" customHeight="1" outlineLevel="1" x14ac:dyDescent="0.25">
      <c r="A762" s="16"/>
      <c r="B762" s="2" t="s">
        <v>5915</v>
      </c>
      <c r="C762" s="5" t="s">
        <v>83</v>
      </c>
      <c r="D762" s="19" t="s">
        <v>2344</v>
      </c>
      <c r="E762" s="19" t="s">
        <v>2341</v>
      </c>
      <c r="F762" s="19" t="s">
        <v>2345</v>
      </c>
      <c r="G762" s="3" t="s">
        <v>2346</v>
      </c>
      <c r="H762" s="2" t="s">
        <v>88</v>
      </c>
      <c r="I762" s="4">
        <v>0.4</v>
      </c>
      <c r="J762" s="5">
        <v>710000000</v>
      </c>
      <c r="K762" s="5" t="s">
        <v>89</v>
      </c>
      <c r="L762" s="2" t="s">
        <v>754</v>
      </c>
      <c r="M762" s="6" t="s">
        <v>787</v>
      </c>
      <c r="N762" s="7" t="s">
        <v>92</v>
      </c>
      <c r="O762" s="7" t="s">
        <v>93</v>
      </c>
      <c r="P762" s="3" t="s">
        <v>94</v>
      </c>
      <c r="Q762" s="8">
        <v>796</v>
      </c>
      <c r="R762" s="7" t="s">
        <v>118</v>
      </c>
      <c r="S762" s="9">
        <f>1788+769+192+24+84+48+42</f>
        <v>2947</v>
      </c>
      <c r="T762" s="9">
        <v>376.39</v>
      </c>
      <c r="U762" s="9">
        <f t="shared" ref="U762" si="432">T762*S762</f>
        <v>1109221.33</v>
      </c>
      <c r="V762" s="9">
        <f t="shared" ref="V762" si="433">U762*1.12</f>
        <v>1242327.8896000001</v>
      </c>
      <c r="W762" s="7" t="s">
        <v>97</v>
      </c>
      <c r="X762" s="2">
        <v>2016</v>
      </c>
      <c r="Y762" s="2"/>
    </row>
    <row r="763" spans="1:25" s="11" customFormat="1" ht="89.25" customHeight="1" outlineLevel="1" x14ac:dyDescent="0.25">
      <c r="A763" s="16"/>
      <c r="B763" s="2" t="s">
        <v>5916</v>
      </c>
      <c r="C763" s="3" t="s">
        <v>83</v>
      </c>
      <c r="D763" s="19" t="s">
        <v>2347</v>
      </c>
      <c r="E763" s="19" t="s">
        <v>2341</v>
      </c>
      <c r="F763" s="19" t="s">
        <v>2348</v>
      </c>
      <c r="G763" s="19" t="s">
        <v>2349</v>
      </c>
      <c r="H763" s="2" t="s">
        <v>88</v>
      </c>
      <c r="I763" s="4">
        <v>0.4</v>
      </c>
      <c r="J763" s="5">
        <v>710000000</v>
      </c>
      <c r="K763" s="5" t="s">
        <v>89</v>
      </c>
      <c r="L763" s="2" t="s">
        <v>754</v>
      </c>
      <c r="M763" s="6" t="s">
        <v>787</v>
      </c>
      <c r="N763" s="7" t="s">
        <v>92</v>
      </c>
      <c r="O763" s="7" t="s">
        <v>93</v>
      </c>
      <c r="P763" s="3" t="s">
        <v>94</v>
      </c>
      <c r="Q763" s="8" t="s">
        <v>228</v>
      </c>
      <c r="R763" s="8" t="s">
        <v>229</v>
      </c>
      <c r="S763" s="9">
        <f>3441+594+406+240+48+84+24+42</f>
        <v>4879</v>
      </c>
      <c r="T763" s="9">
        <v>206.85</v>
      </c>
      <c r="U763" s="9">
        <v>0</v>
      </c>
      <c r="V763" s="9">
        <f t="shared" ref="V763:V895" si="434">U763*1.12</f>
        <v>0</v>
      </c>
      <c r="W763" s="7" t="s">
        <v>97</v>
      </c>
      <c r="X763" s="2">
        <v>2016</v>
      </c>
      <c r="Y763" s="5" t="s">
        <v>7793</v>
      </c>
    </row>
    <row r="764" spans="1:25" s="11" customFormat="1" ht="89.25" customHeight="1" outlineLevel="1" x14ac:dyDescent="0.25">
      <c r="A764" s="16"/>
      <c r="B764" s="2" t="s">
        <v>7822</v>
      </c>
      <c r="C764" s="3" t="s">
        <v>83</v>
      </c>
      <c r="D764" s="19" t="s">
        <v>2347</v>
      </c>
      <c r="E764" s="19" t="s">
        <v>2341</v>
      </c>
      <c r="F764" s="19" t="s">
        <v>2348</v>
      </c>
      <c r="G764" s="19" t="s">
        <v>2349</v>
      </c>
      <c r="H764" s="2" t="s">
        <v>88</v>
      </c>
      <c r="I764" s="4">
        <v>0</v>
      </c>
      <c r="J764" s="5">
        <v>710000000</v>
      </c>
      <c r="K764" s="5" t="s">
        <v>89</v>
      </c>
      <c r="L764" s="2" t="s">
        <v>754</v>
      </c>
      <c r="M764" s="6" t="s">
        <v>787</v>
      </c>
      <c r="N764" s="7" t="s">
        <v>92</v>
      </c>
      <c r="O764" s="7" t="s">
        <v>93</v>
      </c>
      <c r="P764" s="3" t="s">
        <v>673</v>
      </c>
      <c r="Q764" s="8" t="s">
        <v>228</v>
      </c>
      <c r="R764" s="8" t="s">
        <v>229</v>
      </c>
      <c r="S764" s="9">
        <f>3441+594+406+240+48+84+24+42</f>
        <v>4879</v>
      </c>
      <c r="T764" s="9">
        <v>206.85</v>
      </c>
      <c r="U764" s="9">
        <v>0</v>
      </c>
      <c r="V764" s="9">
        <f t="shared" ref="V764" si="435">U764*1.12</f>
        <v>0</v>
      </c>
      <c r="W764" s="7"/>
      <c r="X764" s="2">
        <v>2016</v>
      </c>
      <c r="Y764" s="2" t="s">
        <v>9115</v>
      </c>
    </row>
    <row r="765" spans="1:25" s="11" customFormat="1" ht="89.25" customHeight="1" outlineLevel="1" x14ac:dyDescent="0.25">
      <c r="A765" s="16"/>
      <c r="B765" s="2" t="s">
        <v>9113</v>
      </c>
      <c r="C765" s="3" t="s">
        <v>83</v>
      </c>
      <c r="D765" s="19" t="s">
        <v>2347</v>
      </c>
      <c r="E765" s="19" t="s">
        <v>2341</v>
      </c>
      <c r="F765" s="19" t="s">
        <v>2348</v>
      </c>
      <c r="G765" s="19" t="s">
        <v>2349</v>
      </c>
      <c r="H765" s="2" t="s">
        <v>88</v>
      </c>
      <c r="I765" s="4">
        <v>0</v>
      </c>
      <c r="J765" s="5">
        <v>710000000</v>
      </c>
      <c r="K765" s="5" t="s">
        <v>89</v>
      </c>
      <c r="L765" s="5" t="s">
        <v>9114</v>
      </c>
      <c r="M765" s="6" t="s">
        <v>787</v>
      </c>
      <c r="N765" s="7" t="s">
        <v>92</v>
      </c>
      <c r="O765" s="7" t="s">
        <v>93</v>
      </c>
      <c r="P765" s="3" t="s">
        <v>673</v>
      </c>
      <c r="Q765" s="8" t="s">
        <v>228</v>
      </c>
      <c r="R765" s="8" t="s">
        <v>229</v>
      </c>
      <c r="S765" s="9">
        <v>3184</v>
      </c>
      <c r="T765" s="9">
        <v>316.95999999999998</v>
      </c>
      <c r="U765" s="9">
        <f t="shared" ref="U765" si="436">T765*S765</f>
        <v>1009200.6399999999</v>
      </c>
      <c r="V765" s="9">
        <f t="shared" ref="V765" si="437">U765*1.12</f>
        <v>1130304.7168000001</v>
      </c>
      <c r="W765" s="7"/>
      <c r="X765" s="2">
        <v>2016</v>
      </c>
      <c r="Y765" s="2"/>
    </row>
    <row r="766" spans="1:25" s="11" customFormat="1" ht="191.25" customHeight="1" outlineLevel="1" x14ac:dyDescent="0.25">
      <c r="A766" s="16"/>
      <c r="B766" s="2" t="s">
        <v>5917</v>
      </c>
      <c r="C766" s="3" t="s">
        <v>83</v>
      </c>
      <c r="D766" s="19" t="s">
        <v>2350</v>
      </c>
      <c r="E766" s="19" t="s">
        <v>2341</v>
      </c>
      <c r="F766" s="19" t="s">
        <v>2351</v>
      </c>
      <c r="G766" s="19" t="s">
        <v>2352</v>
      </c>
      <c r="H766" s="2" t="s">
        <v>88</v>
      </c>
      <c r="I766" s="4">
        <v>0.4</v>
      </c>
      <c r="J766" s="5">
        <v>710000000</v>
      </c>
      <c r="K766" s="5" t="s">
        <v>89</v>
      </c>
      <c r="L766" s="2" t="s">
        <v>754</v>
      </c>
      <c r="M766" s="6" t="s">
        <v>787</v>
      </c>
      <c r="N766" s="7" t="s">
        <v>92</v>
      </c>
      <c r="O766" s="7" t="s">
        <v>93</v>
      </c>
      <c r="P766" s="3" t="s">
        <v>94</v>
      </c>
      <c r="Q766" s="8">
        <v>796</v>
      </c>
      <c r="R766" s="7" t="s">
        <v>118</v>
      </c>
      <c r="S766" s="9">
        <f>500+25+328+168+47+29+12+63</f>
        <v>1172</v>
      </c>
      <c r="T766" s="9">
        <v>826.19</v>
      </c>
      <c r="U766" s="9">
        <f>S766*T766</f>
        <v>968294.68</v>
      </c>
      <c r="V766" s="9">
        <f t="shared" ref="V766" si="438">U766*1.12</f>
        <v>1084490.0416000001</v>
      </c>
      <c r="W766" s="7" t="s">
        <v>97</v>
      </c>
      <c r="X766" s="2">
        <v>2016</v>
      </c>
      <c r="Y766" s="2"/>
    </row>
    <row r="767" spans="1:25" s="11" customFormat="1" ht="127.5" customHeight="1" outlineLevel="1" x14ac:dyDescent="0.25">
      <c r="A767" s="16"/>
      <c r="B767" s="2" t="s">
        <v>5918</v>
      </c>
      <c r="C767" s="19" t="s">
        <v>83</v>
      </c>
      <c r="D767" s="19" t="s">
        <v>2353</v>
      </c>
      <c r="E767" s="19" t="s">
        <v>2354</v>
      </c>
      <c r="F767" s="19" t="s">
        <v>2355</v>
      </c>
      <c r="G767" s="19" t="s">
        <v>2356</v>
      </c>
      <c r="H767" s="2" t="s">
        <v>88</v>
      </c>
      <c r="I767" s="4">
        <v>0.4</v>
      </c>
      <c r="J767" s="5">
        <v>710000000</v>
      </c>
      <c r="K767" s="5" t="s">
        <v>89</v>
      </c>
      <c r="L767" s="2" t="s">
        <v>754</v>
      </c>
      <c r="M767" s="6" t="s">
        <v>787</v>
      </c>
      <c r="N767" s="7" t="s">
        <v>92</v>
      </c>
      <c r="O767" s="7" t="s">
        <v>93</v>
      </c>
      <c r="P767" s="3" t="s">
        <v>94</v>
      </c>
      <c r="Q767" s="8" t="s">
        <v>522</v>
      </c>
      <c r="R767" s="7" t="s">
        <v>523</v>
      </c>
      <c r="S767" s="9">
        <f>192+69+4+24+200+2+6+5+7</f>
        <v>509</v>
      </c>
      <c r="T767" s="9">
        <v>4464.29</v>
      </c>
      <c r="U767" s="9">
        <f>S767*T767</f>
        <v>2272323.61</v>
      </c>
      <c r="V767" s="9">
        <f t="shared" ref="V767" si="439">U767*1.12</f>
        <v>2545002.4432000001</v>
      </c>
      <c r="W767" s="7" t="s">
        <v>97</v>
      </c>
      <c r="X767" s="2">
        <v>2016</v>
      </c>
      <c r="Y767" s="2"/>
    </row>
    <row r="768" spans="1:25" s="11" customFormat="1" ht="178.5" customHeight="1" outlineLevel="1" x14ac:dyDescent="0.25">
      <c r="A768" s="16"/>
      <c r="B768" s="2" t="s">
        <v>5919</v>
      </c>
      <c r="C768" s="19" t="s">
        <v>83</v>
      </c>
      <c r="D768" s="19" t="s">
        <v>2357</v>
      </c>
      <c r="E768" s="19" t="s">
        <v>2358</v>
      </c>
      <c r="F768" s="19" t="s">
        <v>2359</v>
      </c>
      <c r="G768" s="19" t="s">
        <v>2360</v>
      </c>
      <c r="H768" s="2" t="s">
        <v>88</v>
      </c>
      <c r="I768" s="4">
        <v>0.4</v>
      </c>
      <c r="J768" s="5">
        <v>710000000</v>
      </c>
      <c r="K768" s="5" t="s">
        <v>89</v>
      </c>
      <c r="L768" s="2" t="s">
        <v>754</v>
      </c>
      <c r="M768" s="6" t="s">
        <v>787</v>
      </c>
      <c r="N768" s="7" t="s">
        <v>92</v>
      </c>
      <c r="O768" s="7" t="s">
        <v>93</v>
      </c>
      <c r="P768" s="3" t="s">
        <v>94</v>
      </c>
      <c r="Q768" s="8" t="s">
        <v>2361</v>
      </c>
      <c r="R768" s="7" t="s">
        <v>2362</v>
      </c>
      <c r="S768" s="9">
        <f>1452+168+876+48+75+24+84</f>
        <v>2727</v>
      </c>
      <c r="T768" s="9">
        <v>135.12</v>
      </c>
      <c r="U768" s="9">
        <v>0</v>
      </c>
      <c r="V768" s="9">
        <f t="shared" si="434"/>
        <v>0</v>
      </c>
      <c r="W768" s="7" t="s">
        <v>97</v>
      </c>
      <c r="X768" s="2">
        <v>2016</v>
      </c>
      <c r="Y768" s="2" t="s">
        <v>7793</v>
      </c>
    </row>
    <row r="769" spans="1:25" s="11" customFormat="1" ht="178.5" customHeight="1" outlineLevel="1" x14ac:dyDescent="0.25">
      <c r="A769" s="16"/>
      <c r="B769" s="2" t="s">
        <v>7823</v>
      </c>
      <c r="C769" s="19" t="s">
        <v>83</v>
      </c>
      <c r="D769" s="19" t="s">
        <v>2357</v>
      </c>
      <c r="E769" s="19" t="s">
        <v>2358</v>
      </c>
      <c r="F769" s="19" t="s">
        <v>2359</v>
      </c>
      <c r="G769" s="19" t="s">
        <v>2360</v>
      </c>
      <c r="H769" s="2" t="s">
        <v>88</v>
      </c>
      <c r="I769" s="4">
        <v>0</v>
      </c>
      <c r="J769" s="5">
        <v>710000000</v>
      </c>
      <c r="K769" s="5" t="s">
        <v>89</v>
      </c>
      <c r="L769" s="2" t="s">
        <v>754</v>
      </c>
      <c r="M769" s="6" t="s">
        <v>787</v>
      </c>
      <c r="N769" s="7" t="s">
        <v>92</v>
      </c>
      <c r="O769" s="7" t="s">
        <v>93</v>
      </c>
      <c r="P769" s="3" t="s">
        <v>673</v>
      </c>
      <c r="Q769" s="8" t="s">
        <v>2361</v>
      </c>
      <c r="R769" s="7" t="s">
        <v>2362</v>
      </c>
      <c r="S769" s="9">
        <f>1452+168+876+48+75+24+84</f>
        <v>2727</v>
      </c>
      <c r="T769" s="9">
        <v>135.12</v>
      </c>
      <c r="U769" s="9">
        <v>0</v>
      </c>
      <c r="V769" s="9">
        <f t="shared" ref="V769" si="440">U769*1.12</f>
        <v>0</v>
      </c>
      <c r="W769" s="7"/>
      <c r="X769" s="2">
        <v>2016</v>
      </c>
      <c r="Y769" s="2" t="s">
        <v>8493</v>
      </c>
    </row>
    <row r="770" spans="1:25" s="11" customFormat="1" ht="178.5" customHeight="1" outlineLevel="1" x14ac:dyDescent="0.25">
      <c r="A770" s="16"/>
      <c r="B770" s="2" t="s">
        <v>9116</v>
      </c>
      <c r="C770" s="19" t="s">
        <v>83</v>
      </c>
      <c r="D770" s="19" t="s">
        <v>2357</v>
      </c>
      <c r="E770" s="19" t="s">
        <v>2358</v>
      </c>
      <c r="F770" s="19" t="s">
        <v>2359</v>
      </c>
      <c r="G770" s="19" t="s">
        <v>2360</v>
      </c>
      <c r="H770" s="2" t="s">
        <v>88</v>
      </c>
      <c r="I770" s="4">
        <v>0</v>
      </c>
      <c r="J770" s="5">
        <v>710000000</v>
      </c>
      <c r="K770" s="5" t="s">
        <v>89</v>
      </c>
      <c r="L770" s="2" t="s">
        <v>9114</v>
      </c>
      <c r="M770" s="6" t="s">
        <v>787</v>
      </c>
      <c r="N770" s="7" t="s">
        <v>92</v>
      </c>
      <c r="O770" s="7" t="s">
        <v>93</v>
      </c>
      <c r="P770" s="3" t="s">
        <v>673</v>
      </c>
      <c r="Q770" s="8" t="s">
        <v>2361</v>
      </c>
      <c r="R770" s="7" t="s">
        <v>2362</v>
      </c>
      <c r="S770" s="9">
        <f>1452+168+876+48+75+24+84</f>
        <v>2727</v>
      </c>
      <c r="T770" s="9">
        <v>120.54</v>
      </c>
      <c r="U770" s="9">
        <f t="shared" ref="U770" si="441">T770*S770</f>
        <v>328712.58</v>
      </c>
      <c r="V770" s="9">
        <f t="shared" ref="V770" si="442">U770*1.12</f>
        <v>368158.08960000006</v>
      </c>
      <c r="W770" s="7"/>
      <c r="X770" s="2">
        <v>2016</v>
      </c>
      <c r="Y770" s="2"/>
    </row>
    <row r="771" spans="1:25" s="11" customFormat="1" ht="89.25" customHeight="1" outlineLevel="1" x14ac:dyDescent="0.25">
      <c r="A771" s="16"/>
      <c r="B771" s="2" t="s">
        <v>5920</v>
      </c>
      <c r="C771" s="19" t="s">
        <v>83</v>
      </c>
      <c r="D771" s="19" t="s">
        <v>2363</v>
      </c>
      <c r="E771" s="19" t="s">
        <v>2341</v>
      </c>
      <c r="F771" s="19" t="s">
        <v>2364</v>
      </c>
      <c r="G771" s="19" t="s">
        <v>2365</v>
      </c>
      <c r="H771" s="2" t="s">
        <v>88</v>
      </c>
      <c r="I771" s="4">
        <v>0.4</v>
      </c>
      <c r="J771" s="5">
        <v>710000000</v>
      </c>
      <c r="K771" s="5" t="s">
        <v>89</v>
      </c>
      <c r="L771" s="2" t="s">
        <v>754</v>
      </c>
      <c r="M771" s="6" t="s">
        <v>787</v>
      </c>
      <c r="N771" s="7" t="s">
        <v>92</v>
      </c>
      <c r="O771" s="7" t="s">
        <v>93</v>
      </c>
      <c r="P771" s="3" t="s">
        <v>94</v>
      </c>
      <c r="Q771" s="8">
        <v>796</v>
      </c>
      <c r="R771" s="7" t="s">
        <v>118</v>
      </c>
      <c r="S771" s="9">
        <f>18+20+3+2</f>
        <v>43</v>
      </c>
      <c r="T771" s="9">
        <v>1803.57</v>
      </c>
      <c r="U771" s="9">
        <v>0</v>
      </c>
      <c r="V771" s="9">
        <f t="shared" si="434"/>
        <v>0</v>
      </c>
      <c r="W771" s="7" t="s">
        <v>97</v>
      </c>
      <c r="X771" s="2">
        <v>2016</v>
      </c>
      <c r="Y771" s="2" t="s">
        <v>7793</v>
      </c>
    </row>
    <row r="772" spans="1:25" s="11" customFormat="1" ht="89.25" customHeight="1" outlineLevel="1" x14ac:dyDescent="0.25">
      <c r="A772" s="16"/>
      <c r="B772" s="2" t="s">
        <v>7824</v>
      </c>
      <c r="C772" s="19" t="s">
        <v>83</v>
      </c>
      <c r="D772" s="19" t="s">
        <v>2363</v>
      </c>
      <c r="E772" s="19" t="s">
        <v>2341</v>
      </c>
      <c r="F772" s="19" t="s">
        <v>2364</v>
      </c>
      <c r="G772" s="19" t="s">
        <v>2365</v>
      </c>
      <c r="H772" s="2" t="s">
        <v>88</v>
      </c>
      <c r="I772" s="4">
        <v>0</v>
      </c>
      <c r="J772" s="5">
        <v>710000000</v>
      </c>
      <c r="K772" s="5" t="s">
        <v>89</v>
      </c>
      <c r="L772" s="2" t="s">
        <v>754</v>
      </c>
      <c r="M772" s="6" t="s">
        <v>787</v>
      </c>
      <c r="N772" s="7" t="s">
        <v>92</v>
      </c>
      <c r="O772" s="7" t="s">
        <v>93</v>
      </c>
      <c r="P772" s="3" t="s">
        <v>673</v>
      </c>
      <c r="Q772" s="8">
        <v>796</v>
      </c>
      <c r="R772" s="7" t="s">
        <v>118</v>
      </c>
      <c r="S772" s="9">
        <f>18+20+3+2</f>
        <v>43</v>
      </c>
      <c r="T772" s="9">
        <v>1803.57</v>
      </c>
      <c r="U772" s="9">
        <v>0</v>
      </c>
      <c r="V772" s="9">
        <f t="shared" ref="V772" si="443">U772*1.12</f>
        <v>0</v>
      </c>
      <c r="W772" s="7"/>
      <c r="X772" s="2">
        <v>2016</v>
      </c>
      <c r="Y772" s="2" t="s">
        <v>2339</v>
      </c>
    </row>
    <row r="773" spans="1:25" s="11" customFormat="1" ht="89.25" customHeight="1" outlineLevel="1" x14ac:dyDescent="0.25">
      <c r="A773" s="16"/>
      <c r="B773" s="2" t="s">
        <v>9117</v>
      </c>
      <c r="C773" s="19" t="s">
        <v>83</v>
      </c>
      <c r="D773" s="19" t="s">
        <v>2363</v>
      </c>
      <c r="E773" s="19" t="s">
        <v>2341</v>
      </c>
      <c r="F773" s="19" t="s">
        <v>2364</v>
      </c>
      <c r="G773" s="19" t="s">
        <v>2365</v>
      </c>
      <c r="H773" s="2" t="s">
        <v>88</v>
      </c>
      <c r="I773" s="4">
        <v>0</v>
      </c>
      <c r="J773" s="5">
        <v>710000000</v>
      </c>
      <c r="K773" s="5" t="s">
        <v>89</v>
      </c>
      <c r="L773" s="5" t="s">
        <v>9114</v>
      </c>
      <c r="M773" s="6" t="s">
        <v>787</v>
      </c>
      <c r="N773" s="7" t="s">
        <v>92</v>
      </c>
      <c r="O773" s="7" t="s">
        <v>93</v>
      </c>
      <c r="P773" s="3" t="s">
        <v>673</v>
      </c>
      <c r="Q773" s="8">
        <v>796</v>
      </c>
      <c r="R773" s="7" t="s">
        <v>118</v>
      </c>
      <c r="S773" s="9">
        <v>38</v>
      </c>
      <c r="T773" s="9">
        <v>1990.18</v>
      </c>
      <c r="U773" s="9">
        <f t="shared" ref="U773" si="444">T773*S773</f>
        <v>75626.84</v>
      </c>
      <c r="V773" s="9">
        <f t="shared" ref="V773" si="445">U773*1.12</f>
        <v>84702.060800000007</v>
      </c>
      <c r="W773" s="7"/>
      <c r="X773" s="2">
        <v>2016</v>
      </c>
      <c r="Y773" s="2"/>
    </row>
    <row r="774" spans="1:25" s="11" customFormat="1" ht="153" customHeight="1" outlineLevel="1" x14ac:dyDescent="0.25">
      <c r="A774" s="16"/>
      <c r="B774" s="2" t="s">
        <v>5921</v>
      </c>
      <c r="C774" s="19" t="s">
        <v>83</v>
      </c>
      <c r="D774" s="19" t="s">
        <v>2366</v>
      </c>
      <c r="E774" s="19" t="s">
        <v>2367</v>
      </c>
      <c r="F774" s="19" t="s">
        <v>2368</v>
      </c>
      <c r="G774" s="19" t="s">
        <v>2369</v>
      </c>
      <c r="H774" s="2" t="s">
        <v>88</v>
      </c>
      <c r="I774" s="4">
        <v>0.4</v>
      </c>
      <c r="J774" s="5">
        <v>710000000</v>
      </c>
      <c r="K774" s="5" t="s">
        <v>89</v>
      </c>
      <c r="L774" s="2" t="s">
        <v>754</v>
      </c>
      <c r="M774" s="6" t="s">
        <v>787</v>
      </c>
      <c r="N774" s="7" t="s">
        <v>92</v>
      </c>
      <c r="O774" s="7" t="s">
        <v>93</v>
      </c>
      <c r="P774" s="3" t="s">
        <v>94</v>
      </c>
      <c r="Q774" s="8">
        <v>796</v>
      </c>
      <c r="R774" s="7" t="s">
        <v>118</v>
      </c>
      <c r="S774" s="9">
        <f>2012+446+477+192+24+60+48+37</f>
        <v>3296</v>
      </c>
      <c r="T774" s="9">
        <v>159.52000000000001</v>
      </c>
      <c r="U774" s="9">
        <v>0</v>
      </c>
      <c r="V774" s="9">
        <f t="shared" si="434"/>
        <v>0</v>
      </c>
      <c r="W774" s="7" t="s">
        <v>97</v>
      </c>
      <c r="X774" s="2">
        <v>2016</v>
      </c>
      <c r="Y774" s="5" t="s">
        <v>7793</v>
      </c>
    </row>
    <row r="775" spans="1:25" s="11" customFormat="1" ht="153" customHeight="1" outlineLevel="1" x14ac:dyDescent="0.25">
      <c r="A775" s="16"/>
      <c r="B775" s="2" t="s">
        <v>7825</v>
      </c>
      <c r="C775" s="19" t="s">
        <v>83</v>
      </c>
      <c r="D775" s="19" t="s">
        <v>2366</v>
      </c>
      <c r="E775" s="19" t="s">
        <v>2367</v>
      </c>
      <c r="F775" s="19" t="s">
        <v>2368</v>
      </c>
      <c r="G775" s="19" t="s">
        <v>2369</v>
      </c>
      <c r="H775" s="2" t="s">
        <v>88</v>
      </c>
      <c r="I775" s="4">
        <v>0</v>
      </c>
      <c r="J775" s="5">
        <v>710000000</v>
      </c>
      <c r="K775" s="5" t="s">
        <v>89</v>
      </c>
      <c r="L775" s="2" t="s">
        <v>754</v>
      </c>
      <c r="M775" s="6" t="s">
        <v>787</v>
      </c>
      <c r="N775" s="7" t="s">
        <v>92</v>
      </c>
      <c r="O775" s="7" t="s">
        <v>93</v>
      </c>
      <c r="P775" s="3" t="s">
        <v>673</v>
      </c>
      <c r="Q775" s="8">
        <v>796</v>
      </c>
      <c r="R775" s="7" t="s">
        <v>118</v>
      </c>
      <c r="S775" s="9">
        <f>2012+446+477+192+24+60+48+37</f>
        <v>3296</v>
      </c>
      <c r="T775" s="9">
        <v>159.52000000000001</v>
      </c>
      <c r="U775" s="9">
        <v>0</v>
      </c>
      <c r="V775" s="9">
        <f t="shared" ref="V775" si="446">U775*1.12</f>
        <v>0</v>
      </c>
      <c r="W775" s="7"/>
      <c r="X775" s="2">
        <v>2016</v>
      </c>
      <c r="Y775" s="2" t="s">
        <v>2339</v>
      </c>
    </row>
    <row r="776" spans="1:25" s="11" customFormat="1" ht="153" customHeight="1" outlineLevel="1" x14ac:dyDescent="0.25">
      <c r="A776" s="16"/>
      <c r="B776" s="2" t="s">
        <v>9118</v>
      </c>
      <c r="C776" s="19" t="s">
        <v>83</v>
      </c>
      <c r="D776" s="19" t="s">
        <v>2366</v>
      </c>
      <c r="E776" s="19" t="s">
        <v>2367</v>
      </c>
      <c r="F776" s="19" t="s">
        <v>2368</v>
      </c>
      <c r="G776" s="19" t="s">
        <v>2369</v>
      </c>
      <c r="H776" s="2" t="s">
        <v>88</v>
      </c>
      <c r="I776" s="4">
        <v>0</v>
      </c>
      <c r="J776" s="5">
        <v>710000000</v>
      </c>
      <c r="K776" s="5" t="s">
        <v>89</v>
      </c>
      <c r="L776" s="5" t="s">
        <v>9114</v>
      </c>
      <c r="M776" s="6" t="s">
        <v>787</v>
      </c>
      <c r="N776" s="7" t="s">
        <v>92</v>
      </c>
      <c r="O776" s="7" t="s">
        <v>93</v>
      </c>
      <c r="P776" s="3" t="s">
        <v>673</v>
      </c>
      <c r="Q776" s="8">
        <v>796</v>
      </c>
      <c r="R776" s="7" t="s">
        <v>118</v>
      </c>
      <c r="S776" s="9">
        <v>2959</v>
      </c>
      <c r="T776" s="9">
        <v>177.68</v>
      </c>
      <c r="U776" s="9">
        <f t="shared" ref="U776" si="447">T776*S776</f>
        <v>525755.12</v>
      </c>
      <c r="V776" s="9">
        <f t="shared" ref="V776" si="448">U776*1.12</f>
        <v>588845.73440000007</v>
      </c>
      <c r="W776" s="7"/>
      <c r="X776" s="2">
        <v>2016</v>
      </c>
      <c r="Y776" s="2"/>
    </row>
    <row r="777" spans="1:25" s="11" customFormat="1" ht="127.5" customHeight="1" outlineLevel="1" x14ac:dyDescent="0.25">
      <c r="A777" s="16"/>
      <c r="B777" s="2" t="s">
        <v>5922</v>
      </c>
      <c r="C777" s="3" t="s">
        <v>83</v>
      </c>
      <c r="D777" s="19" t="s">
        <v>2370</v>
      </c>
      <c r="E777" s="19" t="s">
        <v>2367</v>
      </c>
      <c r="F777" s="19" t="s">
        <v>2371</v>
      </c>
      <c r="G777" s="3" t="s">
        <v>2372</v>
      </c>
      <c r="H777" s="2" t="s">
        <v>88</v>
      </c>
      <c r="I777" s="4">
        <v>0.4</v>
      </c>
      <c r="J777" s="5">
        <v>710000000</v>
      </c>
      <c r="K777" s="5" t="s">
        <v>89</v>
      </c>
      <c r="L777" s="2" t="s">
        <v>754</v>
      </c>
      <c r="M777" s="6" t="s">
        <v>787</v>
      </c>
      <c r="N777" s="7" t="s">
        <v>92</v>
      </c>
      <c r="O777" s="7" t="s">
        <v>93</v>
      </c>
      <c r="P777" s="3" t="s">
        <v>94</v>
      </c>
      <c r="Q777" s="8">
        <v>796</v>
      </c>
      <c r="R777" s="7" t="s">
        <v>118</v>
      </c>
      <c r="S777" s="9">
        <f>3+10+24</f>
        <v>37</v>
      </c>
      <c r="T777" s="9">
        <v>3850.45</v>
      </c>
      <c r="U777" s="9">
        <v>0</v>
      </c>
      <c r="V777" s="9">
        <f t="shared" si="434"/>
        <v>0</v>
      </c>
      <c r="W777" s="7" t="s">
        <v>97</v>
      </c>
      <c r="X777" s="2">
        <v>2016</v>
      </c>
      <c r="Y777" s="2" t="s">
        <v>7793</v>
      </c>
    </row>
    <row r="778" spans="1:25" s="11" customFormat="1" ht="127.5" customHeight="1" outlineLevel="1" x14ac:dyDescent="0.25">
      <c r="A778" s="16"/>
      <c r="B778" s="2" t="s">
        <v>7826</v>
      </c>
      <c r="C778" s="3" t="s">
        <v>83</v>
      </c>
      <c r="D778" s="19" t="s">
        <v>2370</v>
      </c>
      <c r="E778" s="19" t="s">
        <v>2367</v>
      </c>
      <c r="F778" s="19" t="s">
        <v>2371</v>
      </c>
      <c r="G778" s="3" t="s">
        <v>2372</v>
      </c>
      <c r="H778" s="2" t="s">
        <v>88</v>
      </c>
      <c r="I778" s="4">
        <v>0</v>
      </c>
      <c r="J778" s="5">
        <v>710000000</v>
      </c>
      <c r="K778" s="5" t="s">
        <v>89</v>
      </c>
      <c r="L778" s="2" t="s">
        <v>754</v>
      </c>
      <c r="M778" s="6" t="s">
        <v>787</v>
      </c>
      <c r="N778" s="7" t="s">
        <v>92</v>
      </c>
      <c r="O778" s="7" t="s">
        <v>93</v>
      </c>
      <c r="P778" s="3" t="s">
        <v>673</v>
      </c>
      <c r="Q778" s="8">
        <v>796</v>
      </c>
      <c r="R778" s="7" t="s">
        <v>118</v>
      </c>
      <c r="S778" s="9">
        <f>3+10+24</f>
        <v>37</v>
      </c>
      <c r="T778" s="9">
        <v>3850.45</v>
      </c>
      <c r="U778" s="9">
        <v>0</v>
      </c>
      <c r="V778" s="9">
        <f t="shared" ref="V778" si="449">U778*1.12</f>
        <v>0</v>
      </c>
      <c r="W778" s="7"/>
      <c r="X778" s="2">
        <v>2016</v>
      </c>
      <c r="Y778" s="2" t="s">
        <v>2339</v>
      </c>
    </row>
    <row r="779" spans="1:25" s="11" customFormat="1" ht="127.5" customHeight="1" outlineLevel="1" x14ac:dyDescent="0.25">
      <c r="A779" s="16"/>
      <c r="B779" s="2" t="s">
        <v>9119</v>
      </c>
      <c r="C779" s="3" t="s">
        <v>83</v>
      </c>
      <c r="D779" s="19" t="s">
        <v>2370</v>
      </c>
      <c r="E779" s="19" t="s">
        <v>2367</v>
      </c>
      <c r="F779" s="19" t="s">
        <v>2371</v>
      </c>
      <c r="G779" s="3" t="s">
        <v>2372</v>
      </c>
      <c r="H779" s="2" t="s">
        <v>88</v>
      </c>
      <c r="I779" s="4">
        <v>0</v>
      </c>
      <c r="J779" s="5">
        <v>710000000</v>
      </c>
      <c r="K779" s="5" t="s">
        <v>89</v>
      </c>
      <c r="L779" s="5" t="s">
        <v>9114</v>
      </c>
      <c r="M779" s="6" t="s">
        <v>787</v>
      </c>
      <c r="N779" s="7" t="s">
        <v>92</v>
      </c>
      <c r="O779" s="7" t="s">
        <v>93</v>
      </c>
      <c r="P779" s="3" t="s">
        <v>673</v>
      </c>
      <c r="Q779" s="8">
        <v>796</v>
      </c>
      <c r="R779" s="7" t="s">
        <v>118</v>
      </c>
      <c r="S779" s="9">
        <v>32</v>
      </c>
      <c r="T779" s="9">
        <v>4400.8900000000003</v>
      </c>
      <c r="U779" s="9">
        <f t="shared" ref="U779" si="450">T779*S779</f>
        <v>140828.48000000001</v>
      </c>
      <c r="V779" s="9">
        <f t="shared" ref="V779" si="451">U779*1.12</f>
        <v>157727.89760000003</v>
      </c>
      <c r="W779" s="7"/>
      <c r="X779" s="2">
        <v>2016</v>
      </c>
      <c r="Y779" s="2"/>
    </row>
    <row r="780" spans="1:25" s="11" customFormat="1" ht="89.25" customHeight="1" outlineLevel="1" x14ac:dyDescent="0.25">
      <c r="A780" s="16"/>
      <c r="B780" s="2" t="s">
        <v>5923</v>
      </c>
      <c r="C780" s="3" t="s">
        <v>83</v>
      </c>
      <c r="D780" s="19" t="s">
        <v>2373</v>
      </c>
      <c r="E780" s="19" t="s">
        <v>2374</v>
      </c>
      <c r="F780" s="19" t="s">
        <v>2375</v>
      </c>
      <c r="G780" s="3" t="s">
        <v>2376</v>
      </c>
      <c r="H780" s="2" t="s">
        <v>88</v>
      </c>
      <c r="I780" s="4">
        <v>0.4</v>
      </c>
      <c r="J780" s="5">
        <v>710000000</v>
      </c>
      <c r="K780" s="5" t="s">
        <v>89</v>
      </c>
      <c r="L780" s="2" t="s">
        <v>754</v>
      </c>
      <c r="M780" s="6" t="s">
        <v>787</v>
      </c>
      <c r="N780" s="7" t="s">
        <v>92</v>
      </c>
      <c r="O780" s="7" t="s">
        <v>93</v>
      </c>
      <c r="P780" s="3" t="s">
        <v>94</v>
      </c>
      <c r="Q780" s="8">
        <v>796</v>
      </c>
      <c r="R780" s="7" t="s">
        <v>118</v>
      </c>
      <c r="S780" s="9">
        <f>3576+792+256+1252+96+114+48+34</f>
        <v>6168</v>
      </c>
      <c r="T780" s="9">
        <v>103.87</v>
      </c>
      <c r="U780" s="9">
        <v>640670.16</v>
      </c>
      <c r="V780" s="9">
        <v>717550.57920000015</v>
      </c>
      <c r="W780" s="7" t="s">
        <v>97</v>
      </c>
      <c r="X780" s="2">
        <v>2016</v>
      </c>
      <c r="Y780" s="2"/>
    </row>
    <row r="781" spans="1:25" s="11" customFormat="1" ht="140.25" customHeight="1" outlineLevel="1" x14ac:dyDescent="0.25">
      <c r="A781" s="16"/>
      <c r="B781" s="2" t="s">
        <v>5924</v>
      </c>
      <c r="C781" s="3" t="s">
        <v>83</v>
      </c>
      <c r="D781" s="3" t="s">
        <v>2377</v>
      </c>
      <c r="E781" s="3" t="s">
        <v>2378</v>
      </c>
      <c r="F781" s="3" t="s">
        <v>2379</v>
      </c>
      <c r="G781" s="19" t="s">
        <v>2380</v>
      </c>
      <c r="H781" s="2" t="s">
        <v>88</v>
      </c>
      <c r="I781" s="4">
        <v>0.4</v>
      </c>
      <c r="J781" s="5">
        <v>710000000</v>
      </c>
      <c r="K781" s="5" t="s">
        <v>89</v>
      </c>
      <c r="L781" s="2" t="s">
        <v>754</v>
      </c>
      <c r="M781" s="6" t="s">
        <v>787</v>
      </c>
      <c r="N781" s="7" t="s">
        <v>92</v>
      </c>
      <c r="O781" s="7" t="s">
        <v>93</v>
      </c>
      <c r="P781" s="3" t="s">
        <v>94</v>
      </c>
      <c r="Q781" s="8" t="s">
        <v>584</v>
      </c>
      <c r="R781" s="7" t="s">
        <v>585</v>
      </c>
      <c r="S781" s="9">
        <f>149+7</f>
        <v>156</v>
      </c>
      <c r="T781" s="9">
        <v>517.86</v>
      </c>
      <c r="U781" s="9">
        <v>0</v>
      </c>
      <c r="V781" s="9">
        <f t="shared" si="434"/>
        <v>0</v>
      </c>
      <c r="W781" s="7" t="s">
        <v>97</v>
      </c>
      <c r="X781" s="2">
        <v>2016</v>
      </c>
      <c r="Y781" s="2" t="s">
        <v>7793</v>
      </c>
    </row>
    <row r="782" spans="1:25" s="11" customFormat="1" ht="140.25" customHeight="1" outlineLevel="1" x14ac:dyDescent="0.25">
      <c r="A782" s="16"/>
      <c r="B782" s="2" t="s">
        <v>7827</v>
      </c>
      <c r="C782" s="3" t="s">
        <v>83</v>
      </c>
      <c r="D782" s="3" t="s">
        <v>2377</v>
      </c>
      <c r="E782" s="3" t="s">
        <v>2378</v>
      </c>
      <c r="F782" s="3" t="s">
        <v>2379</v>
      </c>
      <c r="G782" s="19" t="s">
        <v>2380</v>
      </c>
      <c r="H782" s="2" t="s">
        <v>88</v>
      </c>
      <c r="I782" s="4">
        <v>0</v>
      </c>
      <c r="J782" s="5">
        <v>710000000</v>
      </c>
      <c r="K782" s="5" t="s">
        <v>89</v>
      </c>
      <c r="L782" s="2" t="s">
        <v>754</v>
      </c>
      <c r="M782" s="6" t="s">
        <v>787</v>
      </c>
      <c r="N782" s="7" t="s">
        <v>92</v>
      </c>
      <c r="O782" s="7" t="s">
        <v>93</v>
      </c>
      <c r="P782" s="3" t="s">
        <v>673</v>
      </c>
      <c r="Q782" s="8" t="s">
        <v>584</v>
      </c>
      <c r="R782" s="7" t="s">
        <v>585</v>
      </c>
      <c r="S782" s="9">
        <f>149+7</f>
        <v>156</v>
      </c>
      <c r="T782" s="9">
        <v>517.86</v>
      </c>
      <c r="U782" s="9">
        <v>0</v>
      </c>
      <c r="V782" s="9">
        <f t="shared" ref="V782" si="452">U782*1.12</f>
        <v>0</v>
      </c>
      <c r="W782" s="7"/>
      <c r="X782" s="2">
        <v>2016</v>
      </c>
      <c r="Y782" s="5" t="s">
        <v>8493</v>
      </c>
    </row>
    <row r="783" spans="1:25" s="11" customFormat="1" ht="140.25" customHeight="1" outlineLevel="1" x14ac:dyDescent="0.25">
      <c r="A783" s="16"/>
      <c r="B783" s="2" t="s">
        <v>9120</v>
      </c>
      <c r="C783" s="3" t="s">
        <v>83</v>
      </c>
      <c r="D783" s="3" t="s">
        <v>2377</v>
      </c>
      <c r="E783" s="3" t="s">
        <v>2378</v>
      </c>
      <c r="F783" s="3" t="s">
        <v>2379</v>
      </c>
      <c r="G783" s="19" t="s">
        <v>2380</v>
      </c>
      <c r="H783" s="2" t="s">
        <v>88</v>
      </c>
      <c r="I783" s="4">
        <v>0</v>
      </c>
      <c r="J783" s="5">
        <v>710000000</v>
      </c>
      <c r="K783" s="5" t="s">
        <v>89</v>
      </c>
      <c r="L783" s="5" t="s">
        <v>9114</v>
      </c>
      <c r="M783" s="6" t="s">
        <v>787</v>
      </c>
      <c r="N783" s="7" t="s">
        <v>92</v>
      </c>
      <c r="O783" s="7" t="s">
        <v>93</v>
      </c>
      <c r="P783" s="3" t="s">
        <v>673</v>
      </c>
      <c r="Q783" s="8" t="s">
        <v>584</v>
      </c>
      <c r="R783" s="7" t="s">
        <v>585</v>
      </c>
      <c r="S783" s="9">
        <f>149+7</f>
        <v>156</v>
      </c>
      <c r="T783" s="9">
        <v>424.1</v>
      </c>
      <c r="U783" s="9">
        <f t="shared" ref="U783" si="453">T783*S783</f>
        <v>66159.600000000006</v>
      </c>
      <c r="V783" s="9">
        <f t="shared" ref="V783" si="454">U783*1.12</f>
        <v>74098.752000000008</v>
      </c>
      <c r="W783" s="7"/>
      <c r="X783" s="2">
        <v>2016</v>
      </c>
      <c r="Y783" s="2"/>
    </row>
    <row r="784" spans="1:25" s="11" customFormat="1" ht="140.25" customHeight="1" outlineLevel="1" x14ac:dyDescent="0.25">
      <c r="A784" s="16"/>
      <c r="B784" s="2" t="s">
        <v>5925</v>
      </c>
      <c r="C784" s="3" t="s">
        <v>83</v>
      </c>
      <c r="D784" s="3" t="s">
        <v>2381</v>
      </c>
      <c r="E784" s="3" t="s">
        <v>2378</v>
      </c>
      <c r="F784" s="3" t="s">
        <v>2382</v>
      </c>
      <c r="G784" s="19" t="s">
        <v>2383</v>
      </c>
      <c r="H784" s="2" t="s">
        <v>88</v>
      </c>
      <c r="I784" s="4">
        <v>0.4</v>
      </c>
      <c r="J784" s="5">
        <v>710000000</v>
      </c>
      <c r="K784" s="5" t="s">
        <v>89</v>
      </c>
      <c r="L784" s="2" t="s">
        <v>754</v>
      </c>
      <c r="M784" s="6" t="s">
        <v>787</v>
      </c>
      <c r="N784" s="7" t="s">
        <v>92</v>
      </c>
      <c r="O784" s="7" t="s">
        <v>93</v>
      </c>
      <c r="P784" s="3" t="s">
        <v>94</v>
      </c>
      <c r="Q784" s="8" t="s">
        <v>584</v>
      </c>
      <c r="R784" s="7" t="s">
        <v>585</v>
      </c>
      <c r="S784" s="9">
        <f>17+1+14+1+3</f>
        <v>36</v>
      </c>
      <c r="T784" s="9">
        <v>294.64</v>
      </c>
      <c r="U784" s="9">
        <v>0</v>
      </c>
      <c r="V784" s="9">
        <f t="shared" si="434"/>
        <v>0</v>
      </c>
      <c r="W784" s="7" t="s">
        <v>97</v>
      </c>
      <c r="X784" s="2">
        <v>2016</v>
      </c>
      <c r="Y784" s="2" t="s">
        <v>7793</v>
      </c>
    </row>
    <row r="785" spans="1:25" s="11" customFormat="1" ht="140.25" customHeight="1" outlineLevel="1" x14ac:dyDescent="0.25">
      <c r="A785" s="16"/>
      <c r="B785" s="2" t="s">
        <v>7828</v>
      </c>
      <c r="C785" s="3" t="s">
        <v>83</v>
      </c>
      <c r="D785" s="3" t="s">
        <v>2381</v>
      </c>
      <c r="E785" s="3" t="s">
        <v>2378</v>
      </c>
      <c r="F785" s="3" t="s">
        <v>2382</v>
      </c>
      <c r="G785" s="19" t="s">
        <v>2383</v>
      </c>
      <c r="H785" s="2" t="s">
        <v>88</v>
      </c>
      <c r="I785" s="4">
        <v>0</v>
      </c>
      <c r="J785" s="5">
        <v>710000000</v>
      </c>
      <c r="K785" s="5" t="s">
        <v>89</v>
      </c>
      <c r="L785" s="2" t="s">
        <v>754</v>
      </c>
      <c r="M785" s="6" t="s">
        <v>787</v>
      </c>
      <c r="N785" s="7" t="s">
        <v>92</v>
      </c>
      <c r="O785" s="7" t="s">
        <v>93</v>
      </c>
      <c r="P785" s="3" t="s">
        <v>673</v>
      </c>
      <c r="Q785" s="8" t="s">
        <v>584</v>
      </c>
      <c r="R785" s="7" t="s">
        <v>585</v>
      </c>
      <c r="S785" s="9">
        <f>17+1+14+1+3</f>
        <v>36</v>
      </c>
      <c r="T785" s="9">
        <v>294.64</v>
      </c>
      <c r="U785" s="9">
        <v>0</v>
      </c>
      <c r="V785" s="9">
        <f t="shared" ref="V785" si="455">U785*1.12</f>
        <v>0</v>
      </c>
      <c r="W785" s="7"/>
      <c r="X785" s="2">
        <v>2016</v>
      </c>
      <c r="Y785" s="2" t="s">
        <v>8493</v>
      </c>
    </row>
    <row r="786" spans="1:25" s="11" customFormat="1" ht="140.25" customHeight="1" outlineLevel="1" x14ac:dyDescent="0.25">
      <c r="A786" s="16"/>
      <c r="B786" s="2" t="s">
        <v>9121</v>
      </c>
      <c r="C786" s="3" t="s">
        <v>83</v>
      </c>
      <c r="D786" s="3" t="s">
        <v>2381</v>
      </c>
      <c r="E786" s="3" t="s">
        <v>2378</v>
      </c>
      <c r="F786" s="3" t="s">
        <v>2382</v>
      </c>
      <c r="G786" s="19" t="s">
        <v>2383</v>
      </c>
      <c r="H786" s="2" t="s">
        <v>88</v>
      </c>
      <c r="I786" s="4">
        <v>0</v>
      </c>
      <c r="J786" s="5">
        <v>710000000</v>
      </c>
      <c r="K786" s="5" t="s">
        <v>89</v>
      </c>
      <c r="L786" s="5" t="s">
        <v>9114</v>
      </c>
      <c r="M786" s="6" t="s">
        <v>787</v>
      </c>
      <c r="N786" s="7" t="s">
        <v>92</v>
      </c>
      <c r="O786" s="7" t="s">
        <v>93</v>
      </c>
      <c r="P786" s="3" t="s">
        <v>673</v>
      </c>
      <c r="Q786" s="8" t="s">
        <v>584</v>
      </c>
      <c r="R786" s="7" t="s">
        <v>585</v>
      </c>
      <c r="S786" s="9">
        <f>17+1+14+1+3</f>
        <v>36</v>
      </c>
      <c r="T786" s="9">
        <v>245.53</v>
      </c>
      <c r="U786" s="9">
        <f t="shared" ref="U786" si="456">T786*S786</f>
        <v>8839.08</v>
      </c>
      <c r="V786" s="9">
        <f t="shared" ref="V786" si="457">U786*1.12</f>
        <v>9899.7696000000014</v>
      </c>
      <c r="W786" s="7"/>
      <c r="X786" s="2">
        <v>2016</v>
      </c>
      <c r="Y786" s="2"/>
    </row>
    <row r="787" spans="1:25" s="11" customFormat="1" ht="140.25" customHeight="1" outlineLevel="1" x14ac:dyDescent="0.25">
      <c r="A787" s="16"/>
      <c r="B787" s="2" t="s">
        <v>5926</v>
      </c>
      <c r="C787" s="3" t="s">
        <v>83</v>
      </c>
      <c r="D787" s="19" t="s">
        <v>2384</v>
      </c>
      <c r="E787" s="19" t="s">
        <v>2374</v>
      </c>
      <c r="F787" s="19" t="s">
        <v>2385</v>
      </c>
      <c r="G787" s="19" t="s">
        <v>2386</v>
      </c>
      <c r="H787" s="2" t="s">
        <v>88</v>
      </c>
      <c r="I787" s="4">
        <v>0.4</v>
      </c>
      <c r="J787" s="5">
        <v>710000000</v>
      </c>
      <c r="K787" s="5" t="s">
        <v>89</v>
      </c>
      <c r="L787" s="2" t="s">
        <v>754</v>
      </c>
      <c r="M787" s="6" t="s">
        <v>787</v>
      </c>
      <c r="N787" s="7" t="s">
        <v>92</v>
      </c>
      <c r="O787" s="7" t="s">
        <v>93</v>
      </c>
      <c r="P787" s="3" t="s">
        <v>94</v>
      </c>
      <c r="Q787" s="8">
        <v>112</v>
      </c>
      <c r="R787" s="8" t="s">
        <v>96</v>
      </c>
      <c r="S787" s="9">
        <f>2230+3456+643+443+57+198+136</f>
        <v>7163</v>
      </c>
      <c r="T787" s="9">
        <v>200.45</v>
      </c>
      <c r="U787" s="9">
        <v>1435823.3499999999</v>
      </c>
      <c r="V787" s="9">
        <v>1608122.152</v>
      </c>
      <c r="W787" s="7" t="s">
        <v>97</v>
      </c>
      <c r="X787" s="2">
        <v>2016</v>
      </c>
      <c r="Y787" s="2"/>
    </row>
    <row r="788" spans="1:25" s="11" customFormat="1" ht="89.25" customHeight="1" outlineLevel="1" x14ac:dyDescent="0.25">
      <c r="A788" s="16"/>
      <c r="B788" s="2" t="s">
        <v>5927</v>
      </c>
      <c r="C788" s="3" t="s">
        <v>83</v>
      </c>
      <c r="D788" s="19" t="s">
        <v>2387</v>
      </c>
      <c r="E788" s="19" t="s">
        <v>2374</v>
      </c>
      <c r="F788" s="19" t="s">
        <v>2388</v>
      </c>
      <c r="G788" s="19" t="s">
        <v>2389</v>
      </c>
      <c r="H788" s="2" t="s">
        <v>88</v>
      </c>
      <c r="I788" s="4">
        <v>0.4</v>
      </c>
      <c r="J788" s="5">
        <v>710000000</v>
      </c>
      <c r="K788" s="5" t="s">
        <v>89</v>
      </c>
      <c r="L788" s="2" t="s">
        <v>754</v>
      </c>
      <c r="M788" s="6" t="s">
        <v>787</v>
      </c>
      <c r="N788" s="7" t="s">
        <v>92</v>
      </c>
      <c r="O788" s="7" t="s">
        <v>93</v>
      </c>
      <c r="P788" s="3" t="s">
        <v>94</v>
      </c>
      <c r="Q788" s="8">
        <v>796</v>
      </c>
      <c r="R788" s="7" t="s">
        <v>118</v>
      </c>
      <c r="S788" s="9">
        <v>5</v>
      </c>
      <c r="T788" s="9">
        <v>2227.6799999999998</v>
      </c>
      <c r="U788" s="9">
        <v>0</v>
      </c>
      <c r="V788" s="9">
        <f t="shared" si="434"/>
        <v>0</v>
      </c>
      <c r="W788" s="7" t="s">
        <v>97</v>
      </c>
      <c r="X788" s="2">
        <v>2016</v>
      </c>
      <c r="Y788" s="2" t="s">
        <v>7793</v>
      </c>
    </row>
    <row r="789" spans="1:25" s="11" customFormat="1" ht="89.25" customHeight="1" outlineLevel="1" x14ac:dyDescent="0.25">
      <c r="A789" s="16"/>
      <c r="B789" s="2" t="s">
        <v>7829</v>
      </c>
      <c r="C789" s="3" t="s">
        <v>83</v>
      </c>
      <c r="D789" s="19" t="s">
        <v>2387</v>
      </c>
      <c r="E789" s="19" t="s">
        <v>2374</v>
      </c>
      <c r="F789" s="19" t="s">
        <v>2388</v>
      </c>
      <c r="G789" s="19" t="s">
        <v>2389</v>
      </c>
      <c r="H789" s="2" t="s">
        <v>88</v>
      </c>
      <c r="I789" s="4">
        <v>0</v>
      </c>
      <c r="J789" s="5">
        <v>710000000</v>
      </c>
      <c r="K789" s="5" t="s">
        <v>89</v>
      </c>
      <c r="L789" s="2" t="s">
        <v>754</v>
      </c>
      <c r="M789" s="6" t="s">
        <v>787</v>
      </c>
      <c r="N789" s="7" t="s">
        <v>92</v>
      </c>
      <c r="O789" s="7" t="s">
        <v>93</v>
      </c>
      <c r="P789" s="3" t="s">
        <v>673</v>
      </c>
      <c r="Q789" s="8">
        <v>796</v>
      </c>
      <c r="R789" s="7" t="s">
        <v>118</v>
      </c>
      <c r="S789" s="9">
        <v>5</v>
      </c>
      <c r="T789" s="9">
        <v>2227.6799999999998</v>
      </c>
      <c r="U789" s="9">
        <v>0</v>
      </c>
      <c r="V789" s="9">
        <f t="shared" ref="V789" si="458">U789*1.12</f>
        <v>0</v>
      </c>
      <c r="W789" s="7"/>
      <c r="X789" s="2">
        <v>2016</v>
      </c>
      <c r="Y789" s="2" t="s">
        <v>2339</v>
      </c>
    </row>
    <row r="790" spans="1:25" s="11" customFormat="1" ht="89.25" customHeight="1" outlineLevel="1" x14ac:dyDescent="0.25">
      <c r="A790" s="16"/>
      <c r="B790" s="2" t="s">
        <v>9122</v>
      </c>
      <c r="C790" s="3" t="s">
        <v>83</v>
      </c>
      <c r="D790" s="19" t="s">
        <v>2387</v>
      </c>
      <c r="E790" s="19" t="s">
        <v>2374</v>
      </c>
      <c r="F790" s="19" t="s">
        <v>2388</v>
      </c>
      <c r="G790" s="19" t="s">
        <v>2389</v>
      </c>
      <c r="H790" s="2" t="s">
        <v>88</v>
      </c>
      <c r="I790" s="4">
        <v>0</v>
      </c>
      <c r="J790" s="5">
        <v>710000000</v>
      </c>
      <c r="K790" s="5" t="s">
        <v>89</v>
      </c>
      <c r="L790" s="5" t="s">
        <v>9114</v>
      </c>
      <c r="M790" s="6" t="s">
        <v>787</v>
      </c>
      <c r="N790" s="7" t="s">
        <v>92</v>
      </c>
      <c r="O790" s="7" t="s">
        <v>93</v>
      </c>
      <c r="P790" s="3" t="s">
        <v>673</v>
      </c>
      <c r="Q790" s="8">
        <v>796</v>
      </c>
      <c r="R790" s="7" t="s">
        <v>118</v>
      </c>
      <c r="S790" s="9">
        <v>4</v>
      </c>
      <c r="T790" s="9">
        <v>2946.43</v>
      </c>
      <c r="U790" s="9">
        <f t="shared" ref="U790" si="459">T790*S790</f>
        <v>11785.72</v>
      </c>
      <c r="V790" s="9">
        <f t="shared" ref="V790" si="460">U790*1.12</f>
        <v>13200.0064</v>
      </c>
      <c r="W790" s="7"/>
      <c r="X790" s="2">
        <v>2016</v>
      </c>
      <c r="Y790" s="2"/>
    </row>
    <row r="791" spans="1:25" s="11" customFormat="1" ht="89.25" customHeight="1" outlineLevel="1" x14ac:dyDescent="0.25">
      <c r="A791" s="16"/>
      <c r="B791" s="2" t="s">
        <v>5928</v>
      </c>
      <c r="C791" s="19" t="s">
        <v>83</v>
      </c>
      <c r="D791" s="19" t="s">
        <v>2363</v>
      </c>
      <c r="E791" s="19" t="s">
        <v>2341</v>
      </c>
      <c r="F791" s="19" t="s">
        <v>2364</v>
      </c>
      <c r="G791" s="19" t="s">
        <v>2390</v>
      </c>
      <c r="H791" s="2" t="s">
        <v>88</v>
      </c>
      <c r="I791" s="4">
        <v>0.4</v>
      </c>
      <c r="J791" s="5">
        <v>710000000</v>
      </c>
      <c r="K791" s="5" t="s">
        <v>89</v>
      </c>
      <c r="L791" s="2" t="s">
        <v>754</v>
      </c>
      <c r="M791" s="6" t="s">
        <v>787</v>
      </c>
      <c r="N791" s="7" t="s">
        <v>92</v>
      </c>
      <c r="O791" s="7" t="s">
        <v>93</v>
      </c>
      <c r="P791" s="3" t="s">
        <v>94</v>
      </c>
      <c r="Q791" s="8">
        <v>796</v>
      </c>
      <c r="R791" s="7" t="s">
        <v>118</v>
      </c>
      <c r="S791" s="9">
        <v>2</v>
      </c>
      <c r="T791" s="9">
        <v>2678.57</v>
      </c>
      <c r="U791" s="9">
        <v>0</v>
      </c>
      <c r="V791" s="9">
        <f t="shared" si="434"/>
        <v>0</v>
      </c>
      <c r="W791" s="7" t="s">
        <v>97</v>
      </c>
      <c r="X791" s="2">
        <v>2016</v>
      </c>
      <c r="Y791" s="2" t="s">
        <v>7793</v>
      </c>
    </row>
    <row r="792" spans="1:25" s="11" customFormat="1" ht="89.25" customHeight="1" outlineLevel="1" x14ac:dyDescent="0.25">
      <c r="A792" s="16"/>
      <c r="B792" s="2" t="s">
        <v>7830</v>
      </c>
      <c r="C792" s="19" t="s">
        <v>83</v>
      </c>
      <c r="D792" s="19" t="s">
        <v>2363</v>
      </c>
      <c r="E792" s="19" t="s">
        <v>2341</v>
      </c>
      <c r="F792" s="19" t="s">
        <v>2364</v>
      </c>
      <c r="G792" s="19" t="s">
        <v>2390</v>
      </c>
      <c r="H792" s="2" t="s">
        <v>88</v>
      </c>
      <c r="I792" s="4">
        <v>0</v>
      </c>
      <c r="J792" s="5">
        <v>710000000</v>
      </c>
      <c r="K792" s="5" t="s">
        <v>89</v>
      </c>
      <c r="L792" s="2" t="s">
        <v>754</v>
      </c>
      <c r="M792" s="6" t="s">
        <v>787</v>
      </c>
      <c r="N792" s="7" t="s">
        <v>92</v>
      </c>
      <c r="O792" s="7" t="s">
        <v>93</v>
      </c>
      <c r="P792" s="3" t="s">
        <v>673</v>
      </c>
      <c r="Q792" s="8">
        <v>796</v>
      </c>
      <c r="R792" s="7" t="s">
        <v>118</v>
      </c>
      <c r="S792" s="9">
        <v>2</v>
      </c>
      <c r="T792" s="9">
        <v>2678.57</v>
      </c>
      <c r="U792" s="9">
        <v>0</v>
      </c>
      <c r="V792" s="9">
        <f t="shared" ref="V792" si="461">U792*1.12</f>
        <v>0</v>
      </c>
      <c r="W792" s="7"/>
      <c r="X792" s="2">
        <v>2016</v>
      </c>
      <c r="Y792" s="2">
        <v>11</v>
      </c>
    </row>
    <row r="793" spans="1:25" s="11" customFormat="1" ht="89.25" customHeight="1" outlineLevel="1" x14ac:dyDescent="0.25">
      <c r="A793" s="16"/>
      <c r="B793" s="2" t="s">
        <v>9123</v>
      </c>
      <c r="C793" s="19" t="s">
        <v>83</v>
      </c>
      <c r="D793" s="19" t="s">
        <v>2363</v>
      </c>
      <c r="E793" s="19" t="s">
        <v>2341</v>
      </c>
      <c r="F793" s="19" t="s">
        <v>2364</v>
      </c>
      <c r="G793" s="19" t="s">
        <v>2390</v>
      </c>
      <c r="H793" s="2" t="s">
        <v>88</v>
      </c>
      <c r="I793" s="4">
        <v>0</v>
      </c>
      <c r="J793" s="5">
        <v>710000000</v>
      </c>
      <c r="K793" s="5" t="s">
        <v>89</v>
      </c>
      <c r="L793" s="5" t="s">
        <v>9114</v>
      </c>
      <c r="M793" s="6" t="s">
        <v>787</v>
      </c>
      <c r="N793" s="7" t="s">
        <v>92</v>
      </c>
      <c r="O793" s="7" t="s">
        <v>93</v>
      </c>
      <c r="P793" s="3" t="s">
        <v>673</v>
      </c>
      <c r="Q793" s="8">
        <v>796</v>
      </c>
      <c r="R793" s="7" t="s">
        <v>118</v>
      </c>
      <c r="S793" s="9">
        <v>2</v>
      </c>
      <c r="T793" s="9">
        <v>2678.57</v>
      </c>
      <c r="U793" s="9">
        <f t="shared" ref="U793" si="462">T793*S793</f>
        <v>5357.14</v>
      </c>
      <c r="V793" s="9">
        <f t="shared" ref="V793" si="463">U793*1.12</f>
        <v>5999.9968000000008</v>
      </c>
      <c r="W793" s="7"/>
      <c r="X793" s="2">
        <v>2016</v>
      </c>
      <c r="Y793" s="2"/>
    </row>
    <row r="794" spans="1:25" s="11" customFormat="1" ht="114.75" customHeight="1" outlineLevel="1" x14ac:dyDescent="0.25">
      <c r="A794" s="16"/>
      <c r="B794" s="2" t="s">
        <v>5929</v>
      </c>
      <c r="C794" s="19" t="s">
        <v>83</v>
      </c>
      <c r="D794" s="19" t="s">
        <v>2363</v>
      </c>
      <c r="E794" s="19" t="s">
        <v>2341</v>
      </c>
      <c r="F794" s="19" t="s">
        <v>2364</v>
      </c>
      <c r="G794" s="19" t="s">
        <v>2391</v>
      </c>
      <c r="H794" s="2" t="s">
        <v>88</v>
      </c>
      <c r="I794" s="4">
        <v>0.4</v>
      </c>
      <c r="J794" s="5">
        <v>710000000</v>
      </c>
      <c r="K794" s="5" t="s">
        <v>89</v>
      </c>
      <c r="L794" s="2" t="s">
        <v>754</v>
      </c>
      <c r="M794" s="6" t="s">
        <v>787</v>
      </c>
      <c r="N794" s="7" t="s">
        <v>92</v>
      </c>
      <c r="O794" s="7" t="s">
        <v>93</v>
      </c>
      <c r="P794" s="3" t="s">
        <v>94</v>
      </c>
      <c r="Q794" s="8">
        <v>796</v>
      </c>
      <c r="R794" s="7" t="s">
        <v>118</v>
      </c>
      <c r="S794" s="9">
        <v>4</v>
      </c>
      <c r="T794" s="9">
        <v>2678.57</v>
      </c>
      <c r="U794" s="9">
        <v>0</v>
      </c>
      <c r="V794" s="9">
        <f t="shared" si="434"/>
        <v>0</v>
      </c>
      <c r="W794" s="7" t="s">
        <v>97</v>
      </c>
      <c r="X794" s="2">
        <v>2016</v>
      </c>
      <c r="Y794" s="2" t="s">
        <v>7793</v>
      </c>
    </row>
    <row r="795" spans="1:25" s="11" customFormat="1" ht="114.75" customHeight="1" outlineLevel="1" x14ac:dyDescent="0.25">
      <c r="A795" s="16"/>
      <c r="B795" s="2" t="s">
        <v>7831</v>
      </c>
      <c r="C795" s="19" t="s">
        <v>83</v>
      </c>
      <c r="D795" s="19" t="s">
        <v>2363</v>
      </c>
      <c r="E795" s="19" t="s">
        <v>2341</v>
      </c>
      <c r="F795" s="19" t="s">
        <v>2364</v>
      </c>
      <c r="G795" s="19" t="s">
        <v>2391</v>
      </c>
      <c r="H795" s="2" t="s">
        <v>88</v>
      </c>
      <c r="I795" s="4">
        <v>0</v>
      </c>
      <c r="J795" s="5">
        <v>710000000</v>
      </c>
      <c r="K795" s="5" t="s">
        <v>89</v>
      </c>
      <c r="L795" s="2" t="s">
        <v>754</v>
      </c>
      <c r="M795" s="6" t="s">
        <v>787</v>
      </c>
      <c r="N795" s="7" t="s">
        <v>92</v>
      </c>
      <c r="O795" s="7" t="s">
        <v>93</v>
      </c>
      <c r="P795" s="3" t="s">
        <v>673</v>
      </c>
      <c r="Q795" s="8">
        <v>796</v>
      </c>
      <c r="R795" s="7" t="s">
        <v>118</v>
      </c>
      <c r="S795" s="9">
        <v>4</v>
      </c>
      <c r="T795" s="9">
        <v>2678.57</v>
      </c>
      <c r="U795" s="9">
        <v>0</v>
      </c>
      <c r="V795" s="9">
        <f t="shared" ref="V795" si="464">U795*1.12</f>
        <v>0</v>
      </c>
      <c r="W795" s="7"/>
      <c r="X795" s="2">
        <v>2016</v>
      </c>
      <c r="Y795" s="2">
        <v>11</v>
      </c>
    </row>
    <row r="796" spans="1:25" s="11" customFormat="1" ht="114.75" customHeight="1" outlineLevel="1" x14ac:dyDescent="0.25">
      <c r="A796" s="16"/>
      <c r="B796" s="2" t="s">
        <v>9124</v>
      </c>
      <c r="C796" s="19" t="s">
        <v>83</v>
      </c>
      <c r="D796" s="19" t="s">
        <v>2363</v>
      </c>
      <c r="E796" s="19" t="s">
        <v>2341</v>
      </c>
      <c r="F796" s="19" t="s">
        <v>2364</v>
      </c>
      <c r="G796" s="19" t="s">
        <v>2391</v>
      </c>
      <c r="H796" s="2" t="s">
        <v>88</v>
      </c>
      <c r="I796" s="4">
        <v>0</v>
      </c>
      <c r="J796" s="5">
        <v>710000000</v>
      </c>
      <c r="K796" s="5" t="s">
        <v>89</v>
      </c>
      <c r="L796" s="5" t="s">
        <v>9114</v>
      </c>
      <c r="M796" s="6" t="s">
        <v>787</v>
      </c>
      <c r="N796" s="7" t="s">
        <v>92</v>
      </c>
      <c r="O796" s="7" t="s">
        <v>93</v>
      </c>
      <c r="P796" s="3" t="s">
        <v>673</v>
      </c>
      <c r="Q796" s="8">
        <v>796</v>
      </c>
      <c r="R796" s="7" t="s">
        <v>118</v>
      </c>
      <c r="S796" s="9">
        <v>4</v>
      </c>
      <c r="T796" s="9">
        <v>2678.57</v>
      </c>
      <c r="U796" s="9">
        <f t="shared" ref="U796" si="465">T796*S796</f>
        <v>10714.28</v>
      </c>
      <c r="V796" s="9">
        <f t="shared" ref="V796" si="466">U796*1.12</f>
        <v>11999.993600000002</v>
      </c>
      <c r="W796" s="7"/>
      <c r="X796" s="2">
        <v>2016</v>
      </c>
      <c r="Y796" s="2"/>
    </row>
    <row r="797" spans="1:25" s="11" customFormat="1" ht="89.25" customHeight="1" outlineLevel="1" x14ac:dyDescent="0.25">
      <c r="A797" s="1"/>
      <c r="B797" s="2" t="s">
        <v>5930</v>
      </c>
      <c r="C797" s="19" t="s">
        <v>83</v>
      </c>
      <c r="D797" s="19" t="s">
        <v>2392</v>
      </c>
      <c r="E797" s="19" t="s">
        <v>2341</v>
      </c>
      <c r="F797" s="19" t="s">
        <v>2393</v>
      </c>
      <c r="G797" s="19" t="s">
        <v>2394</v>
      </c>
      <c r="H797" s="2" t="s">
        <v>88</v>
      </c>
      <c r="I797" s="4">
        <v>0.4</v>
      </c>
      <c r="J797" s="5">
        <v>710000000</v>
      </c>
      <c r="K797" s="5" t="s">
        <v>89</v>
      </c>
      <c r="L797" s="2" t="s">
        <v>754</v>
      </c>
      <c r="M797" s="6" t="s">
        <v>787</v>
      </c>
      <c r="N797" s="7" t="s">
        <v>92</v>
      </c>
      <c r="O797" s="7" t="s">
        <v>93</v>
      </c>
      <c r="P797" s="3" t="s">
        <v>94</v>
      </c>
      <c r="Q797" s="8">
        <v>796</v>
      </c>
      <c r="R797" s="7" t="s">
        <v>118</v>
      </c>
      <c r="S797" s="9">
        <f>5+72+10</f>
        <v>87</v>
      </c>
      <c r="T797" s="9">
        <v>1103.57</v>
      </c>
      <c r="U797" s="9">
        <v>0</v>
      </c>
      <c r="V797" s="9">
        <f t="shared" si="434"/>
        <v>0</v>
      </c>
      <c r="W797" s="7" t="s">
        <v>97</v>
      </c>
      <c r="X797" s="2">
        <v>2016</v>
      </c>
      <c r="Y797" s="2" t="s">
        <v>7793</v>
      </c>
    </row>
    <row r="798" spans="1:25" s="11" customFormat="1" ht="89.25" customHeight="1" outlineLevel="1" x14ac:dyDescent="0.25">
      <c r="A798" s="1"/>
      <c r="B798" s="2" t="s">
        <v>7832</v>
      </c>
      <c r="C798" s="19" t="s">
        <v>83</v>
      </c>
      <c r="D798" s="19" t="s">
        <v>2392</v>
      </c>
      <c r="E798" s="19" t="s">
        <v>2341</v>
      </c>
      <c r="F798" s="19" t="s">
        <v>2393</v>
      </c>
      <c r="G798" s="19" t="s">
        <v>2394</v>
      </c>
      <c r="H798" s="2" t="s">
        <v>88</v>
      </c>
      <c r="I798" s="4">
        <v>0</v>
      </c>
      <c r="J798" s="5">
        <v>710000000</v>
      </c>
      <c r="K798" s="5" t="s">
        <v>89</v>
      </c>
      <c r="L798" s="2" t="s">
        <v>754</v>
      </c>
      <c r="M798" s="6" t="s">
        <v>787</v>
      </c>
      <c r="N798" s="7" t="s">
        <v>92</v>
      </c>
      <c r="O798" s="7" t="s">
        <v>93</v>
      </c>
      <c r="P798" s="3" t="s">
        <v>673</v>
      </c>
      <c r="Q798" s="8">
        <v>796</v>
      </c>
      <c r="R798" s="7" t="s">
        <v>118</v>
      </c>
      <c r="S798" s="9">
        <f>5+72+10</f>
        <v>87</v>
      </c>
      <c r="T798" s="9">
        <v>1103.57</v>
      </c>
      <c r="U798" s="9">
        <v>0</v>
      </c>
      <c r="V798" s="9">
        <f t="shared" ref="V798" si="467">U798*1.12</f>
        <v>0</v>
      </c>
      <c r="W798" s="7"/>
      <c r="X798" s="2">
        <v>2016</v>
      </c>
      <c r="Y798" s="5" t="s">
        <v>2339</v>
      </c>
    </row>
    <row r="799" spans="1:25" s="11" customFormat="1" ht="89.25" customHeight="1" outlineLevel="1" x14ac:dyDescent="0.25">
      <c r="A799" s="1"/>
      <c r="B799" s="2" t="s">
        <v>9125</v>
      </c>
      <c r="C799" s="19" t="s">
        <v>83</v>
      </c>
      <c r="D799" s="19" t="s">
        <v>2392</v>
      </c>
      <c r="E799" s="19" t="s">
        <v>2341</v>
      </c>
      <c r="F799" s="19" t="s">
        <v>2393</v>
      </c>
      <c r="G799" s="19" t="s">
        <v>2394</v>
      </c>
      <c r="H799" s="2" t="s">
        <v>88</v>
      </c>
      <c r="I799" s="4">
        <v>0</v>
      </c>
      <c r="J799" s="5">
        <v>710000000</v>
      </c>
      <c r="K799" s="5" t="s">
        <v>89</v>
      </c>
      <c r="L799" s="5" t="s">
        <v>9114</v>
      </c>
      <c r="M799" s="6" t="s">
        <v>787</v>
      </c>
      <c r="N799" s="7" t="s">
        <v>92</v>
      </c>
      <c r="O799" s="7" t="s">
        <v>93</v>
      </c>
      <c r="P799" s="3" t="s">
        <v>673</v>
      </c>
      <c r="Q799" s="8">
        <v>796</v>
      </c>
      <c r="R799" s="7" t="s">
        <v>118</v>
      </c>
      <c r="S799" s="9">
        <v>85</v>
      </c>
      <c r="T799" s="9">
        <v>1120.53</v>
      </c>
      <c r="U799" s="9">
        <v>0</v>
      </c>
      <c r="V799" s="9">
        <f t="shared" ref="V799" si="468">U799*1.12</f>
        <v>0</v>
      </c>
      <c r="W799" s="7"/>
      <c r="X799" s="2">
        <v>2016</v>
      </c>
      <c r="Y799" s="2" t="s">
        <v>7460</v>
      </c>
    </row>
    <row r="800" spans="1:25" s="11" customFormat="1" ht="242.25" customHeight="1" outlineLevel="1" x14ac:dyDescent="0.25">
      <c r="A800" s="16"/>
      <c r="B800" s="2" t="s">
        <v>5931</v>
      </c>
      <c r="C800" s="3" t="s">
        <v>83</v>
      </c>
      <c r="D800" s="19" t="s">
        <v>2387</v>
      </c>
      <c r="E800" s="19" t="s">
        <v>2374</v>
      </c>
      <c r="F800" s="19" t="s">
        <v>2388</v>
      </c>
      <c r="G800" s="19" t="s">
        <v>2395</v>
      </c>
      <c r="H800" s="2" t="s">
        <v>88</v>
      </c>
      <c r="I800" s="4">
        <v>0.4</v>
      </c>
      <c r="J800" s="5">
        <v>710000000</v>
      </c>
      <c r="K800" s="5" t="s">
        <v>89</v>
      </c>
      <c r="L800" s="2" t="s">
        <v>754</v>
      </c>
      <c r="M800" s="6" t="s">
        <v>787</v>
      </c>
      <c r="N800" s="7" t="s">
        <v>92</v>
      </c>
      <c r="O800" s="7" t="s">
        <v>93</v>
      </c>
      <c r="P800" s="3" t="s">
        <v>94</v>
      </c>
      <c r="Q800" s="8">
        <v>796</v>
      </c>
      <c r="R800" s="7" t="s">
        <v>118</v>
      </c>
      <c r="S800" s="9">
        <f>80+60+100+156+68+6+336</f>
        <v>806</v>
      </c>
      <c r="T800" s="9">
        <v>497.77</v>
      </c>
      <c r="U800" s="9">
        <v>401202.62</v>
      </c>
      <c r="V800" s="9">
        <v>449346.93440000003</v>
      </c>
      <c r="W800" s="7" t="s">
        <v>97</v>
      </c>
      <c r="X800" s="2">
        <v>2016</v>
      </c>
      <c r="Y800" s="2"/>
    </row>
    <row r="801" spans="1:25" s="11" customFormat="1" ht="89.25" customHeight="1" outlineLevel="1" x14ac:dyDescent="0.25">
      <c r="A801" s="16"/>
      <c r="B801" s="2" t="s">
        <v>5932</v>
      </c>
      <c r="C801" s="3" t="s">
        <v>83</v>
      </c>
      <c r="D801" s="19" t="s">
        <v>2396</v>
      </c>
      <c r="E801" s="19" t="s">
        <v>2397</v>
      </c>
      <c r="F801" s="19" t="s">
        <v>2398</v>
      </c>
      <c r="G801" s="19" t="s">
        <v>2399</v>
      </c>
      <c r="H801" s="2" t="s">
        <v>88</v>
      </c>
      <c r="I801" s="4">
        <v>0.4</v>
      </c>
      <c r="J801" s="5">
        <v>710000000</v>
      </c>
      <c r="K801" s="5" t="s">
        <v>89</v>
      </c>
      <c r="L801" s="2" t="s">
        <v>754</v>
      </c>
      <c r="M801" s="6" t="s">
        <v>787</v>
      </c>
      <c r="N801" s="7" t="s">
        <v>92</v>
      </c>
      <c r="O801" s="7" t="s">
        <v>93</v>
      </c>
      <c r="P801" s="3" t="s">
        <v>94</v>
      </c>
      <c r="Q801" s="8">
        <v>796</v>
      </c>
      <c r="R801" s="7" t="s">
        <v>118</v>
      </c>
      <c r="S801" s="9">
        <f>114+4+485+200</f>
        <v>803</v>
      </c>
      <c r="T801" s="9">
        <v>1536</v>
      </c>
      <c r="U801" s="9">
        <v>0</v>
      </c>
      <c r="V801" s="9">
        <f t="shared" si="434"/>
        <v>0</v>
      </c>
      <c r="W801" s="7" t="s">
        <v>97</v>
      </c>
      <c r="X801" s="2">
        <v>2016</v>
      </c>
      <c r="Y801" s="2" t="s">
        <v>7793</v>
      </c>
    </row>
    <row r="802" spans="1:25" s="11" customFormat="1" ht="89.25" customHeight="1" outlineLevel="1" x14ac:dyDescent="0.25">
      <c r="A802" s="16"/>
      <c r="B802" s="2" t="s">
        <v>7833</v>
      </c>
      <c r="C802" s="3" t="s">
        <v>83</v>
      </c>
      <c r="D802" s="19" t="s">
        <v>2396</v>
      </c>
      <c r="E802" s="19" t="s">
        <v>2397</v>
      </c>
      <c r="F802" s="19" t="s">
        <v>2398</v>
      </c>
      <c r="G802" s="19" t="s">
        <v>2399</v>
      </c>
      <c r="H802" s="2" t="s">
        <v>88</v>
      </c>
      <c r="I802" s="4">
        <v>0</v>
      </c>
      <c r="J802" s="5">
        <v>710000000</v>
      </c>
      <c r="K802" s="5" t="s">
        <v>89</v>
      </c>
      <c r="L802" s="2" t="s">
        <v>754</v>
      </c>
      <c r="M802" s="6" t="s">
        <v>787</v>
      </c>
      <c r="N802" s="7" t="s">
        <v>92</v>
      </c>
      <c r="O802" s="7" t="s">
        <v>93</v>
      </c>
      <c r="P802" s="3" t="s">
        <v>673</v>
      </c>
      <c r="Q802" s="8">
        <v>796</v>
      </c>
      <c r="R802" s="7" t="s">
        <v>118</v>
      </c>
      <c r="S802" s="9">
        <f>114+4+485+200</f>
        <v>803</v>
      </c>
      <c r="T802" s="9">
        <v>1536</v>
      </c>
      <c r="U802" s="9">
        <v>0</v>
      </c>
      <c r="V802" s="9">
        <f t="shared" ref="V802" si="469">U802*1.12</f>
        <v>0</v>
      </c>
      <c r="W802" s="7"/>
      <c r="X802" s="2">
        <v>2016</v>
      </c>
      <c r="Y802" s="5">
        <v>11</v>
      </c>
    </row>
    <row r="803" spans="1:25" s="11" customFormat="1" ht="89.25" customHeight="1" outlineLevel="1" x14ac:dyDescent="0.25">
      <c r="A803" s="16"/>
      <c r="B803" s="2" t="s">
        <v>9126</v>
      </c>
      <c r="C803" s="3" t="s">
        <v>83</v>
      </c>
      <c r="D803" s="19" t="s">
        <v>2396</v>
      </c>
      <c r="E803" s="19" t="s">
        <v>2397</v>
      </c>
      <c r="F803" s="19" t="s">
        <v>2398</v>
      </c>
      <c r="G803" s="19" t="s">
        <v>2399</v>
      </c>
      <c r="H803" s="2" t="s">
        <v>88</v>
      </c>
      <c r="I803" s="4">
        <v>0</v>
      </c>
      <c r="J803" s="5">
        <v>710000000</v>
      </c>
      <c r="K803" s="5" t="s">
        <v>89</v>
      </c>
      <c r="L803" s="5" t="s">
        <v>9114</v>
      </c>
      <c r="M803" s="6" t="s">
        <v>787</v>
      </c>
      <c r="N803" s="7" t="s">
        <v>92</v>
      </c>
      <c r="O803" s="7" t="s">
        <v>93</v>
      </c>
      <c r="P803" s="3" t="s">
        <v>673</v>
      </c>
      <c r="Q803" s="8">
        <v>796</v>
      </c>
      <c r="R803" s="7" t="s">
        <v>118</v>
      </c>
      <c r="S803" s="9">
        <f>114+4+485+200</f>
        <v>803</v>
      </c>
      <c r="T803" s="9">
        <v>1536</v>
      </c>
      <c r="U803" s="9">
        <v>0</v>
      </c>
      <c r="V803" s="9">
        <f t="shared" ref="V803" si="470">U803*1.12</f>
        <v>0</v>
      </c>
      <c r="W803" s="7"/>
      <c r="X803" s="2">
        <v>2016</v>
      </c>
      <c r="Y803" s="2" t="s">
        <v>2338</v>
      </c>
    </row>
    <row r="804" spans="1:25" s="11" customFormat="1" ht="89.25" customHeight="1" outlineLevel="1" x14ac:dyDescent="0.25">
      <c r="A804" s="16"/>
      <c r="B804" s="2" t="s">
        <v>9305</v>
      </c>
      <c r="C804" s="3" t="s">
        <v>83</v>
      </c>
      <c r="D804" s="19" t="s">
        <v>2396</v>
      </c>
      <c r="E804" s="19" t="s">
        <v>2397</v>
      </c>
      <c r="F804" s="19" t="s">
        <v>2398</v>
      </c>
      <c r="G804" s="19" t="s">
        <v>2399</v>
      </c>
      <c r="H804" s="2" t="s">
        <v>88</v>
      </c>
      <c r="I804" s="4">
        <v>0</v>
      </c>
      <c r="J804" s="5">
        <v>710000000</v>
      </c>
      <c r="K804" s="5" t="s">
        <v>89</v>
      </c>
      <c r="L804" s="5" t="s">
        <v>9114</v>
      </c>
      <c r="M804" s="6" t="s">
        <v>787</v>
      </c>
      <c r="N804" s="7" t="s">
        <v>92</v>
      </c>
      <c r="O804" s="7" t="s">
        <v>93</v>
      </c>
      <c r="P804" s="3" t="s">
        <v>673</v>
      </c>
      <c r="Q804" s="8">
        <v>796</v>
      </c>
      <c r="R804" s="7" t="s">
        <v>118</v>
      </c>
      <c r="S804" s="9">
        <v>547</v>
      </c>
      <c r="T804" s="9">
        <v>1536</v>
      </c>
      <c r="U804" s="9">
        <f t="shared" ref="U804" si="471">T804*S804</f>
        <v>840192</v>
      </c>
      <c r="V804" s="9">
        <f t="shared" ref="V804" si="472">U804*1.12</f>
        <v>941015.04000000004</v>
      </c>
      <c r="W804" s="7"/>
      <c r="X804" s="2">
        <v>2016</v>
      </c>
      <c r="Y804" s="2"/>
    </row>
    <row r="805" spans="1:25" s="11" customFormat="1" ht="127.5" customHeight="1" outlineLevel="1" x14ac:dyDescent="0.25">
      <c r="A805" s="16"/>
      <c r="B805" s="2" t="s">
        <v>5933</v>
      </c>
      <c r="C805" s="3" t="s">
        <v>83</v>
      </c>
      <c r="D805" s="19" t="s">
        <v>2396</v>
      </c>
      <c r="E805" s="19" t="s">
        <v>2397</v>
      </c>
      <c r="F805" s="19" t="s">
        <v>2398</v>
      </c>
      <c r="G805" s="19" t="s">
        <v>2400</v>
      </c>
      <c r="H805" s="2" t="s">
        <v>88</v>
      </c>
      <c r="I805" s="4">
        <v>0.4</v>
      </c>
      <c r="J805" s="5">
        <v>710000000</v>
      </c>
      <c r="K805" s="5" t="s">
        <v>89</v>
      </c>
      <c r="L805" s="2" t="s">
        <v>754</v>
      </c>
      <c r="M805" s="6" t="s">
        <v>787</v>
      </c>
      <c r="N805" s="7" t="s">
        <v>92</v>
      </c>
      <c r="O805" s="7" t="s">
        <v>93</v>
      </c>
      <c r="P805" s="3" t="s">
        <v>94</v>
      </c>
      <c r="Q805" s="8">
        <v>796</v>
      </c>
      <c r="R805" s="7" t="s">
        <v>118</v>
      </c>
      <c r="S805" s="9">
        <f>800+20+285+392+39+35+6+504</f>
        <v>2081</v>
      </c>
      <c r="T805" s="9">
        <v>404.17</v>
      </c>
      <c r="U805" s="9">
        <v>0</v>
      </c>
      <c r="V805" s="9">
        <f t="shared" si="434"/>
        <v>0</v>
      </c>
      <c r="W805" s="7" t="s">
        <v>97</v>
      </c>
      <c r="X805" s="2">
        <v>2016</v>
      </c>
      <c r="Y805" s="5" t="s">
        <v>7793</v>
      </c>
    </row>
    <row r="806" spans="1:25" s="11" customFormat="1" ht="127.5" customHeight="1" outlineLevel="1" x14ac:dyDescent="0.25">
      <c r="A806" s="16"/>
      <c r="B806" s="2" t="s">
        <v>7834</v>
      </c>
      <c r="C806" s="3" t="s">
        <v>83</v>
      </c>
      <c r="D806" s="19" t="s">
        <v>2396</v>
      </c>
      <c r="E806" s="19" t="s">
        <v>2397</v>
      </c>
      <c r="F806" s="19" t="s">
        <v>2398</v>
      </c>
      <c r="G806" s="19" t="s">
        <v>2400</v>
      </c>
      <c r="H806" s="2" t="s">
        <v>88</v>
      </c>
      <c r="I806" s="4">
        <v>0</v>
      </c>
      <c r="J806" s="5">
        <v>710000000</v>
      </c>
      <c r="K806" s="5" t="s">
        <v>89</v>
      </c>
      <c r="L806" s="2" t="s">
        <v>754</v>
      </c>
      <c r="M806" s="6" t="s">
        <v>787</v>
      </c>
      <c r="N806" s="7" t="s">
        <v>92</v>
      </c>
      <c r="O806" s="7" t="s">
        <v>93</v>
      </c>
      <c r="P806" s="3" t="s">
        <v>673</v>
      </c>
      <c r="Q806" s="8">
        <v>796</v>
      </c>
      <c r="R806" s="7" t="s">
        <v>118</v>
      </c>
      <c r="S806" s="9">
        <f>800+20+285+392+39+35+6+504</f>
        <v>2081</v>
      </c>
      <c r="T806" s="9">
        <v>404.17</v>
      </c>
      <c r="U806" s="9">
        <v>0</v>
      </c>
      <c r="V806" s="9">
        <f t="shared" ref="V806" si="473">U806*1.12</f>
        <v>0</v>
      </c>
      <c r="W806" s="7"/>
      <c r="X806" s="2">
        <v>2016</v>
      </c>
      <c r="Y806" s="2" t="s">
        <v>2339</v>
      </c>
    </row>
    <row r="807" spans="1:25" s="11" customFormat="1" ht="127.5" customHeight="1" outlineLevel="1" x14ac:dyDescent="0.25">
      <c r="A807" s="16"/>
      <c r="B807" s="2" t="s">
        <v>9127</v>
      </c>
      <c r="C807" s="3" t="s">
        <v>83</v>
      </c>
      <c r="D807" s="19" t="s">
        <v>2396</v>
      </c>
      <c r="E807" s="19" t="s">
        <v>2397</v>
      </c>
      <c r="F807" s="19" t="s">
        <v>2398</v>
      </c>
      <c r="G807" s="19" t="s">
        <v>2400</v>
      </c>
      <c r="H807" s="2" t="s">
        <v>88</v>
      </c>
      <c r="I807" s="4">
        <v>0</v>
      </c>
      <c r="J807" s="5">
        <v>710000000</v>
      </c>
      <c r="K807" s="5" t="s">
        <v>89</v>
      </c>
      <c r="L807" s="5" t="s">
        <v>9114</v>
      </c>
      <c r="M807" s="6" t="s">
        <v>787</v>
      </c>
      <c r="N807" s="7" t="s">
        <v>92</v>
      </c>
      <c r="O807" s="7" t="s">
        <v>93</v>
      </c>
      <c r="P807" s="3" t="s">
        <v>673</v>
      </c>
      <c r="Q807" s="8">
        <v>796</v>
      </c>
      <c r="R807" s="7" t="s">
        <v>118</v>
      </c>
      <c r="S807" s="9">
        <v>1599</v>
      </c>
      <c r="T807" s="9">
        <v>525.89</v>
      </c>
      <c r="U807" s="9">
        <v>0</v>
      </c>
      <c r="V807" s="9">
        <f t="shared" ref="V807" si="474">U807*1.12</f>
        <v>0</v>
      </c>
      <c r="W807" s="7"/>
      <c r="X807" s="2">
        <v>2016</v>
      </c>
      <c r="Y807" s="2" t="s">
        <v>7460</v>
      </c>
    </row>
    <row r="808" spans="1:25" s="11" customFormat="1" ht="89.25" customHeight="1" outlineLevel="1" x14ac:dyDescent="0.25">
      <c r="A808" s="16"/>
      <c r="B808" s="2" t="s">
        <v>5934</v>
      </c>
      <c r="C808" s="3" t="s">
        <v>83</v>
      </c>
      <c r="D808" s="19" t="s">
        <v>2401</v>
      </c>
      <c r="E808" s="19" t="s">
        <v>2402</v>
      </c>
      <c r="F808" s="19" t="s">
        <v>2403</v>
      </c>
      <c r="G808" s="19" t="s">
        <v>2404</v>
      </c>
      <c r="H808" s="2" t="s">
        <v>88</v>
      </c>
      <c r="I808" s="4">
        <v>0.4</v>
      </c>
      <c r="J808" s="5">
        <v>710000000</v>
      </c>
      <c r="K808" s="5" t="s">
        <v>89</v>
      </c>
      <c r="L808" s="2" t="s">
        <v>754</v>
      </c>
      <c r="M808" s="6" t="s">
        <v>787</v>
      </c>
      <c r="N808" s="7" t="s">
        <v>92</v>
      </c>
      <c r="O808" s="7" t="s">
        <v>93</v>
      </c>
      <c r="P808" s="3" t="s">
        <v>94</v>
      </c>
      <c r="Q808" s="8">
        <v>796</v>
      </c>
      <c r="R808" s="7" t="s">
        <v>118</v>
      </c>
      <c r="S808" s="9">
        <f>50+50+22+19</f>
        <v>141</v>
      </c>
      <c r="T808" s="9">
        <v>491.07</v>
      </c>
      <c r="U808" s="9">
        <v>0</v>
      </c>
      <c r="V808" s="9">
        <f t="shared" si="434"/>
        <v>0</v>
      </c>
      <c r="W808" s="7" t="s">
        <v>97</v>
      </c>
      <c r="X808" s="2">
        <v>2016</v>
      </c>
      <c r="Y808" s="5" t="s">
        <v>7793</v>
      </c>
    </row>
    <row r="809" spans="1:25" s="11" customFormat="1" ht="89.25" customHeight="1" outlineLevel="1" x14ac:dyDescent="0.25">
      <c r="A809" s="16"/>
      <c r="B809" s="2" t="s">
        <v>7835</v>
      </c>
      <c r="C809" s="3" t="s">
        <v>83</v>
      </c>
      <c r="D809" s="19" t="s">
        <v>2401</v>
      </c>
      <c r="E809" s="19" t="s">
        <v>2402</v>
      </c>
      <c r="F809" s="19" t="s">
        <v>2403</v>
      </c>
      <c r="G809" s="19" t="s">
        <v>2404</v>
      </c>
      <c r="H809" s="2" t="s">
        <v>88</v>
      </c>
      <c r="I809" s="4">
        <v>0</v>
      </c>
      <c r="J809" s="5">
        <v>710000000</v>
      </c>
      <c r="K809" s="5" t="s">
        <v>89</v>
      </c>
      <c r="L809" s="2" t="s">
        <v>754</v>
      </c>
      <c r="M809" s="6" t="s">
        <v>787</v>
      </c>
      <c r="N809" s="7" t="s">
        <v>92</v>
      </c>
      <c r="O809" s="7" t="s">
        <v>93</v>
      </c>
      <c r="P809" s="3" t="s">
        <v>673</v>
      </c>
      <c r="Q809" s="8">
        <v>796</v>
      </c>
      <c r="R809" s="7" t="s">
        <v>118</v>
      </c>
      <c r="S809" s="9">
        <f>50+50+22+19</f>
        <v>141</v>
      </c>
      <c r="T809" s="9">
        <v>491.07</v>
      </c>
      <c r="U809" s="9">
        <v>0</v>
      </c>
      <c r="V809" s="9">
        <f t="shared" ref="V809" si="475">U809*1.12</f>
        <v>0</v>
      </c>
      <c r="W809" s="7"/>
      <c r="X809" s="2">
        <v>2016</v>
      </c>
      <c r="Y809" s="2" t="s">
        <v>9130</v>
      </c>
    </row>
    <row r="810" spans="1:25" s="11" customFormat="1" ht="89.25" customHeight="1" outlineLevel="1" x14ac:dyDescent="0.25">
      <c r="A810" s="16"/>
      <c r="B810" s="2" t="s">
        <v>9128</v>
      </c>
      <c r="C810" s="3" t="s">
        <v>83</v>
      </c>
      <c r="D810" s="19" t="s">
        <v>2401</v>
      </c>
      <c r="E810" s="19" t="s">
        <v>2402</v>
      </c>
      <c r="F810" s="19" t="s">
        <v>2403</v>
      </c>
      <c r="G810" s="19" t="s">
        <v>9129</v>
      </c>
      <c r="H810" s="2" t="s">
        <v>88</v>
      </c>
      <c r="I810" s="4">
        <v>0</v>
      </c>
      <c r="J810" s="5">
        <v>710000000</v>
      </c>
      <c r="K810" s="5" t="s">
        <v>89</v>
      </c>
      <c r="L810" s="5" t="s">
        <v>9114</v>
      </c>
      <c r="M810" s="6" t="s">
        <v>787</v>
      </c>
      <c r="N810" s="7" t="s">
        <v>92</v>
      </c>
      <c r="O810" s="7" t="s">
        <v>93</v>
      </c>
      <c r="P810" s="3" t="s">
        <v>673</v>
      </c>
      <c r="Q810" s="8">
        <v>796</v>
      </c>
      <c r="R810" s="7" t="s">
        <v>118</v>
      </c>
      <c r="S810" s="9">
        <v>24</v>
      </c>
      <c r="T810" s="9">
        <v>2847.32</v>
      </c>
      <c r="U810" s="9">
        <f t="shared" ref="U810" si="476">T810*S810</f>
        <v>68335.680000000008</v>
      </c>
      <c r="V810" s="9">
        <f t="shared" ref="V810" si="477">U810*1.12</f>
        <v>76535.96160000001</v>
      </c>
      <c r="W810" s="7"/>
      <c r="X810" s="2">
        <v>2016</v>
      </c>
      <c r="Y810" s="2"/>
    </row>
    <row r="811" spans="1:25" s="11" customFormat="1" ht="140.25" customHeight="1" outlineLevel="1" x14ac:dyDescent="0.25">
      <c r="A811" s="16"/>
      <c r="B811" s="2" t="s">
        <v>5935</v>
      </c>
      <c r="C811" s="3" t="s">
        <v>83</v>
      </c>
      <c r="D811" s="19" t="s">
        <v>2405</v>
      </c>
      <c r="E811" s="19" t="s">
        <v>2402</v>
      </c>
      <c r="F811" s="19" t="s">
        <v>2406</v>
      </c>
      <c r="G811" s="19" t="s">
        <v>2407</v>
      </c>
      <c r="H811" s="2" t="s">
        <v>88</v>
      </c>
      <c r="I811" s="4">
        <v>0.4</v>
      </c>
      <c r="J811" s="5">
        <v>710000000</v>
      </c>
      <c r="K811" s="5" t="s">
        <v>89</v>
      </c>
      <c r="L811" s="2" t="s">
        <v>754</v>
      </c>
      <c r="M811" s="6" t="s">
        <v>787</v>
      </c>
      <c r="N811" s="7" t="s">
        <v>92</v>
      </c>
      <c r="O811" s="7" t="s">
        <v>93</v>
      </c>
      <c r="P811" s="3" t="s">
        <v>94</v>
      </c>
      <c r="Q811" s="8">
        <v>796</v>
      </c>
      <c r="R811" s="7" t="s">
        <v>118</v>
      </c>
      <c r="S811" s="9">
        <f>70+15+7</f>
        <v>92</v>
      </c>
      <c r="T811" s="9">
        <v>27678.57</v>
      </c>
      <c r="U811" s="9">
        <v>0</v>
      </c>
      <c r="V811" s="9">
        <f t="shared" si="434"/>
        <v>0</v>
      </c>
      <c r="W811" s="7" t="s">
        <v>97</v>
      </c>
      <c r="X811" s="2">
        <v>2016</v>
      </c>
      <c r="Y811" s="2" t="s">
        <v>7793</v>
      </c>
    </row>
    <row r="812" spans="1:25" s="11" customFormat="1" ht="140.25" customHeight="1" outlineLevel="1" x14ac:dyDescent="0.25">
      <c r="A812" s="16"/>
      <c r="B812" s="2" t="s">
        <v>7836</v>
      </c>
      <c r="C812" s="3" t="s">
        <v>83</v>
      </c>
      <c r="D812" s="19" t="s">
        <v>2405</v>
      </c>
      <c r="E812" s="19" t="s">
        <v>2402</v>
      </c>
      <c r="F812" s="19" t="s">
        <v>2406</v>
      </c>
      <c r="G812" s="19" t="s">
        <v>2407</v>
      </c>
      <c r="H812" s="2" t="s">
        <v>88</v>
      </c>
      <c r="I812" s="4">
        <v>0</v>
      </c>
      <c r="J812" s="5">
        <v>710000000</v>
      </c>
      <c r="K812" s="5" t="s">
        <v>89</v>
      </c>
      <c r="L812" s="2" t="s">
        <v>754</v>
      </c>
      <c r="M812" s="6" t="s">
        <v>787</v>
      </c>
      <c r="N812" s="7" t="s">
        <v>92</v>
      </c>
      <c r="O812" s="7" t="s">
        <v>93</v>
      </c>
      <c r="P812" s="3" t="s">
        <v>673</v>
      </c>
      <c r="Q812" s="8">
        <v>796</v>
      </c>
      <c r="R812" s="7" t="s">
        <v>118</v>
      </c>
      <c r="S812" s="9">
        <f>70+15+7</f>
        <v>92</v>
      </c>
      <c r="T812" s="9">
        <v>27678.57</v>
      </c>
      <c r="U812" s="9">
        <v>0</v>
      </c>
      <c r="V812" s="9">
        <f t="shared" ref="V812" si="478">U812*1.12</f>
        <v>0</v>
      </c>
      <c r="W812" s="7"/>
      <c r="X812" s="2">
        <v>2016</v>
      </c>
      <c r="Y812" s="5" t="s">
        <v>9130</v>
      </c>
    </row>
    <row r="813" spans="1:25" s="11" customFormat="1" ht="153" customHeight="1" outlineLevel="1" x14ac:dyDescent="0.25">
      <c r="A813" s="16"/>
      <c r="B813" s="2" t="s">
        <v>9131</v>
      </c>
      <c r="C813" s="3" t="s">
        <v>83</v>
      </c>
      <c r="D813" s="19" t="s">
        <v>2405</v>
      </c>
      <c r="E813" s="19" t="s">
        <v>2402</v>
      </c>
      <c r="F813" s="19" t="s">
        <v>2406</v>
      </c>
      <c r="G813" s="19" t="s">
        <v>9149</v>
      </c>
      <c r="H813" s="2" t="s">
        <v>88</v>
      </c>
      <c r="I813" s="4">
        <v>0</v>
      </c>
      <c r="J813" s="5">
        <v>710000000</v>
      </c>
      <c r="K813" s="5" t="s">
        <v>89</v>
      </c>
      <c r="L813" s="5" t="s">
        <v>9114</v>
      </c>
      <c r="M813" s="6" t="s">
        <v>787</v>
      </c>
      <c r="N813" s="7" t="s">
        <v>92</v>
      </c>
      <c r="O813" s="7" t="s">
        <v>93</v>
      </c>
      <c r="P813" s="3" t="s">
        <v>673</v>
      </c>
      <c r="Q813" s="8">
        <v>796</v>
      </c>
      <c r="R813" s="7" t="s">
        <v>118</v>
      </c>
      <c r="S813" s="9">
        <v>18</v>
      </c>
      <c r="T813" s="9">
        <v>32991.07</v>
      </c>
      <c r="U813" s="9">
        <f t="shared" ref="U813" si="479">T813*S813</f>
        <v>593839.26</v>
      </c>
      <c r="V813" s="9">
        <f t="shared" ref="V813" si="480">U813*1.12</f>
        <v>665099.97120000003</v>
      </c>
      <c r="W813" s="7"/>
      <c r="X813" s="2">
        <v>2016</v>
      </c>
      <c r="Y813" s="2"/>
    </row>
    <row r="814" spans="1:25" s="11" customFormat="1" ht="89.25" customHeight="1" outlineLevel="1" x14ac:dyDescent="0.25">
      <c r="A814" s="16"/>
      <c r="B814" s="2" t="s">
        <v>5936</v>
      </c>
      <c r="C814" s="3" t="s">
        <v>83</v>
      </c>
      <c r="D814" s="19" t="s">
        <v>2408</v>
      </c>
      <c r="E814" s="19" t="s">
        <v>2409</v>
      </c>
      <c r="F814" s="19" t="s">
        <v>2410</v>
      </c>
      <c r="G814" s="19" t="s">
        <v>2411</v>
      </c>
      <c r="H814" s="2" t="s">
        <v>88</v>
      </c>
      <c r="I814" s="4">
        <v>0.4</v>
      </c>
      <c r="J814" s="5">
        <v>710000000</v>
      </c>
      <c r="K814" s="5" t="s">
        <v>89</v>
      </c>
      <c r="L814" s="2" t="s">
        <v>754</v>
      </c>
      <c r="M814" s="6" t="s">
        <v>787</v>
      </c>
      <c r="N814" s="7" t="s">
        <v>92</v>
      </c>
      <c r="O814" s="7" t="s">
        <v>93</v>
      </c>
      <c r="P814" s="3" t="s">
        <v>94</v>
      </c>
      <c r="Q814" s="7">
        <v>736</v>
      </c>
      <c r="R814" s="7" t="s">
        <v>2412</v>
      </c>
      <c r="S814" s="9">
        <f>4699+70+1279+10+2435+1000+1380+440+128+24+352+14+200+89+74+19</f>
        <v>12213</v>
      </c>
      <c r="T814" s="9">
        <v>307</v>
      </c>
      <c r="U814" s="9">
        <v>0</v>
      </c>
      <c r="V814" s="9">
        <f t="shared" si="434"/>
        <v>0</v>
      </c>
      <c r="W814" s="7" t="s">
        <v>97</v>
      </c>
      <c r="X814" s="2">
        <v>2016</v>
      </c>
      <c r="Y814" s="2" t="s">
        <v>7793</v>
      </c>
    </row>
    <row r="815" spans="1:25" s="11" customFormat="1" ht="89.25" customHeight="1" outlineLevel="1" x14ac:dyDescent="0.25">
      <c r="A815" s="16"/>
      <c r="B815" s="2" t="s">
        <v>7837</v>
      </c>
      <c r="C815" s="3" t="s">
        <v>83</v>
      </c>
      <c r="D815" s="19" t="s">
        <v>2408</v>
      </c>
      <c r="E815" s="19" t="s">
        <v>2409</v>
      </c>
      <c r="F815" s="19" t="s">
        <v>2410</v>
      </c>
      <c r="G815" s="19" t="s">
        <v>2411</v>
      </c>
      <c r="H815" s="2" t="s">
        <v>88</v>
      </c>
      <c r="I815" s="4">
        <v>0</v>
      </c>
      <c r="J815" s="5">
        <v>710000000</v>
      </c>
      <c r="K815" s="5" t="s">
        <v>89</v>
      </c>
      <c r="L815" s="2" t="s">
        <v>754</v>
      </c>
      <c r="M815" s="6" t="s">
        <v>787</v>
      </c>
      <c r="N815" s="7" t="s">
        <v>92</v>
      </c>
      <c r="O815" s="7" t="s">
        <v>93</v>
      </c>
      <c r="P815" s="3" t="s">
        <v>673</v>
      </c>
      <c r="Q815" s="7">
        <v>736</v>
      </c>
      <c r="R815" s="7" t="s">
        <v>2412</v>
      </c>
      <c r="S815" s="9">
        <f>4699+70+1279+10+2435+1000+1380+440+128+24+352+14+200+89+74+19</f>
        <v>12213</v>
      </c>
      <c r="T815" s="9">
        <v>307</v>
      </c>
      <c r="U815" s="9">
        <v>0</v>
      </c>
      <c r="V815" s="9">
        <f t="shared" ref="V815" si="481">U815*1.12</f>
        <v>0</v>
      </c>
      <c r="W815" s="7"/>
      <c r="X815" s="2">
        <v>2016</v>
      </c>
      <c r="Y815" s="5" t="s">
        <v>9134</v>
      </c>
    </row>
    <row r="816" spans="1:25" s="11" customFormat="1" ht="89.25" customHeight="1" outlineLevel="1" x14ac:dyDescent="0.25">
      <c r="A816" s="16"/>
      <c r="B816" s="2" t="s">
        <v>9132</v>
      </c>
      <c r="C816" s="3" t="s">
        <v>83</v>
      </c>
      <c r="D816" s="19" t="s">
        <v>2408</v>
      </c>
      <c r="E816" s="19" t="s">
        <v>2409</v>
      </c>
      <c r="F816" s="19" t="s">
        <v>2410</v>
      </c>
      <c r="G816" s="19" t="s">
        <v>9133</v>
      </c>
      <c r="H816" s="2" t="s">
        <v>88</v>
      </c>
      <c r="I816" s="4">
        <v>0</v>
      </c>
      <c r="J816" s="5">
        <v>710000000</v>
      </c>
      <c r="K816" s="5" t="s">
        <v>89</v>
      </c>
      <c r="L816" s="5" t="s">
        <v>9114</v>
      </c>
      <c r="M816" s="6" t="s">
        <v>787</v>
      </c>
      <c r="N816" s="7" t="s">
        <v>92</v>
      </c>
      <c r="O816" s="7" t="s">
        <v>93</v>
      </c>
      <c r="P816" s="3" t="s">
        <v>673</v>
      </c>
      <c r="Q816" s="7">
        <v>736</v>
      </c>
      <c r="R816" s="7" t="s">
        <v>2412</v>
      </c>
      <c r="S816" s="9">
        <f>4699+70+1279+10+2435+1000+1380+440+128+24+352+14+200+89+74+19</f>
        <v>12213</v>
      </c>
      <c r="T816" s="9">
        <v>214.28</v>
      </c>
      <c r="U816" s="9">
        <f t="shared" ref="U816" si="482">T816*S816</f>
        <v>2617001.64</v>
      </c>
      <c r="V816" s="9">
        <f t="shared" ref="V816" si="483">U816*1.12</f>
        <v>2931041.8368000006</v>
      </c>
      <c r="W816" s="7"/>
      <c r="X816" s="2">
        <v>2016</v>
      </c>
      <c r="Y816" s="2"/>
    </row>
    <row r="817" spans="1:25" s="11" customFormat="1" ht="89.25" customHeight="1" outlineLevel="1" x14ac:dyDescent="0.25">
      <c r="A817" s="16"/>
      <c r="B817" s="2" t="s">
        <v>5937</v>
      </c>
      <c r="C817" s="3" t="s">
        <v>83</v>
      </c>
      <c r="D817" s="19" t="s">
        <v>2413</v>
      </c>
      <c r="E817" s="19" t="s">
        <v>2414</v>
      </c>
      <c r="F817" s="19" t="s">
        <v>2415</v>
      </c>
      <c r="G817" s="19" t="s">
        <v>2416</v>
      </c>
      <c r="H817" s="2" t="s">
        <v>88</v>
      </c>
      <c r="I817" s="4">
        <v>0.4</v>
      </c>
      <c r="J817" s="5">
        <v>710000000</v>
      </c>
      <c r="K817" s="5" t="s">
        <v>89</v>
      </c>
      <c r="L817" s="2" t="s">
        <v>754</v>
      </c>
      <c r="M817" s="6" t="s">
        <v>787</v>
      </c>
      <c r="N817" s="7" t="s">
        <v>92</v>
      </c>
      <c r="O817" s="7" t="s">
        <v>93</v>
      </c>
      <c r="P817" s="3" t="s">
        <v>94</v>
      </c>
      <c r="Q817" s="7">
        <v>736</v>
      </c>
      <c r="R817" s="7" t="s">
        <v>2412</v>
      </c>
      <c r="S817" s="9">
        <f>2000+20+1276+140+146+90+4+15+200</f>
        <v>3891</v>
      </c>
      <c r="T817" s="9">
        <v>670</v>
      </c>
      <c r="U817" s="9">
        <v>0</v>
      </c>
      <c r="V817" s="9">
        <f t="shared" si="434"/>
        <v>0</v>
      </c>
      <c r="W817" s="7" t="s">
        <v>97</v>
      </c>
      <c r="X817" s="2">
        <v>2016</v>
      </c>
      <c r="Y817" s="2" t="s">
        <v>7793</v>
      </c>
    </row>
    <row r="818" spans="1:25" s="11" customFormat="1" ht="89.25" customHeight="1" outlineLevel="1" x14ac:dyDescent="0.25">
      <c r="A818" s="16"/>
      <c r="B818" s="2" t="s">
        <v>7838</v>
      </c>
      <c r="C818" s="3" t="s">
        <v>83</v>
      </c>
      <c r="D818" s="19" t="s">
        <v>2413</v>
      </c>
      <c r="E818" s="19" t="s">
        <v>2414</v>
      </c>
      <c r="F818" s="19" t="s">
        <v>2415</v>
      </c>
      <c r="G818" s="19" t="s">
        <v>2416</v>
      </c>
      <c r="H818" s="2" t="s">
        <v>88</v>
      </c>
      <c r="I818" s="4">
        <v>0</v>
      </c>
      <c r="J818" s="5">
        <v>710000000</v>
      </c>
      <c r="K818" s="5" t="s">
        <v>89</v>
      </c>
      <c r="L818" s="2" t="s">
        <v>754</v>
      </c>
      <c r="M818" s="6" t="s">
        <v>787</v>
      </c>
      <c r="N818" s="7" t="s">
        <v>92</v>
      </c>
      <c r="O818" s="7" t="s">
        <v>93</v>
      </c>
      <c r="P818" s="3" t="s">
        <v>673</v>
      </c>
      <c r="Q818" s="7">
        <v>736</v>
      </c>
      <c r="R818" s="7" t="s">
        <v>2412</v>
      </c>
      <c r="S818" s="9">
        <f>2000+20+1276+140+146+90+4+15+200</f>
        <v>3891</v>
      </c>
      <c r="T818" s="9">
        <v>670</v>
      </c>
      <c r="U818" s="9">
        <v>0</v>
      </c>
      <c r="V818" s="9">
        <f t="shared" ref="V818" si="484">U818*1.12</f>
        <v>0</v>
      </c>
      <c r="W818" s="7"/>
      <c r="X818" s="2">
        <v>2016</v>
      </c>
      <c r="Y818" s="5" t="s">
        <v>9134</v>
      </c>
    </row>
    <row r="819" spans="1:25" s="11" customFormat="1" ht="89.25" customHeight="1" outlineLevel="1" x14ac:dyDescent="0.25">
      <c r="A819" s="16"/>
      <c r="B819" s="2" t="s">
        <v>9135</v>
      </c>
      <c r="C819" s="3" t="s">
        <v>83</v>
      </c>
      <c r="D819" s="19" t="s">
        <v>2413</v>
      </c>
      <c r="E819" s="19" t="s">
        <v>2414</v>
      </c>
      <c r="F819" s="19" t="s">
        <v>2415</v>
      </c>
      <c r="G819" s="19" t="s">
        <v>9136</v>
      </c>
      <c r="H819" s="2" t="s">
        <v>88</v>
      </c>
      <c r="I819" s="4">
        <v>0</v>
      </c>
      <c r="J819" s="5">
        <v>710000000</v>
      </c>
      <c r="K819" s="5" t="s">
        <v>89</v>
      </c>
      <c r="L819" s="5" t="s">
        <v>9114</v>
      </c>
      <c r="M819" s="6" t="s">
        <v>787</v>
      </c>
      <c r="N819" s="7" t="s">
        <v>92</v>
      </c>
      <c r="O819" s="7" t="s">
        <v>93</v>
      </c>
      <c r="P819" s="3" t="s">
        <v>673</v>
      </c>
      <c r="Q819" s="7">
        <v>736</v>
      </c>
      <c r="R819" s="7" t="s">
        <v>2412</v>
      </c>
      <c r="S819" s="9">
        <f>2000+20+1276+140+146+90+4+15+200</f>
        <v>3891</v>
      </c>
      <c r="T819" s="9">
        <v>437.5</v>
      </c>
      <c r="U819" s="9">
        <f t="shared" ref="U819" si="485">T819*S819</f>
        <v>1702312.5</v>
      </c>
      <c r="V819" s="9">
        <f t="shared" ref="V819" si="486">U819*1.12</f>
        <v>1906590.0000000002</v>
      </c>
      <c r="W819" s="7"/>
      <c r="X819" s="2">
        <v>2016</v>
      </c>
      <c r="Y819" s="2"/>
    </row>
    <row r="820" spans="1:25" s="11" customFormat="1" ht="89.25" customHeight="1" outlineLevel="1" x14ac:dyDescent="0.25">
      <c r="A820" s="1"/>
      <c r="B820" s="2" t="s">
        <v>5938</v>
      </c>
      <c r="C820" s="3" t="s">
        <v>83</v>
      </c>
      <c r="D820" s="19" t="s">
        <v>2417</v>
      </c>
      <c r="E820" s="19" t="s">
        <v>2418</v>
      </c>
      <c r="F820" s="19" t="s">
        <v>2419</v>
      </c>
      <c r="G820" s="19" t="s">
        <v>2420</v>
      </c>
      <c r="H820" s="2" t="s">
        <v>88</v>
      </c>
      <c r="I820" s="4">
        <v>0.4</v>
      </c>
      <c r="J820" s="5">
        <v>710000000</v>
      </c>
      <c r="K820" s="5" t="s">
        <v>89</v>
      </c>
      <c r="L820" s="2" t="s">
        <v>754</v>
      </c>
      <c r="M820" s="6" t="s">
        <v>787</v>
      </c>
      <c r="N820" s="7" t="s">
        <v>92</v>
      </c>
      <c r="O820" s="7" t="s">
        <v>93</v>
      </c>
      <c r="P820" s="3" t="s">
        <v>94</v>
      </c>
      <c r="Q820" s="8">
        <v>796</v>
      </c>
      <c r="R820" s="7" t="s">
        <v>118</v>
      </c>
      <c r="S820" s="9">
        <f>534+24+45+100+8+3+4+14+4+4</f>
        <v>740</v>
      </c>
      <c r="T820" s="9">
        <v>397</v>
      </c>
      <c r="U820" s="9">
        <v>0</v>
      </c>
      <c r="V820" s="9">
        <f t="shared" si="434"/>
        <v>0</v>
      </c>
      <c r="W820" s="7" t="s">
        <v>97</v>
      </c>
      <c r="X820" s="2">
        <v>2016</v>
      </c>
      <c r="Y820" s="2" t="s">
        <v>7793</v>
      </c>
    </row>
    <row r="821" spans="1:25" s="11" customFormat="1" ht="89.25" customHeight="1" outlineLevel="1" x14ac:dyDescent="0.25">
      <c r="A821" s="1"/>
      <c r="B821" s="2" t="s">
        <v>7839</v>
      </c>
      <c r="C821" s="3" t="s">
        <v>83</v>
      </c>
      <c r="D821" s="19" t="s">
        <v>2417</v>
      </c>
      <c r="E821" s="19" t="s">
        <v>2418</v>
      </c>
      <c r="F821" s="19" t="s">
        <v>2419</v>
      </c>
      <c r="G821" s="19" t="s">
        <v>2420</v>
      </c>
      <c r="H821" s="2" t="s">
        <v>88</v>
      </c>
      <c r="I821" s="4">
        <v>0</v>
      </c>
      <c r="J821" s="5">
        <v>710000000</v>
      </c>
      <c r="K821" s="5" t="s">
        <v>89</v>
      </c>
      <c r="L821" s="2" t="s">
        <v>754</v>
      </c>
      <c r="M821" s="6" t="s">
        <v>787</v>
      </c>
      <c r="N821" s="7" t="s">
        <v>92</v>
      </c>
      <c r="O821" s="7" t="s">
        <v>93</v>
      </c>
      <c r="P821" s="3" t="s">
        <v>673</v>
      </c>
      <c r="Q821" s="8">
        <v>796</v>
      </c>
      <c r="R821" s="7" t="s">
        <v>118</v>
      </c>
      <c r="S821" s="9">
        <f>534+24+45+100+8+3+4+14+4+4</f>
        <v>740</v>
      </c>
      <c r="T821" s="9">
        <v>397</v>
      </c>
      <c r="U821" s="9">
        <v>0</v>
      </c>
      <c r="V821" s="9">
        <f t="shared" ref="V821" si="487">U821*1.12</f>
        <v>0</v>
      </c>
      <c r="W821" s="7"/>
      <c r="X821" s="2">
        <v>2016</v>
      </c>
      <c r="Y821" s="2" t="s">
        <v>9130</v>
      </c>
    </row>
    <row r="822" spans="1:25" s="11" customFormat="1" ht="89.25" customHeight="1" outlineLevel="1" x14ac:dyDescent="0.25">
      <c r="A822" s="1"/>
      <c r="B822" s="2" t="s">
        <v>9137</v>
      </c>
      <c r="C822" s="3" t="s">
        <v>83</v>
      </c>
      <c r="D822" s="19" t="s">
        <v>2417</v>
      </c>
      <c r="E822" s="19" t="s">
        <v>2418</v>
      </c>
      <c r="F822" s="19" t="s">
        <v>2419</v>
      </c>
      <c r="G822" s="19" t="s">
        <v>9279</v>
      </c>
      <c r="H822" s="2" t="s">
        <v>88</v>
      </c>
      <c r="I822" s="4">
        <v>0</v>
      </c>
      <c r="J822" s="5">
        <v>710000000</v>
      </c>
      <c r="K822" s="5" t="s">
        <v>89</v>
      </c>
      <c r="L822" s="5" t="s">
        <v>9114</v>
      </c>
      <c r="M822" s="6" t="s">
        <v>787</v>
      </c>
      <c r="N822" s="7" t="s">
        <v>92</v>
      </c>
      <c r="O822" s="7" t="s">
        <v>93</v>
      </c>
      <c r="P822" s="3" t="s">
        <v>673</v>
      </c>
      <c r="Q822" s="8">
        <v>796</v>
      </c>
      <c r="R822" s="7" t="s">
        <v>118</v>
      </c>
      <c r="S822" s="9">
        <v>685</v>
      </c>
      <c r="T822" s="9">
        <v>428.57</v>
      </c>
      <c r="U822" s="9">
        <f t="shared" ref="U822" si="488">T822*S822</f>
        <v>293570.45</v>
      </c>
      <c r="V822" s="9">
        <f t="shared" ref="V822" si="489">U822*1.12</f>
        <v>328798.90400000004</v>
      </c>
      <c r="W822" s="7"/>
      <c r="X822" s="2">
        <v>2016</v>
      </c>
      <c r="Y822" s="2"/>
    </row>
    <row r="823" spans="1:25" s="11" customFormat="1" ht="89.25" customHeight="1" outlineLevel="1" x14ac:dyDescent="0.25">
      <c r="A823" s="16"/>
      <c r="B823" s="2" t="s">
        <v>5939</v>
      </c>
      <c r="C823" s="3" t="s">
        <v>83</v>
      </c>
      <c r="D823" s="19" t="s">
        <v>2421</v>
      </c>
      <c r="E823" s="19" t="s">
        <v>2422</v>
      </c>
      <c r="F823" s="19" t="s">
        <v>2423</v>
      </c>
      <c r="G823" s="19" t="s">
        <v>2424</v>
      </c>
      <c r="H823" s="2" t="s">
        <v>88</v>
      </c>
      <c r="I823" s="4">
        <v>0.4</v>
      </c>
      <c r="J823" s="5">
        <v>710000000</v>
      </c>
      <c r="K823" s="5" t="s">
        <v>89</v>
      </c>
      <c r="L823" s="2" t="s">
        <v>754</v>
      </c>
      <c r="M823" s="6" t="s">
        <v>787</v>
      </c>
      <c r="N823" s="7" t="s">
        <v>92</v>
      </c>
      <c r="O823" s="7" t="s">
        <v>93</v>
      </c>
      <c r="P823" s="3" t="s">
        <v>94</v>
      </c>
      <c r="Q823" s="8" t="s">
        <v>522</v>
      </c>
      <c r="R823" s="7" t="s">
        <v>523</v>
      </c>
      <c r="S823" s="9">
        <f>1000+79+156+52+20+12+5+4+9+72</f>
        <v>1409</v>
      </c>
      <c r="T823" s="9">
        <v>223</v>
      </c>
      <c r="U823" s="9">
        <v>0</v>
      </c>
      <c r="V823" s="9">
        <f t="shared" si="434"/>
        <v>0</v>
      </c>
      <c r="W823" s="7" t="s">
        <v>97</v>
      </c>
      <c r="X823" s="2">
        <v>2016</v>
      </c>
      <c r="Y823" s="2" t="s">
        <v>7793</v>
      </c>
    </row>
    <row r="824" spans="1:25" s="11" customFormat="1" ht="89.25" customHeight="1" outlineLevel="1" x14ac:dyDescent="0.25">
      <c r="A824" s="16"/>
      <c r="B824" s="2" t="s">
        <v>9139</v>
      </c>
      <c r="C824" s="3" t="s">
        <v>83</v>
      </c>
      <c r="D824" s="19" t="s">
        <v>2421</v>
      </c>
      <c r="E824" s="19" t="s">
        <v>2422</v>
      </c>
      <c r="F824" s="19" t="s">
        <v>2423</v>
      </c>
      <c r="G824" s="19" t="s">
        <v>2424</v>
      </c>
      <c r="H824" s="2" t="s">
        <v>88</v>
      </c>
      <c r="I824" s="4">
        <v>0</v>
      </c>
      <c r="J824" s="5">
        <v>710000000</v>
      </c>
      <c r="K824" s="5" t="s">
        <v>89</v>
      </c>
      <c r="L824" s="2" t="s">
        <v>754</v>
      </c>
      <c r="M824" s="6" t="s">
        <v>787</v>
      </c>
      <c r="N824" s="7" t="s">
        <v>92</v>
      </c>
      <c r="O824" s="7" t="s">
        <v>93</v>
      </c>
      <c r="P824" s="3" t="s">
        <v>673</v>
      </c>
      <c r="Q824" s="8" t="s">
        <v>522</v>
      </c>
      <c r="R824" s="7" t="s">
        <v>523</v>
      </c>
      <c r="S824" s="9">
        <f>1000+79+156+52+20+12+5+4+9+72</f>
        <v>1409</v>
      </c>
      <c r="T824" s="9">
        <v>223</v>
      </c>
      <c r="U824" s="9">
        <v>0</v>
      </c>
      <c r="V824" s="9">
        <f t="shared" ref="V824" si="490">U824*1.12</f>
        <v>0</v>
      </c>
      <c r="W824" s="7"/>
      <c r="X824" s="2">
        <v>2016</v>
      </c>
      <c r="Y824" s="2" t="s">
        <v>2339</v>
      </c>
    </row>
    <row r="825" spans="1:25" s="11" customFormat="1" ht="89.25" customHeight="1" outlineLevel="1" x14ac:dyDescent="0.25">
      <c r="A825" s="16"/>
      <c r="B825" s="2" t="s">
        <v>9138</v>
      </c>
      <c r="C825" s="3" t="s">
        <v>83</v>
      </c>
      <c r="D825" s="19" t="s">
        <v>2421</v>
      </c>
      <c r="E825" s="19" t="s">
        <v>2422</v>
      </c>
      <c r="F825" s="19" t="s">
        <v>2423</v>
      </c>
      <c r="G825" s="19" t="s">
        <v>2424</v>
      </c>
      <c r="H825" s="2" t="s">
        <v>88</v>
      </c>
      <c r="I825" s="4">
        <v>0</v>
      </c>
      <c r="J825" s="5">
        <v>710000000</v>
      </c>
      <c r="K825" s="5" t="s">
        <v>89</v>
      </c>
      <c r="L825" s="5" t="s">
        <v>9114</v>
      </c>
      <c r="M825" s="6" t="s">
        <v>787</v>
      </c>
      <c r="N825" s="7" t="s">
        <v>92</v>
      </c>
      <c r="O825" s="7" t="s">
        <v>93</v>
      </c>
      <c r="P825" s="3" t="s">
        <v>673</v>
      </c>
      <c r="Q825" s="8" t="s">
        <v>522</v>
      </c>
      <c r="R825" s="7" t="s">
        <v>523</v>
      </c>
      <c r="S825" s="9">
        <v>1117</v>
      </c>
      <c r="T825" s="9">
        <v>281.25</v>
      </c>
      <c r="U825" s="9">
        <f t="shared" ref="U825" si="491">T825*S825</f>
        <v>314156.25</v>
      </c>
      <c r="V825" s="9">
        <f t="shared" ref="V825" si="492">U825*1.12</f>
        <v>351855.00000000006</v>
      </c>
      <c r="W825" s="7"/>
      <c r="X825" s="2">
        <v>2016</v>
      </c>
      <c r="Y825" s="2"/>
    </row>
    <row r="826" spans="1:25" s="11" customFormat="1" ht="242.25" customHeight="1" outlineLevel="1" x14ac:dyDescent="0.25">
      <c r="A826" s="16"/>
      <c r="B826" s="2" t="s">
        <v>5940</v>
      </c>
      <c r="C826" s="3" t="s">
        <v>83</v>
      </c>
      <c r="D826" s="19" t="s">
        <v>2425</v>
      </c>
      <c r="E826" s="19" t="s">
        <v>2426</v>
      </c>
      <c r="F826" s="19" t="s">
        <v>2427</v>
      </c>
      <c r="G826" s="5" t="s">
        <v>2428</v>
      </c>
      <c r="H826" s="2" t="s">
        <v>88</v>
      </c>
      <c r="I826" s="4">
        <v>0.4</v>
      </c>
      <c r="J826" s="5">
        <v>710000000</v>
      </c>
      <c r="K826" s="5" t="s">
        <v>89</v>
      </c>
      <c r="L826" s="2" t="s">
        <v>754</v>
      </c>
      <c r="M826" s="6" t="s">
        <v>787</v>
      </c>
      <c r="N826" s="7" t="s">
        <v>92</v>
      </c>
      <c r="O826" s="7" t="s">
        <v>93</v>
      </c>
      <c r="P826" s="3" t="s">
        <v>94</v>
      </c>
      <c r="Q826" s="3">
        <v>778</v>
      </c>
      <c r="R826" s="3" t="s">
        <v>523</v>
      </c>
      <c r="S826" s="9">
        <f>960+3+192+73+16+12+6</f>
        <v>1262</v>
      </c>
      <c r="T826" s="9">
        <v>1273</v>
      </c>
      <c r="U826" s="9">
        <v>0</v>
      </c>
      <c r="V826" s="9">
        <f t="shared" si="434"/>
        <v>0</v>
      </c>
      <c r="W826" s="7" t="s">
        <v>97</v>
      </c>
      <c r="X826" s="2">
        <v>2016</v>
      </c>
      <c r="Y826" s="2" t="s">
        <v>7793</v>
      </c>
    </row>
    <row r="827" spans="1:25" s="11" customFormat="1" ht="242.25" customHeight="1" outlineLevel="1" x14ac:dyDescent="0.25">
      <c r="A827" s="16"/>
      <c r="B827" s="2" t="s">
        <v>7840</v>
      </c>
      <c r="C827" s="3" t="s">
        <v>83</v>
      </c>
      <c r="D827" s="19" t="s">
        <v>2425</v>
      </c>
      <c r="E827" s="19" t="s">
        <v>2426</v>
      </c>
      <c r="F827" s="19" t="s">
        <v>2427</v>
      </c>
      <c r="G827" s="5" t="s">
        <v>2428</v>
      </c>
      <c r="H827" s="2" t="s">
        <v>88</v>
      </c>
      <c r="I827" s="4">
        <v>0</v>
      </c>
      <c r="J827" s="5">
        <v>710000000</v>
      </c>
      <c r="K827" s="5" t="s">
        <v>89</v>
      </c>
      <c r="L827" s="2" t="s">
        <v>754</v>
      </c>
      <c r="M827" s="6" t="s">
        <v>787</v>
      </c>
      <c r="N827" s="7" t="s">
        <v>92</v>
      </c>
      <c r="O827" s="7" t="s">
        <v>93</v>
      </c>
      <c r="P827" s="3" t="s">
        <v>673</v>
      </c>
      <c r="Q827" s="3">
        <v>778</v>
      </c>
      <c r="R827" s="3" t="s">
        <v>523</v>
      </c>
      <c r="S827" s="9">
        <f>960+3+192+73+16+12+6</f>
        <v>1262</v>
      </c>
      <c r="T827" s="9">
        <v>1273</v>
      </c>
      <c r="U827" s="9">
        <v>0</v>
      </c>
      <c r="V827" s="9">
        <f t="shared" si="434"/>
        <v>0</v>
      </c>
      <c r="W827" s="7"/>
      <c r="X827" s="2">
        <v>2016</v>
      </c>
      <c r="Y827" s="2" t="s">
        <v>8493</v>
      </c>
    </row>
    <row r="828" spans="1:25" s="11" customFormat="1" ht="242.25" customHeight="1" outlineLevel="1" x14ac:dyDescent="0.25">
      <c r="A828" s="16"/>
      <c r="B828" s="2" t="s">
        <v>9140</v>
      </c>
      <c r="C828" s="3" t="s">
        <v>83</v>
      </c>
      <c r="D828" s="19" t="s">
        <v>2425</v>
      </c>
      <c r="E828" s="19" t="s">
        <v>2426</v>
      </c>
      <c r="F828" s="19" t="s">
        <v>2427</v>
      </c>
      <c r="G828" s="5" t="s">
        <v>2428</v>
      </c>
      <c r="H828" s="2" t="s">
        <v>88</v>
      </c>
      <c r="I828" s="4">
        <v>0</v>
      </c>
      <c r="J828" s="5">
        <v>710000000</v>
      </c>
      <c r="K828" s="5" t="s">
        <v>89</v>
      </c>
      <c r="L828" s="5" t="s">
        <v>9114</v>
      </c>
      <c r="M828" s="6" t="s">
        <v>787</v>
      </c>
      <c r="N828" s="7" t="s">
        <v>92</v>
      </c>
      <c r="O828" s="7" t="s">
        <v>93</v>
      </c>
      <c r="P828" s="3" t="s">
        <v>673</v>
      </c>
      <c r="Q828" s="3">
        <v>778</v>
      </c>
      <c r="R828" s="3" t="s">
        <v>523</v>
      </c>
      <c r="S828" s="9">
        <f>960+3+192+73+16+12+6</f>
        <v>1262</v>
      </c>
      <c r="T828" s="9">
        <v>1040</v>
      </c>
      <c r="U828" s="9">
        <f t="shared" ref="U828" si="493">T828*S828</f>
        <v>1312480</v>
      </c>
      <c r="V828" s="9">
        <f t="shared" ref="V828" si="494">U828*1.12</f>
        <v>1469977.6000000001</v>
      </c>
      <c r="W828" s="7"/>
      <c r="X828" s="2">
        <v>2016</v>
      </c>
      <c r="Y828" s="2"/>
    </row>
    <row r="829" spans="1:25" s="11" customFormat="1" ht="89.25" customHeight="1" outlineLevel="1" x14ac:dyDescent="0.25">
      <c r="A829" s="16"/>
      <c r="B829" s="2" t="s">
        <v>5941</v>
      </c>
      <c r="C829" s="3" t="s">
        <v>83</v>
      </c>
      <c r="D829" s="5" t="s">
        <v>2429</v>
      </c>
      <c r="E829" s="5" t="s">
        <v>2430</v>
      </c>
      <c r="F829" s="5" t="s">
        <v>2431</v>
      </c>
      <c r="G829" s="19" t="s">
        <v>2432</v>
      </c>
      <c r="H829" s="2" t="s">
        <v>88</v>
      </c>
      <c r="I829" s="4">
        <v>0.4</v>
      </c>
      <c r="J829" s="5">
        <v>710000000</v>
      </c>
      <c r="K829" s="5" t="s">
        <v>89</v>
      </c>
      <c r="L829" s="2" t="s">
        <v>754</v>
      </c>
      <c r="M829" s="6" t="s">
        <v>787</v>
      </c>
      <c r="N829" s="7" t="s">
        <v>92</v>
      </c>
      <c r="O829" s="7" t="s">
        <v>93</v>
      </c>
      <c r="P829" s="3" t="s">
        <v>94</v>
      </c>
      <c r="Q829" s="8" t="s">
        <v>2433</v>
      </c>
      <c r="R829" s="3" t="s">
        <v>2434</v>
      </c>
      <c r="S829" s="9">
        <f>2682+977+485+252+133+90+72+126+248</f>
        <v>5065</v>
      </c>
      <c r="T829" s="9">
        <v>133</v>
      </c>
      <c r="U829" s="9">
        <v>0</v>
      </c>
      <c r="V829" s="9">
        <f t="shared" si="434"/>
        <v>0</v>
      </c>
      <c r="W829" s="7" t="s">
        <v>97</v>
      </c>
      <c r="X829" s="2">
        <v>2016</v>
      </c>
      <c r="Y829" s="5" t="s">
        <v>7793</v>
      </c>
    </row>
    <row r="830" spans="1:25" s="11" customFormat="1" ht="89.25" customHeight="1" outlineLevel="1" x14ac:dyDescent="0.25">
      <c r="A830" s="16"/>
      <c r="B830" s="2" t="s">
        <v>7841</v>
      </c>
      <c r="C830" s="3" t="s">
        <v>83</v>
      </c>
      <c r="D830" s="5" t="s">
        <v>2429</v>
      </c>
      <c r="E830" s="5" t="s">
        <v>2430</v>
      </c>
      <c r="F830" s="5" t="s">
        <v>2431</v>
      </c>
      <c r="G830" s="19" t="s">
        <v>2432</v>
      </c>
      <c r="H830" s="2" t="s">
        <v>88</v>
      </c>
      <c r="I830" s="4">
        <v>0</v>
      </c>
      <c r="J830" s="5">
        <v>710000000</v>
      </c>
      <c r="K830" s="5" t="s">
        <v>89</v>
      </c>
      <c r="L830" s="2" t="s">
        <v>754</v>
      </c>
      <c r="M830" s="6" t="s">
        <v>787</v>
      </c>
      <c r="N830" s="7" t="s">
        <v>92</v>
      </c>
      <c r="O830" s="7" t="s">
        <v>93</v>
      </c>
      <c r="P830" s="3" t="s">
        <v>673</v>
      </c>
      <c r="Q830" s="8" t="s">
        <v>2433</v>
      </c>
      <c r="R830" s="3" t="s">
        <v>2434</v>
      </c>
      <c r="S830" s="9">
        <f>2682+977+485+252+133+90+72+126+248</f>
        <v>5065</v>
      </c>
      <c r="T830" s="9">
        <v>133</v>
      </c>
      <c r="U830" s="9">
        <f t="shared" ref="U830" si="495">T830*S830</f>
        <v>673645</v>
      </c>
      <c r="V830" s="9">
        <f t="shared" ref="V830" si="496">U830*1.12</f>
        <v>754482.4</v>
      </c>
      <c r="W830" s="7"/>
      <c r="X830" s="2">
        <v>2016</v>
      </c>
      <c r="Y830" s="2"/>
    </row>
    <row r="831" spans="1:25" s="11" customFormat="1" ht="89.25" customHeight="1" outlineLevel="1" x14ac:dyDescent="0.25">
      <c r="A831" s="16"/>
      <c r="B831" s="2" t="s">
        <v>5942</v>
      </c>
      <c r="C831" s="19" t="s">
        <v>83</v>
      </c>
      <c r="D831" s="19" t="s">
        <v>2435</v>
      </c>
      <c r="E831" s="19" t="s">
        <v>2436</v>
      </c>
      <c r="F831" s="19" t="s">
        <v>2437</v>
      </c>
      <c r="G831" s="19" t="s">
        <v>2438</v>
      </c>
      <c r="H831" s="2" t="s">
        <v>88</v>
      </c>
      <c r="I831" s="4">
        <v>0.4</v>
      </c>
      <c r="J831" s="5">
        <v>710000000</v>
      </c>
      <c r="K831" s="5" t="s">
        <v>89</v>
      </c>
      <c r="L831" s="2" t="s">
        <v>754</v>
      </c>
      <c r="M831" s="6" t="s">
        <v>787</v>
      </c>
      <c r="N831" s="7" t="s">
        <v>92</v>
      </c>
      <c r="O831" s="7" t="s">
        <v>93</v>
      </c>
      <c r="P831" s="3" t="s">
        <v>94</v>
      </c>
      <c r="Q831" s="8" t="s">
        <v>2439</v>
      </c>
      <c r="R831" s="7" t="s">
        <v>2440</v>
      </c>
      <c r="S831" s="9">
        <f>594+2682+126</f>
        <v>3402</v>
      </c>
      <c r="T831" s="9">
        <v>100</v>
      </c>
      <c r="U831" s="9">
        <v>0</v>
      </c>
      <c r="V831" s="9">
        <f t="shared" si="434"/>
        <v>0</v>
      </c>
      <c r="W831" s="7" t="s">
        <v>97</v>
      </c>
      <c r="X831" s="2">
        <v>2016</v>
      </c>
      <c r="Y831" s="2" t="s">
        <v>7793</v>
      </c>
    </row>
    <row r="832" spans="1:25" s="11" customFormat="1" ht="89.25" customHeight="1" outlineLevel="1" x14ac:dyDescent="0.25">
      <c r="A832" s="16"/>
      <c r="B832" s="2" t="s">
        <v>7842</v>
      </c>
      <c r="C832" s="19" t="s">
        <v>83</v>
      </c>
      <c r="D832" s="19" t="s">
        <v>2435</v>
      </c>
      <c r="E832" s="19" t="s">
        <v>2436</v>
      </c>
      <c r="F832" s="19" t="s">
        <v>2437</v>
      </c>
      <c r="G832" s="19" t="s">
        <v>2438</v>
      </c>
      <c r="H832" s="2" t="s">
        <v>88</v>
      </c>
      <c r="I832" s="4">
        <v>0</v>
      </c>
      <c r="J832" s="5">
        <v>710000000</v>
      </c>
      <c r="K832" s="5" t="s">
        <v>89</v>
      </c>
      <c r="L832" s="2" t="s">
        <v>754</v>
      </c>
      <c r="M832" s="6" t="s">
        <v>787</v>
      </c>
      <c r="N832" s="7" t="s">
        <v>92</v>
      </c>
      <c r="O832" s="7" t="s">
        <v>93</v>
      </c>
      <c r="P832" s="3" t="s">
        <v>673</v>
      </c>
      <c r="Q832" s="8" t="s">
        <v>2439</v>
      </c>
      <c r="R832" s="7" t="s">
        <v>2440</v>
      </c>
      <c r="S832" s="9">
        <f>594+2682+126</f>
        <v>3402</v>
      </c>
      <c r="T832" s="9">
        <v>100</v>
      </c>
      <c r="U832" s="9">
        <v>0</v>
      </c>
      <c r="V832" s="9">
        <f t="shared" ref="V832" si="497">U832*1.12</f>
        <v>0</v>
      </c>
      <c r="W832" s="7"/>
      <c r="X832" s="2">
        <v>2016</v>
      </c>
      <c r="Y832" s="2">
        <v>11</v>
      </c>
    </row>
    <row r="833" spans="1:25" s="11" customFormat="1" ht="89.25" customHeight="1" outlineLevel="1" x14ac:dyDescent="0.25">
      <c r="A833" s="16"/>
      <c r="B833" s="2" t="s">
        <v>9141</v>
      </c>
      <c r="C833" s="19" t="s">
        <v>83</v>
      </c>
      <c r="D833" s="19" t="s">
        <v>2435</v>
      </c>
      <c r="E833" s="19" t="s">
        <v>2436</v>
      </c>
      <c r="F833" s="19" t="s">
        <v>2437</v>
      </c>
      <c r="G833" s="19" t="s">
        <v>2438</v>
      </c>
      <c r="H833" s="2" t="s">
        <v>88</v>
      </c>
      <c r="I833" s="4">
        <v>0</v>
      </c>
      <c r="J833" s="5">
        <v>710000000</v>
      </c>
      <c r="K833" s="5" t="s">
        <v>89</v>
      </c>
      <c r="L833" s="5" t="s">
        <v>9114</v>
      </c>
      <c r="M833" s="6" t="s">
        <v>787</v>
      </c>
      <c r="N833" s="7" t="s">
        <v>92</v>
      </c>
      <c r="O833" s="7" t="s">
        <v>93</v>
      </c>
      <c r="P833" s="3" t="s">
        <v>673</v>
      </c>
      <c r="Q833" s="8" t="s">
        <v>2439</v>
      </c>
      <c r="R833" s="7" t="s">
        <v>2440</v>
      </c>
      <c r="S833" s="9">
        <f>594+2682+126</f>
        <v>3402</v>
      </c>
      <c r="T833" s="9">
        <v>100</v>
      </c>
      <c r="U833" s="9">
        <f t="shared" ref="U833" si="498">T833*S833</f>
        <v>340200</v>
      </c>
      <c r="V833" s="9">
        <f t="shared" ref="V833" si="499">U833*1.12</f>
        <v>381024.00000000006</v>
      </c>
      <c r="W833" s="7"/>
      <c r="X833" s="2">
        <v>2016</v>
      </c>
      <c r="Y833" s="2"/>
    </row>
    <row r="834" spans="1:25" s="11" customFormat="1" ht="89.25" customHeight="1" outlineLevel="1" x14ac:dyDescent="0.25">
      <c r="A834" s="16"/>
      <c r="B834" s="2" t="s">
        <v>5943</v>
      </c>
      <c r="C834" s="3" t="s">
        <v>83</v>
      </c>
      <c r="D834" s="19" t="s">
        <v>2441</v>
      </c>
      <c r="E834" s="19" t="s">
        <v>2436</v>
      </c>
      <c r="F834" s="19" t="s">
        <v>2442</v>
      </c>
      <c r="G834" s="19" t="s">
        <v>2443</v>
      </c>
      <c r="H834" s="2" t="s">
        <v>88</v>
      </c>
      <c r="I834" s="4">
        <v>0.4</v>
      </c>
      <c r="J834" s="5">
        <v>710000000</v>
      </c>
      <c r="K834" s="5" t="s">
        <v>89</v>
      </c>
      <c r="L834" s="2" t="s">
        <v>754</v>
      </c>
      <c r="M834" s="6" t="s">
        <v>787</v>
      </c>
      <c r="N834" s="7" t="s">
        <v>92</v>
      </c>
      <c r="O834" s="7" t="s">
        <v>93</v>
      </c>
      <c r="P834" s="3" t="s">
        <v>94</v>
      </c>
      <c r="Q834" s="8" t="s">
        <v>2439</v>
      </c>
      <c r="R834" s="7" t="s">
        <v>2440</v>
      </c>
      <c r="S834" s="9">
        <f>2682+252+100+72+36+90+126</f>
        <v>3358</v>
      </c>
      <c r="T834" s="9">
        <v>156</v>
      </c>
      <c r="U834" s="9">
        <v>0</v>
      </c>
      <c r="V834" s="9">
        <f t="shared" si="434"/>
        <v>0</v>
      </c>
      <c r="W834" s="7" t="s">
        <v>97</v>
      </c>
      <c r="X834" s="2">
        <v>2016</v>
      </c>
      <c r="Y834" s="2" t="s">
        <v>7793</v>
      </c>
    </row>
    <row r="835" spans="1:25" s="11" customFormat="1" ht="89.25" customHeight="1" outlineLevel="1" x14ac:dyDescent="0.25">
      <c r="A835" s="16"/>
      <c r="B835" s="2" t="s">
        <v>7843</v>
      </c>
      <c r="C835" s="3" t="s">
        <v>83</v>
      </c>
      <c r="D835" s="19" t="s">
        <v>2441</v>
      </c>
      <c r="E835" s="19" t="s">
        <v>2436</v>
      </c>
      <c r="F835" s="19" t="s">
        <v>2442</v>
      </c>
      <c r="G835" s="19" t="s">
        <v>2443</v>
      </c>
      <c r="H835" s="2" t="s">
        <v>88</v>
      </c>
      <c r="I835" s="4">
        <v>0</v>
      </c>
      <c r="J835" s="5">
        <v>710000000</v>
      </c>
      <c r="K835" s="5" t="s">
        <v>89</v>
      </c>
      <c r="L835" s="2" t="s">
        <v>754</v>
      </c>
      <c r="M835" s="6" t="s">
        <v>787</v>
      </c>
      <c r="N835" s="7" t="s">
        <v>92</v>
      </c>
      <c r="O835" s="7" t="s">
        <v>93</v>
      </c>
      <c r="P835" s="3" t="s">
        <v>673</v>
      </c>
      <c r="Q835" s="8" t="s">
        <v>2439</v>
      </c>
      <c r="R835" s="7" t="s">
        <v>2440</v>
      </c>
      <c r="S835" s="9">
        <f>2682+252+100+72+36+90+126</f>
        <v>3358</v>
      </c>
      <c r="T835" s="9">
        <v>156</v>
      </c>
      <c r="U835" s="9">
        <v>0</v>
      </c>
      <c r="V835" s="9">
        <f t="shared" ref="V835" si="500">U835*1.12</f>
        <v>0</v>
      </c>
      <c r="W835" s="7"/>
      <c r="X835" s="2">
        <v>2016</v>
      </c>
      <c r="Y835" s="2" t="s">
        <v>2339</v>
      </c>
    </row>
    <row r="836" spans="1:25" s="11" customFormat="1" ht="89.25" customHeight="1" outlineLevel="1" x14ac:dyDescent="0.25">
      <c r="A836" s="16"/>
      <c r="B836" s="2" t="s">
        <v>9142</v>
      </c>
      <c r="C836" s="3" t="s">
        <v>83</v>
      </c>
      <c r="D836" s="19" t="s">
        <v>2441</v>
      </c>
      <c r="E836" s="19" t="s">
        <v>2436</v>
      </c>
      <c r="F836" s="19" t="s">
        <v>2442</v>
      </c>
      <c r="G836" s="19" t="s">
        <v>2443</v>
      </c>
      <c r="H836" s="2" t="s">
        <v>88</v>
      </c>
      <c r="I836" s="4">
        <v>0</v>
      </c>
      <c r="J836" s="5">
        <v>710000000</v>
      </c>
      <c r="K836" s="5" t="s">
        <v>89</v>
      </c>
      <c r="L836" s="5" t="s">
        <v>9114</v>
      </c>
      <c r="M836" s="6" t="s">
        <v>787</v>
      </c>
      <c r="N836" s="7" t="s">
        <v>92</v>
      </c>
      <c r="O836" s="7" t="s">
        <v>93</v>
      </c>
      <c r="P836" s="3" t="s">
        <v>673</v>
      </c>
      <c r="Q836" s="8" t="s">
        <v>2439</v>
      </c>
      <c r="R836" s="7" t="s">
        <v>2440</v>
      </c>
      <c r="S836" s="9">
        <v>2933</v>
      </c>
      <c r="T836" s="9">
        <v>178.57</v>
      </c>
      <c r="U836" s="9">
        <f t="shared" ref="U836" si="501">T836*S836</f>
        <v>523745.81</v>
      </c>
      <c r="V836" s="9">
        <f t="shared" ref="V836" si="502">U836*1.12</f>
        <v>586595.30720000004</v>
      </c>
      <c r="W836" s="7"/>
      <c r="X836" s="2">
        <v>2016</v>
      </c>
      <c r="Y836" s="2"/>
    </row>
    <row r="837" spans="1:25" s="11" customFormat="1" ht="89.25" customHeight="1" outlineLevel="1" x14ac:dyDescent="0.25">
      <c r="A837" s="16"/>
      <c r="B837" s="2" t="s">
        <v>5944</v>
      </c>
      <c r="C837" s="3" t="s">
        <v>83</v>
      </c>
      <c r="D837" s="19" t="s">
        <v>2444</v>
      </c>
      <c r="E837" s="19" t="s">
        <v>2445</v>
      </c>
      <c r="F837" s="19" t="s">
        <v>2446</v>
      </c>
      <c r="G837" s="19" t="s">
        <v>2447</v>
      </c>
      <c r="H837" s="2" t="s">
        <v>88</v>
      </c>
      <c r="I837" s="4">
        <v>0.4</v>
      </c>
      <c r="J837" s="5">
        <v>710000000</v>
      </c>
      <c r="K837" s="5" t="s">
        <v>89</v>
      </c>
      <c r="L837" s="2" t="s">
        <v>754</v>
      </c>
      <c r="M837" s="6" t="s">
        <v>787</v>
      </c>
      <c r="N837" s="7" t="s">
        <v>92</v>
      </c>
      <c r="O837" s="7" t="s">
        <v>93</v>
      </c>
      <c r="P837" s="3" t="s">
        <v>94</v>
      </c>
      <c r="Q837" s="8">
        <v>796</v>
      </c>
      <c r="R837" s="7" t="s">
        <v>118</v>
      </c>
      <c r="S837" s="9">
        <f>149+8+8+7+4+2+4</f>
        <v>182</v>
      </c>
      <c r="T837" s="9">
        <v>714</v>
      </c>
      <c r="U837" s="9">
        <v>0</v>
      </c>
      <c r="V837" s="9">
        <f t="shared" si="434"/>
        <v>0</v>
      </c>
      <c r="W837" s="7" t="s">
        <v>97</v>
      </c>
      <c r="X837" s="2">
        <v>2016</v>
      </c>
      <c r="Y837" s="2" t="s">
        <v>7793</v>
      </c>
    </row>
    <row r="838" spans="1:25" s="11" customFormat="1" ht="89.25" customHeight="1" outlineLevel="1" x14ac:dyDescent="0.25">
      <c r="A838" s="16"/>
      <c r="B838" s="2" t="s">
        <v>7844</v>
      </c>
      <c r="C838" s="3" t="s">
        <v>83</v>
      </c>
      <c r="D838" s="19" t="s">
        <v>2444</v>
      </c>
      <c r="E838" s="19" t="s">
        <v>2445</v>
      </c>
      <c r="F838" s="19" t="s">
        <v>2446</v>
      </c>
      <c r="G838" s="19" t="s">
        <v>2447</v>
      </c>
      <c r="H838" s="2" t="s">
        <v>88</v>
      </c>
      <c r="I838" s="4">
        <v>0</v>
      </c>
      <c r="J838" s="5">
        <v>710000000</v>
      </c>
      <c r="K838" s="5" t="s">
        <v>89</v>
      </c>
      <c r="L838" s="2" t="s">
        <v>754</v>
      </c>
      <c r="M838" s="6" t="s">
        <v>787</v>
      </c>
      <c r="N838" s="7" t="s">
        <v>92</v>
      </c>
      <c r="O838" s="7" t="s">
        <v>93</v>
      </c>
      <c r="P838" s="3" t="s">
        <v>673</v>
      </c>
      <c r="Q838" s="8">
        <v>796</v>
      </c>
      <c r="R838" s="7" t="s">
        <v>118</v>
      </c>
      <c r="S838" s="9">
        <f>149+8+8+7+4+2+4</f>
        <v>182</v>
      </c>
      <c r="T838" s="9">
        <v>714</v>
      </c>
      <c r="U838" s="9">
        <v>0</v>
      </c>
      <c r="V838" s="9">
        <f t="shared" ref="V838" si="503">U838*1.12</f>
        <v>0</v>
      </c>
      <c r="W838" s="7"/>
      <c r="X838" s="2">
        <v>2016</v>
      </c>
      <c r="Y838" s="2">
        <v>11</v>
      </c>
    </row>
    <row r="839" spans="1:25" s="11" customFormat="1" ht="89.25" customHeight="1" outlineLevel="1" x14ac:dyDescent="0.25">
      <c r="A839" s="16"/>
      <c r="B839" s="2" t="s">
        <v>9143</v>
      </c>
      <c r="C839" s="3" t="s">
        <v>83</v>
      </c>
      <c r="D839" s="19" t="s">
        <v>2444</v>
      </c>
      <c r="E839" s="19" t="s">
        <v>2445</v>
      </c>
      <c r="F839" s="19" t="s">
        <v>2446</v>
      </c>
      <c r="G839" s="19" t="s">
        <v>2447</v>
      </c>
      <c r="H839" s="2" t="s">
        <v>88</v>
      </c>
      <c r="I839" s="4">
        <v>0</v>
      </c>
      <c r="J839" s="5">
        <v>710000000</v>
      </c>
      <c r="K839" s="5" t="s">
        <v>89</v>
      </c>
      <c r="L839" s="5" t="s">
        <v>9114</v>
      </c>
      <c r="M839" s="6" t="s">
        <v>787</v>
      </c>
      <c r="N839" s="7" t="s">
        <v>92</v>
      </c>
      <c r="O839" s="7" t="s">
        <v>93</v>
      </c>
      <c r="P839" s="3" t="s">
        <v>673</v>
      </c>
      <c r="Q839" s="8">
        <v>796</v>
      </c>
      <c r="R839" s="7" t="s">
        <v>118</v>
      </c>
      <c r="S839" s="9">
        <f>149+8+8+7+4+2+4</f>
        <v>182</v>
      </c>
      <c r="T839" s="9">
        <v>714</v>
      </c>
      <c r="U839" s="9">
        <f t="shared" ref="U839" si="504">T839*S839</f>
        <v>129948</v>
      </c>
      <c r="V839" s="9">
        <f t="shared" ref="V839" si="505">U839*1.12</f>
        <v>145541.76000000001</v>
      </c>
      <c r="W839" s="7"/>
      <c r="X839" s="2">
        <v>2016</v>
      </c>
      <c r="Y839" s="2"/>
    </row>
    <row r="840" spans="1:25" s="11" customFormat="1" ht="102" customHeight="1" outlineLevel="1" x14ac:dyDescent="0.25">
      <c r="A840" s="16"/>
      <c r="B840" s="2" t="s">
        <v>5945</v>
      </c>
      <c r="C840" s="3" t="s">
        <v>83</v>
      </c>
      <c r="D840" s="19" t="s">
        <v>2448</v>
      </c>
      <c r="E840" s="19" t="s">
        <v>2426</v>
      </c>
      <c r="F840" s="19" t="s">
        <v>2427</v>
      </c>
      <c r="G840" s="19" t="s">
        <v>2449</v>
      </c>
      <c r="H840" s="2" t="s">
        <v>88</v>
      </c>
      <c r="I840" s="4">
        <v>0.4</v>
      </c>
      <c r="J840" s="5">
        <v>710000000</v>
      </c>
      <c r="K840" s="5" t="s">
        <v>89</v>
      </c>
      <c r="L840" s="2" t="s">
        <v>754</v>
      </c>
      <c r="M840" s="6" t="s">
        <v>787</v>
      </c>
      <c r="N840" s="7" t="s">
        <v>92</v>
      </c>
      <c r="O840" s="7" t="s">
        <v>93</v>
      </c>
      <c r="P840" s="3" t="s">
        <v>94</v>
      </c>
      <c r="Q840" s="8">
        <v>796</v>
      </c>
      <c r="R840" s="7" t="s">
        <v>118</v>
      </c>
      <c r="S840" s="9">
        <f>940+279+64+16+6+16+60</f>
        <v>1381</v>
      </c>
      <c r="T840" s="9">
        <v>424</v>
      </c>
      <c r="U840" s="9">
        <v>0</v>
      </c>
      <c r="V840" s="9">
        <f t="shared" si="434"/>
        <v>0</v>
      </c>
      <c r="W840" s="7" t="s">
        <v>97</v>
      </c>
      <c r="X840" s="2">
        <v>2016</v>
      </c>
      <c r="Y840" s="2" t="s">
        <v>7793</v>
      </c>
    </row>
    <row r="841" spans="1:25" s="11" customFormat="1" ht="102" customHeight="1" outlineLevel="1" x14ac:dyDescent="0.25">
      <c r="A841" s="16"/>
      <c r="B841" s="2" t="s">
        <v>7845</v>
      </c>
      <c r="C841" s="3" t="s">
        <v>83</v>
      </c>
      <c r="D841" s="19" t="s">
        <v>2448</v>
      </c>
      <c r="E841" s="19" t="s">
        <v>2426</v>
      </c>
      <c r="F841" s="19" t="s">
        <v>2427</v>
      </c>
      <c r="G841" s="19" t="s">
        <v>2449</v>
      </c>
      <c r="H841" s="2" t="s">
        <v>88</v>
      </c>
      <c r="I841" s="4">
        <v>0</v>
      </c>
      <c r="J841" s="5">
        <v>710000000</v>
      </c>
      <c r="K841" s="5" t="s">
        <v>89</v>
      </c>
      <c r="L841" s="2" t="s">
        <v>754</v>
      </c>
      <c r="M841" s="6" t="s">
        <v>787</v>
      </c>
      <c r="N841" s="7" t="s">
        <v>92</v>
      </c>
      <c r="O841" s="7" t="s">
        <v>93</v>
      </c>
      <c r="P841" s="3" t="s">
        <v>673</v>
      </c>
      <c r="Q841" s="8">
        <v>796</v>
      </c>
      <c r="R841" s="7" t="s">
        <v>118</v>
      </c>
      <c r="S841" s="9">
        <f>940+279+64+16+6+16+60</f>
        <v>1381</v>
      </c>
      <c r="T841" s="9">
        <v>424</v>
      </c>
      <c r="U841" s="9">
        <v>0</v>
      </c>
      <c r="V841" s="9">
        <f t="shared" ref="V841" si="506">U841*1.12</f>
        <v>0</v>
      </c>
      <c r="W841" s="7"/>
      <c r="X841" s="2">
        <v>2016</v>
      </c>
      <c r="Y841" s="2" t="s">
        <v>2339</v>
      </c>
    </row>
    <row r="842" spans="1:25" s="11" customFormat="1" ht="102" customHeight="1" outlineLevel="1" x14ac:dyDescent="0.25">
      <c r="A842" s="16"/>
      <c r="B842" s="2" t="s">
        <v>9144</v>
      </c>
      <c r="C842" s="3" t="s">
        <v>83</v>
      </c>
      <c r="D842" s="19" t="s">
        <v>2448</v>
      </c>
      <c r="E842" s="19" t="s">
        <v>2426</v>
      </c>
      <c r="F842" s="19" t="s">
        <v>2427</v>
      </c>
      <c r="G842" s="19" t="s">
        <v>2449</v>
      </c>
      <c r="H842" s="2" t="s">
        <v>88</v>
      </c>
      <c r="I842" s="4">
        <v>0</v>
      </c>
      <c r="J842" s="5">
        <v>710000000</v>
      </c>
      <c r="K842" s="5" t="s">
        <v>89</v>
      </c>
      <c r="L842" s="5" t="s">
        <v>9114</v>
      </c>
      <c r="M842" s="6" t="s">
        <v>787</v>
      </c>
      <c r="N842" s="7" t="s">
        <v>92</v>
      </c>
      <c r="O842" s="7" t="s">
        <v>93</v>
      </c>
      <c r="P842" s="3" t="s">
        <v>673</v>
      </c>
      <c r="Q842" s="8">
        <v>796</v>
      </c>
      <c r="R842" s="7" t="s">
        <v>118</v>
      </c>
      <c r="S842" s="9">
        <v>1338</v>
      </c>
      <c r="T842" s="9">
        <v>437.5</v>
      </c>
      <c r="U842" s="9">
        <f t="shared" ref="U842" si="507">T842*S842</f>
        <v>585375</v>
      </c>
      <c r="V842" s="9">
        <f t="shared" ref="V842" si="508">U842*1.12</f>
        <v>655620.00000000012</v>
      </c>
      <c r="W842" s="7"/>
      <c r="X842" s="2">
        <v>2016</v>
      </c>
      <c r="Y842" s="2"/>
    </row>
    <row r="843" spans="1:25" s="11" customFormat="1" ht="89.25" customHeight="1" outlineLevel="1" x14ac:dyDescent="0.25">
      <c r="A843" s="16"/>
      <c r="B843" s="2" t="s">
        <v>5946</v>
      </c>
      <c r="C843" s="3" t="s">
        <v>83</v>
      </c>
      <c r="D843" s="19" t="s">
        <v>2450</v>
      </c>
      <c r="E843" s="19" t="s">
        <v>2451</v>
      </c>
      <c r="F843" s="19" t="s">
        <v>2452</v>
      </c>
      <c r="G843" s="19" t="s">
        <v>2453</v>
      </c>
      <c r="H843" s="2" t="s">
        <v>88</v>
      </c>
      <c r="I843" s="4">
        <v>0.4</v>
      </c>
      <c r="J843" s="5">
        <v>710000000</v>
      </c>
      <c r="K843" s="5" t="s">
        <v>89</v>
      </c>
      <c r="L843" s="2" t="s">
        <v>754</v>
      </c>
      <c r="M843" s="6" t="s">
        <v>787</v>
      </c>
      <c r="N843" s="7" t="s">
        <v>92</v>
      </c>
      <c r="O843" s="7" t="s">
        <v>93</v>
      </c>
      <c r="P843" s="3" t="s">
        <v>94</v>
      </c>
      <c r="Q843" s="8">
        <v>796</v>
      </c>
      <c r="R843" s="7" t="s">
        <v>118</v>
      </c>
      <c r="S843" s="9">
        <f>1200+96+64+292+16+6+11+14</f>
        <v>1699</v>
      </c>
      <c r="T843" s="9">
        <v>929</v>
      </c>
      <c r="U843" s="9">
        <v>0</v>
      </c>
      <c r="V843" s="9">
        <f t="shared" si="434"/>
        <v>0</v>
      </c>
      <c r="W843" s="7" t="s">
        <v>97</v>
      </c>
      <c r="X843" s="2">
        <v>2016</v>
      </c>
      <c r="Y843" s="2" t="s">
        <v>7793</v>
      </c>
    </row>
    <row r="844" spans="1:25" s="11" customFormat="1" ht="89.25" customHeight="1" outlineLevel="1" x14ac:dyDescent="0.25">
      <c r="A844" s="16"/>
      <c r="B844" s="2" t="s">
        <v>7846</v>
      </c>
      <c r="C844" s="3" t="s">
        <v>83</v>
      </c>
      <c r="D844" s="19" t="s">
        <v>2450</v>
      </c>
      <c r="E844" s="19" t="s">
        <v>2451</v>
      </c>
      <c r="F844" s="19" t="s">
        <v>2452</v>
      </c>
      <c r="G844" s="19" t="s">
        <v>2453</v>
      </c>
      <c r="H844" s="2" t="s">
        <v>88</v>
      </c>
      <c r="I844" s="4">
        <v>0</v>
      </c>
      <c r="J844" s="5">
        <v>710000000</v>
      </c>
      <c r="K844" s="5" t="s">
        <v>89</v>
      </c>
      <c r="L844" s="2" t="s">
        <v>754</v>
      </c>
      <c r="M844" s="6" t="s">
        <v>787</v>
      </c>
      <c r="N844" s="7" t="s">
        <v>92</v>
      </c>
      <c r="O844" s="7" t="s">
        <v>93</v>
      </c>
      <c r="P844" s="3" t="s">
        <v>673</v>
      </c>
      <c r="Q844" s="8">
        <v>796</v>
      </c>
      <c r="R844" s="7" t="s">
        <v>118</v>
      </c>
      <c r="S844" s="9">
        <f>1200+96+64+292+16+6+11+14</f>
        <v>1699</v>
      </c>
      <c r="T844" s="9">
        <v>929</v>
      </c>
      <c r="U844" s="9">
        <v>0</v>
      </c>
      <c r="V844" s="9">
        <f t="shared" ref="V844" si="509">U844*1.12</f>
        <v>0</v>
      </c>
      <c r="W844" s="7"/>
      <c r="X844" s="2">
        <v>2016</v>
      </c>
      <c r="Y844" s="2" t="s">
        <v>2339</v>
      </c>
    </row>
    <row r="845" spans="1:25" s="11" customFormat="1" ht="89.25" customHeight="1" outlineLevel="1" x14ac:dyDescent="0.25">
      <c r="A845" s="16"/>
      <c r="B845" s="2" t="s">
        <v>9145</v>
      </c>
      <c r="C845" s="3" t="s">
        <v>83</v>
      </c>
      <c r="D845" s="19" t="s">
        <v>2450</v>
      </c>
      <c r="E845" s="19" t="s">
        <v>2451</v>
      </c>
      <c r="F845" s="19" t="s">
        <v>2452</v>
      </c>
      <c r="G845" s="19" t="s">
        <v>2453</v>
      </c>
      <c r="H845" s="2" t="s">
        <v>88</v>
      </c>
      <c r="I845" s="4">
        <v>0</v>
      </c>
      <c r="J845" s="5">
        <v>710000000</v>
      </c>
      <c r="K845" s="5" t="s">
        <v>89</v>
      </c>
      <c r="L845" s="5" t="s">
        <v>9114</v>
      </c>
      <c r="M845" s="6" t="s">
        <v>787</v>
      </c>
      <c r="N845" s="7" t="s">
        <v>92</v>
      </c>
      <c r="O845" s="7" t="s">
        <v>93</v>
      </c>
      <c r="P845" s="3" t="s">
        <v>673</v>
      </c>
      <c r="Q845" s="8">
        <v>796</v>
      </c>
      <c r="R845" s="7" t="s">
        <v>118</v>
      </c>
      <c r="S845" s="9">
        <v>1414</v>
      </c>
      <c r="T845" s="9">
        <v>1116.07</v>
      </c>
      <c r="U845" s="9">
        <f t="shared" ref="U845" si="510">T845*S845</f>
        <v>1578122.98</v>
      </c>
      <c r="V845" s="9">
        <f t="shared" ref="V845" si="511">U845*1.12</f>
        <v>1767497.7376000001</v>
      </c>
      <c r="W845" s="7"/>
      <c r="X845" s="2">
        <v>2016</v>
      </c>
      <c r="Y845" s="2"/>
    </row>
    <row r="846" spans="1:25" s="11" customFormat="1" ht="280.5" customHeight="1" outlineLevel="1" x14ac:dyDescent="0.25">
      <c r="A846" s="1"/>
      <c r="B846" s="2" t="s">
        <v>5947</v>
      </c>
      <c r="C846" s="3" t="s">
        <v>83</v>
      </c>
      <c r="D846" s="19" t="s">
        <v>2454</v>
      </c>
      <c r="E846" s="19" t="s">
        <v>2455</v>
      </c>
      <c r="F846" s="19" t="s">
        <v>2456</v>
      </c>
      <c r="G846" s="19" t="s">
        <v>2457</v>
      </c>
      <c r="H846" s="2" t="s">
        <v>88</v>
      </c>
      <c r="I846" s="4">
        <v>0.4</v>
      </c>
      <c r="J846" s="5">
        <v>710000000</v>
      </c>
      <c r="K846" s="5" t="s">
        <v>89</v>
      </c>
      <c r="L846" s="2" t="s">
        <v>754</v>
      </c>
      <c r="M846" s="6" t="s">
        <v>787</v>
      </c>
      <c r="N846" s="7" t="s">
        <v>92</v>
      </c>
      <c r="O846" s="7" t="s">
        <v>93</v>
      </c>
      <c r="P846" s="3" t="s">
        <v>94</v>
      </c>
      <c r="Q846" s="8" t="s">
        <v>2458</v>
      </c>
      <c r="R846" s="7" t="s">
        <v>2459</v>
      </c>
      <c r="S846" s="9">
        <f>4576+336+1752+120+96+24+57</f>
        <v>6961</v>
      </c>
      <c r="T846" s="9">
        <v>268.52999999999997</v>
      </c>
      <c r="U846" s="9">
        <v>0</v>
      </c>
      <c r="V846" s="9">
        <f t="shared" si="434"/>
        <v>0</v>
      </c>
      <c r="W846" s="7" t="s">
        <v>97</v>
      </c>
      <c r="X846" s="2">
        <v>2016</v>
      </c>
      <c r="Y846" s="2" t="s">
        <v>7793</v>
      </c>
    </row>
    <row r="847" spans="1:25" s="11" customFormat="1" ht="280.5" customHeight="1" outlineLevel="1" x14ac:dyDescent="0.25">
      <c r="A847" s="1"/>
      <c r="B847" s="2" t="s">
        <v>7847</v>
      </c>
      <c r="C847" s="3" t="s">
        <v>83</v>
      </c>
      <c r="D847" s="19" t="s">
        <v>2454</v>
      </c>
      <c r="E847" s="19" t="s">
        <v>2455</v>
      </c>
      <c r="F847" s="19" t="s">
        <v>2456</v>
      </c>
      <c r="G847" s="19" t="s">
        <v>2457</v>
      </c>
      <c r="H847" s="2" t="s">
        <v>88</v>
      </c>
      <c r="I847" s="4">
        <v>0</v>
      </c>
      <c r="J847" s="5">
        <v>710000000</v>
      </c>
      <c r="K847" s="5" t="s">
        <v>89</v>
      </c>
      <c r="L847" s="2" t="s">
        <v>754</v>
      </c>
      <c r="M847" s="6" t="s">
        <v>787</v>
      </c>
      <c r="N847" s="7" t="s">
        <v>92</v>
      </c>
      <c r="O847" s="7" t="s">
        <v>93</v>
      </c>
      <c r="P847" s="3" t="s">
        <v>673</v>
      </c>
      <c r="Q847" s="8" t="s">
        <v>2458</v>
      </c>
      <c r="R847" s="7" t="s">
        <v>2459</v>
      </c>
      <c r="S847" s="9">
        <f>4576+336+1752+120+96+24+57</f>
        <v>6961</v>
      </c>
      <c r="T847" s="9">
        <v>268.52999999999997</v>
      </c>
      <c r="U847" s="9">
        <v>0</v>
      </c>
      <c r="V847" s="9">
        <f t="shared" si="434"/>
        <v>0</v>
      </c>
      <c r="W847" s="7"/>
      <c r="X847" s="2">
        <v>2016</v>
      </c>
      <c r="Y847" s="2" t="s">
        <v>8493</v>
      </c>
    </row>
    <row r="848" spans="1:25" s="11" customFormat="1" ht="280.5" customHeight="1" outlineLevel="1" x14ac:dyDescent="0.25">
      <c r="A848" s="1"/>
      <c r="B848" s="2" t="s">
        <v>9146</v>
      </c>
      <c r="C848" s="3" t="s">
        <v>83</v>
      </c>
      <c r="D848" s="19" t="s">
        <v>2454</v>
      </c>
      <c r="E848" s="19" t="s">
        <v>2455</v>
      </c>
      <c r="F848" s="19" t="s">
        <v>2456</v>
      </c>
      <c r="G848" s="19" t="s">
        <v>2457</v>
      </c>
      <c r="H848" s="2" t="s">
        <v>88</v>
      </c>
      <c r="I848" s="4">
        <v>0</v>
      </c>
      <c r="J848" s="5">
        <v>710000000</v>
      </c>
      <c r="K848" s="5" t="s">
        <v>89</v>
      </c>
      <c r="L848" s="5" t="s">
        <v>9114</v>
      </c>
      <c r="M848" s="6" t="s">
        <v>787</v>
      </c>
      <c r="N848" s="7" t="s">
        <v>92</v>
      </c>
      <c r="O848" s="7" t="s">
        <v>93</v>
      </c>
      <c r="P848" s="3" t="s">
        <v>673</v>
      </c>
      <c r="Q848" s="8" t="s">
        <v>2458</v>
      </c>
      <c r="R848" s="7" t="s">
        <v>2459</v>
      </c>
      <c r="S848" s="9">
        <f>4576+336+1752+120+96+24+57</f>
        <v>6961</v>
      </c>
      <c r="T848" s="9">
        <v>250</v>
      </c>
      <c r="U848" s="9">
        <f t="shared" ref="U848" si="512">T848*S848</f>
        <v>1740250</v>
      </c>
      <c r="V848" s="9">
        <f t="shared" ref="V848" si="513">U848*1.12</f>
        <v>1949080.0000000002</v>
      </c>
      <c r="W848" s="7"/>
      <c r="X848" s="2">
        <v>2016</v>
      </c>
      <c r="Y848" s="2"/>
    </row>
    <row r="849" spans="1:25" s="11" customFormat="1" ht="89.25" customHeight="1" outlineLevel="1" x14ac:dyDescent="0.25">
      <c r="A849" s="16"/>
      <c r="B849" s="2" t="s">
        <v>5948</v>
      </c>
      <c r="C849" s="3" t="s">
        <v>83</v>
      </c>
      <c r="D849" s="19" t="s">
        <v>2460</v>
      </c>
      <c r="E849" s="19" t="s">
        <v>2455</v>
      </c>
      <c r="F849" s="19" t="s">
        <v>2461</v>
      </c>
      <c r="G849" s="19"/>
      <c r="H849" s="2" t="s">
        <v>88</v>
      </c>
      <c r="I849" s="4">
        <v>0.4</v>
      </c>
      <c r="J849" s="5">
        <v>710000000</v>
      </c>
      <c r="K849" s="5" t="s">
        <v>89</v>
      </c>
      <c r="L849" s="2" t="s">
        <v>754</v>
      </c>
      <c r="M849" s="6" t="s">
        <v>787</v>
      </c>
      <c r="N849" s="7" t="s">
        <v>92</v>
      </c>
      <c r="O849" s="7" t="s">
        <v>93</v>
      </c>
      <c r="P849" s="3" t="s">
        <v>94</v>
      </c>
      <c r="Q849" s="8" t="s">
        <v>2458</v>
      </c>
      <c r="R849" s="7" t="s">
        <v>2459</v>
      </c>
      <c r="S849" s="9">
        <f>707+60+60</f>
        <v>827</v>
      </c>
      <c r="T849" s="9">
        <v>185</v>
      </c>
      <c r="U849" s="9">
        <v>0</v>
      </c>
      <c r="V849" s="9">
        <f t="shared" si="434"/>
        <v>0</v>
      </c>
      <c r="W849" s="7" t="s">
        <v>97</v>
      </c>
      <c r="X849" s="2">
        <v>2016</v>
      </c>
      <c r="Y849" s="2" t="s">
        <v>7793</v>
      </c>
    </row>
    <row r="850" spans="1:25" s="11" customFormat="1" ht="89.25" customHeight="1" outlineLevel="1" x14ac:dyDescent="0.25">
      <c r="A850" s="16"/>
      <c r="B850" s="2" t="s">
        <v>7848</v>
      </c>
      <c r="C850" s="3" t="s">
        <v>83</v>
      </c>
      <c r="D850" s="19" t="s">
        <v>2460</v>
      </c>
      <c r="E850" s="19" t="s">
        <v>2455</v>
      </c>
      <c r="F850" s="19" t="s">
        <v>2461</v>
      </c>
      <c r="G850" s="19"/>
      <c r="H850" s="2" t="s">
        <v>88</v>
      </c>
      <c r="I850" s="4">
        <v>0</v>
      </c>
      <c r="J850" s="5">
        <v>710000000</v>
      </c>
      <c r="K850" s="5" t="s">
        <v>89</v>
      </c>
      <c r="L850" s="2" t="s">
        <v>754</v>
      </c>
      <c r="M850" s="6" t="s">
        <v>787</v>
      </c>
      <c r="N850" s="7" t="s">
        <v>92</v>
      </c>
      <c r="O850" s="7" t="s">
        <v>93</v>
      </c>
      <c r="P850" s="3" t="s">
        <v>673</v>
      </c>
      <c r="Q850" s="8" t="s">
        <v>2458</v>
      </c>
      <c r="R850" s="7" t="s">
        <v>2459</v>
      </c>
      <c r="S850" s="9">
        <f>707+60+60</f>
        <v>827</v>
      </c>
      <c r="T850" s="9">
        <v>185</v>
      </c>
      <c r="U850" s="9">
        <v>0</v>
      </c>
      <c r="V850" s="9">
        <f t="shared" ref="V850" si="514">U850*1.12</f>
        <v>0</v>
      </c>
      <c r="W850" s="7"/>
      <c r="X850" s="2">
        <v>2016</v>
      </c>
      <c r="Y850" s="2" t="s">
        <v>8493</v>
      </c>
    </row>
    <row r="851" spans="1:25" s="11" customFormat="1" ht="89.25" customHeight="1" outlineLevel="1" x14ac:dyDescent="0.25">
      <c r="A851" s="16"/>
      <c r="B851" s="2" t="s">
        <v>9147</v>
      </c>
      <c r="C851" s="3" t="s">
        <v>83</v>
      </c>
      <c r="D851" s="19" t="s">
        <v>2460</v>
      </c>
      <c r="E851" s="19" t="s">
        <v>2455</v>
      </c>
      <c r="F851" s="19" t="s">
        <v>2461</v>
      </c>
      <c r="G851" s="19"/>
      <c r="H851" s="2" t="s">
        <v>88</v>
      </c>
      <c r="I851" s="4">
        <v>0</v>
      </c>
      <c r="J851" s="5">
        <v>710000000</v>
      </c>
      <c r="K851" s="5" t="s">
        <v>89</v>
      </c>
      <c r="L851" s="5" t="s">
        <v>9114</v>
      </c>
      <c r="M851" s="6" t="s">
        <v>787</v>
      </c>
      <c r="N851" s="7" t="s">
        <v>92</v>
      </c>
      <c r="O851" s="7" t="s">
        <v>93</v>
      </c>
      <c r="P851" s="3" t="s">
        <v>673</v>
      </c>
      <c r="Q851" s="8" t="s">
        <v>2458</v>
      </c>
      <c r="R851" s="7" t="s">
        <v>2459</v>
      </c>
      <c r="S851" s="9">
        <f>707+60+60</f>
        <v>827</v>
      </c>
      <c r="T851" s="9">
        <v>178.57</v>
      </c>
      <c r="U851" s="9">
        <v>0</v>
      </c>
      <c r="V851" s="9">
        <f t="shared" ref="V851" si="515">U851*1.12</f>
        <v>0</v>
      </c>
      <c r="W851" s="7"/>
      <c r="X851" s="2">
        <v>2016</v>
      </c>
      <c r="Y851" s="2" t="s">
        <v>7460</v>
      </c>
    </row>
    <row r="852" spans="1:25" s="11" customFormat="1" ht="89.25" customHeight="1" outlineLevel="1" x14ac:dyDescent="0.25">
      <c r="A852" s="1"/>
      <c r="B852" s="2" t="s">
        <v>5949</v>
      </c>
      <c r="C852" s="3" t="s">
        <v>83</v>
      </c>
      <c r="D852" s="19" t="s">
        <v>2460</v>
      </c>
      <c r="E852" s="19" t="s">
        <v>2455</v>
      </c>
      <c r="F852" s="19" t="s">
        <v>2461</v>
      </c>
      <c r="G852" s="19" t="s">
        <v>2462</v>
      </c>
      <c r="H852" s="2" t="s">
        <v>88</v>
      </c>
      <c r="I852" s="4">
        <v>0.4</v>
      </c>
      <c r="J852" s="5">
        <v>710000000</v>
      </c>
      <c r="K852" s="5" t="s">
        <v>89</v>
      </c>
      <c r="L852" s="2" t="s">
        <v>754</v>
      </c>
      <c r="M852" s="6" t="s">
        <v>787</v>
      </c>
      <c r="N852" s="7" t="s">
        <v>92</v>
      </c>
      <c r="O852" s="7" t="s">
        <v>93</v>
      </c>
      <c r="P852" s="3" t="s">
        <v>94</v>
      </c>
      <c r="Q852" s="8" t="s">
        <v>2458</v>
      </c>
      <c r="R852" s="7" t="s">
        <v>2459</v>
      </c>
      <c r="S852" s="9">
        <v>99</v>
      </c>
      <c r="T852" s="9">
        <v>296.16000000000003</v>
      </c>
      <c r="U852" s="9">
        <v>0</v>
      </c>
      <c r="V852" s="9">
        <f t="shared" si="434"/>
        <v>0</v>
      </c>
      <c r="W852" s="7" t="s">
        <v>97</v>
      </c>
      <c r="X852" s="2">
        <v>2016</v>
      </c>
      <c r="Y852" s="2" t="s">
        <v>7793</v>
      </c>
    </row>
    <row r="853" spans="1:25" s="11" customFormat="1" ht="89.25" customHeight="1" outlineLevel="1" x14ac:dyDescent="0.25">
      <c r="A853" s="1"/>
      <c r="B853" s="2" t="s">
        <v>7849</v>
      </c>
      <c r="C853" s="3" t="s">
        <v>83</v>
      </c>
      <c r="D853" s="19" t="s">
        <v>2460</v>
      </c>
      <c r="E853" s="19" t="s">
        <v>2455</v>
      </c>
      <c r="F853" s="19" t="s">
        <v>2461</v>
      </c>
      <c r="G853" s="19" t="s">
        <v>2462</v>
      </c>
      <c r="H853" s="2" t="s">
        <v>88</v>
      </c>
      <c r="I853" s="4">
        <v>0</v>
      </c>
      <c r="J853" s="5">
        <v>710000000</v>
      </c>
      <c r="K853" s="5" t="s">
        <v>89</v>
      </c>
      <c r="L853" s="2" t="s">
        <v>754</v>
      </c>
      <c r="M853" s="6" t="s">
        <v>787</v>
      </c>
      <c r="N853" s="7" t="s">
        <v>92</v>
      </c>
      <c r="O853" s="7" t="s">
        <v>93</v>
      </c>
      <c r="P853" s="3" t="s">
        <v>673</v>
      </c>
      <c r="Q853" s="8" t="s">
        <v>2458</v>
      </c>
      <c r="R853" s="7" t="s">
        <v>2459</v>
      </c>
      <c r="S853" s="9">
        <v>99</v>
      </c>
      <c r="T853" s="9">
        <v>296.16000000000003</v>
      </c>
      <c r="U853" s="9">
        <v>0</v>
      </c>
      <c r="V853" s="9">
        <f t="shared" ref="V853" si="516">U853*1.12</f>
        <v>0</v>
      </c>
      <c r="W853" s="7"/>
      <c r="X853" s="2">
        <v>2016</v>
      </c>
      <c r="Y853" s="2">
        <v>11</v>
      </c>
    </row>
    <row r="854" spans="1:25" s="11" customFormat="1" ht="89.25" customHeight="1" outlineLevel="1" x14ac:dyDescent="0.25">
      <c r="A854" s="1"/>
      <c r="B854" s="2" t="s">
        <v>9148</v>
      </c>
      <c r="C854" s="3" t="s">
        <v>83</v>
      </c>
      <c r="D854" s="19" t="s">
        <v>2460</v>
      </c>
      <c r="E854" s="19" t="s">
        <v>2455</v>
      </c>
      <c r="F854" s="19" t="s">
        <v>2461</v>
      </c>
      <c r="G854" s="19" t="s">
        <v>2462</v>
      </c>
      <c r="H854" s="2" t="s">
        <v>88</v>
      </c>
      <c r="I854" s="4">
        <v>0</v>
      </c>
      <c r="J854" s="5">
        <v>710000000</v>
      </c>
      <c r="K854" s="5" t="s">
        <v>89</v>
      </c>
      <c r="L854" s="5" t="s">
        <v>9114</v>
      </c>
      <c r="M854" s="6" t="s">
        <v>787</v>
      </c>
      <c r="N854" s="7" t="s">
        <v>92</v>
      </c>
      <c r="O854" s="7" t="s">
        <v>93</v>
      </c>
      <c r="P854" s="3" t="s">
        <v>673</v>
      </c>
      <c r="Q854" s="8" t="s">
        <v>2458</v>
      </c>
      <c r="R854" s="7" t="s">
        <v>2459</v>
      </c>
      <c r="S854" s="9">
        <v>99</v>
      </c>
      <c r="T854" s="9">
        <v>296.16000000000003</v>
      </c>
      <c r="U854" s="9">
        <f t="shared" ref="U854" si="517">T854*S854</f>
        <v>29319.840000000004</v>
      </c>
      <c r="V854" s="9">
        <f t="shared" ref="V854" si="518">U854*1.12</f>
        <v>32838.22080000001</v>
      </c>
      <c r="W854" s="7"/>
      <c r="X854" s="2">
        <v>2016</v>
      </c>
      <c r="Y854" s="2"/>
    </row>
    <row r="855" spans="1:25" s="11" customFormat="1" ht="89.25" customHeight="1" outlineLevel="1" x14ac:dyDescent="0.25">
      <c r="A855" s="16"/>
      <c r="B855" s="2" t="s">
        <v>5950</v>
      </c>
      <c r="C855" s="3" t="s">
        <v>83</v>
      </c>
      <c r="D855" s="19" t="s">
        <v>2463</v>
      </c>
      <c r="E855" s="19" t="s">
        <v>2464</v>
      </c>
      <c r="F855" s="19" t="s">
        <v>2465</v>
      </c>
      <c r="G855" s="19" t="s">
        <v>7455</v>
      </c>
      <c r="H855" s="2" t="s">
        <v>88</v>
      </c>
      <c r="I855" s="4">
        <v>0.4</v>
      </c>
      <c r="J855" s="5">
        <v>710000000</v>
      </c>
      <c r="K855" s="5" t="s">
        <v>89</v>
      </c>
      <c r="L855" s="2" t="s">
        <v>754</v>
      </c>
      <c r="M855" s="6" t="s">
        <v>787</v>
      </c>
      <c r="N855" s="7" t="s">
        <v>92</v>
      </c>
      <c r="O855" s="7" t="s">
        <v>93</v>
      </c>
      <c r="P855" s="3" t="s">
        <v>94</v>
      </c>
      <c r="Q855" s="8">
        <v>796</v>
      </c>
      <c r="R855" s="7" t="s">
        <v>118</v>
      </c>
      <c r="S855" s="9">
        <f>33+282+73+3+2+2+4</f>
        <v>399</v>
      </c>
      <c r="T855" s="9">
        <v>2678</v>
      </c>
      <c r="U855" s="9">
        <v>0</v>
      </c>
      <c r="V855" s="9">
        <f t="shared" si="434"/>
        <v>0</v>
      </c>
      <c r="W855" s="7" t="s">
        <v>97</v>
      </c>
      <c r="X855" s="2">
        <v>2016</v>
      </c>
      <c r="Y855" s="2" t="s">
        <v>7793</v>
      </c>
    </row>
    <row r="856" spans="1:25" s="11" customFormat="1" ht="89.25" customHeight="1" outlineLevel="1" x14ac:dyDescent="0.25">
      <c r="A856" s="16"/>
      <c r="B856" s="2" t="s">
        <v>7850</v>
      </c>
      <c r="C856" s="3" t="s">
        <v>83</v>
      </c>
      <c r="D856" s="19" t="s">
        <v>2463</v>
      </c>
      <c r="E856" s="19" t="s">
        <v>2464</v>
      </c>
      <c r="F856" s="19" t="s">
        <v>2465</v>
      </c>
      <c r="G856" s="19" t="s">
        <v>7455</v>
      </c>
      <c r="H856" s="2" t="s">
        <v>88</v>
      </c>
      <c r="I856" s="4">
        <v>0</v>
      </c>
      <c r="J856" s="5">
        <v>710000000</v>
      </c>
      <c r="K856" s="5" t="s">
        <v>89</v>
      </c>
      <c r="L856" s="2" t="s">
        <v>754</v>
      </c>
      <c r="M856" s="6" t="s">
        <v>787</v>
      </c>
      <c r="N856" s="7" t="s">
        <v>92</v>
      </c>
      <c r="O856" s="7" t="s">
        <v>93</v>
      </c>
      <c r="P856" s="3" t="s">
        <v>673</v>
      </c>
      <c r="Q856" s="8">
        <v>796</v>
      </c>
      <c r="R856" s="7" t="s">
        <v>118</v>
      </c>
      <c r="S856" s="9">
        <f>33+282+73+3+2+2+4</f>
        <v>399</v>
      </c>
      <c r="T856" s="9">
        <v>2678</v>
      </c>
      <c r="U856" s="9">
        <v>0</v>
      </c>
      <c r="V856" s="9">
        <f t="shared" ref="V856" si="519">U856*1.12</f>
        <v>0</v>
      </c>
      <c r="W856" s="7"/>
      <c r="X856" s="2">
        <v>2016</v>
      </c>
      <c r="Y856" s="2">
        <v>11</v>
      </c>
    </row>
    <row r="857" spans="1:25" s="11" customFormat="1" ht="89.25" customHeight="1" outlineLevel="1" x14ac:dyDescent="0.25">
      <c r="A857" s="16"/>
      <c r="B857" s="2" t="s">
        <v>9150</v>
      </c>
      <c r="C857" s="3" t="s">
        <v>83</v>
      </c>
      <c r="D857" s="19" t="s">
        <v>2463</v>
      </c>
      <c r="E857" s="19" t="s">
        <v>2464</v>
      </c>
      <c r="F857" s="19" t="s">
        <v>2465</v>
      </c>
      <c r="G857" s="19" t="s">
        <v>7455</v>
      </c>
      <c r="H857" s="2" t="s">
        <v>88</v>
      </c>
      <c r="I857" s="4">
        <v>0</v>
      </c>
      <c r="J857" s="5">
        <v>710000000</v>
      </c>
      <c r="K857" s="5" t="s">
        <v>89</v>
      </c>
      <c r="L857" s="5" t="s">
        <v>9114</v>
      </c>
      <c r="M857" s="6" t="s">
        <v>787</v>
      </c>
      <c r="N857" s="7" t="s">
        <v>92</v>
      </c>
      <c r="O857" s="7" t="s">
        <v>93</v>
      </c>
      <c r="P857" s="3" t="s">
        <v>673</v>
      </c>
      <c r="Q857" s="8">
        <v>796</v>
      </c>
      <c r="R857" s="7" t="s">
        <v>118</v>
      </c>
      <c r="S857" s="9">
        <f>33+282+73+3+2+2+4</f>
        <v>399</v>
      </c>
      <c r="T857" s="9">
        <v>2678</v>
      </c>
      <c r="U857" s="9">
        <f t="shared" ref="U857" si="520">T857*S857</f>
        <v>1068522</v>
      </c>
      <c r="V857" s="9">
        <f t="shared" ref="V857" si="521">U857*1.12</f>
        <v>1196744.6400000001</v>
      </c>
      <c r="W857" s="7"/>
      <c r="X857" s="2">
        <v>2016</v>
      </c>
      <c r="Y857" s="2"/>
    </row>
    <row r="858" spans="1:25" s="11" customFormat="1" ht="178.5" customHeight="1" outlineLevel="1" x14ac:dyDescent="0.25">
      <c r="A858" s="1"/>
      <c r="B858" s="2" t="s">
        <v>5951</v>
      </c>
      <c r="C858" s="3" t="s">
        <v>83</v>
      </c>
      <c r="D858" s="19" t="s">
        <v>2466</v>
      </c>
      <c r="E858" s="19" t="s">
        <v>2341</v>
      </c>
      <c r="F858" s="19" t="s">
        <v>2467</v>
      </c>
      <c r="G858" s="19" t="s">
        <v>7461</v>
      </c>
      <c r="H858" s="2" t="s">
        <v>88</v>
      </c>
      <c r="I858" s="4">
        <v>0.4</v>
      </c>
      <c r="J858" s="5">
        <v>710000000</v>
      </c>
      <c r="K858" s="5" t="s">
        <v>89</v>
      </c>
      <c r="L858" s="2" t="s">
        <v>754</v>
      </c>
      <c r="M858" s="6" t="s">
        <v>787</v>
      </c>
      <c r="N858" s="7" t="s">
        <v>92</v>
      </c>
      <c r="O858" s="7" t="s">
        <v>93</v>
      </c>
      <c r="P858" s="3" t="s">
        <v>94</v>
      </c>
      <c r="Q858" s="8">
        <v>796</v>
      </c>
      <c r="R858" s="7" t="s">
        <v>118</v>
      </c>
      <c r="S858" s="9">
        <f>600+224+90+84</f>
        <v>998</v>
      </c>
      <c r="T858" s="9">
        <v>344.35</v>
      </c>
      <c r="U858" s="9">
        <f t="shared" ref="U858" si="522">T858*S858</f>
        <v>343661.30000000005</v>
      </c>
      <c r="V858" s="9">
        <f t="shared" si="434"/>
        <v>384900.65600000008</v>
      </c>
      <c r="W858" s="7" t="s">
        <v>97</v>
      </c>
      <c r="X858" s="2">
        <v>2016</v>
      </c>
      <c r="Y858" s="2"/>
    </row>
    <row r="859" spans="1:25" s="11" customFormat="1" ht="89.25" customHeight="1" outlineLevel="1" x14ac:dyDescent="0.25">
      <c r="A859" s="16"/>
      <c r="B859" s="2" t="s">
        <v>5952</v>
      </c>
      <c r="C859" s="3" t="s">
        <v>83</v>
      </c>
      <c r="D859" s="19" t="s">
        <v>2469</v>
      </c>
      <c r="E859" s="19" t="s">
        <v>2464</v>
      </c>
      <c r="F859" s="19" t="s">
        <v>2470</v>
      </c>
      <c r="G859" s="19" t="s">
        <v>2471</v>
      </c>
      <c r="H859" s="2" t="s">
        <v>88</v>
      </c>
      <c r="I859" s="4">
        <v>0.4</v>
      </c>
      <c r="J859" s="5">
        <v>710000000</v>
      </c>
      <c r="K859" s="5" t="s">
        <v>89</v>
      </c>
      <c r="L859" s="2" t="s">
        <v>754</v>
      </c>
      <c r="M859" s="6" t="s">
        <v>787</v>
      </c>
      <c r="N859" s="7" t="s">
        <v>92</v>
      </c>
      <c r="O859" s="7" t="s">
        <v>93</v>
      </c>
      <c r="P859" s="3" t="s">
        <v>94</v>
      </c>
      <c r="Q859" s="8">
        <v>796</v>
      </c>
      <c r="R859" s="7" t="s">
        <v>118</v>
      </c>
      <c r="S859" s="9">
        <f>146+56+5+4+4+4+10-189</f>
        <v>40</v>
      </c>
      <c r="T859" s="9">
        <v>441.96</v>
      </c>
      <c r="U859" s="9">
        <v>0</v>
      </c>
      <c r="V859" s="9">
        <f t="shared" si="434"/>
        <v>0</v>
      </c>
      <c r="W859" s="7" t="s">
        <v>97</v>
      </c>
      <c r="X859" s="2">
        <v>2016</v>
      </c>
      <c r="Y859" s="2" t="s">
        <v>7793</v>
      </c>
    </row>
    <row r="860" spans="1:25" s="11" customFormat="1" ht="89.25" customHeight="1" outlineLevel="1" x14ac:dyDescent="0.25">
      <c r="A860" s="16"/>
      <c r="B860" s="2" t="s">
        <v>7851</v>
      </c>
      <c r="C860" s="3" t="s">
        <v>83</v>
      </c>
      <c r="D860" s="19" t="s">
        <v>2469</v>
      </c>
      <c r="E860" s="19" t="s">
        <v>2464</v>
      </c>
      <c r="F860" s="19" t="s">
        <v>2470</v>
      </c>
      <c r="G860" s="19" t="s">
        <v>2471</v>
      </c>
      <c r="H860" s="2" t="s">
        <v>88</v>
      </c>
      <c r="I860" s="4">
        <v>0</v>
      </c>
      <c r="J860" s="5">
        <v>710000000</v>
      </c>
      <c r="K860" s="5" t="s">
        <v>89</v>
      </c>
      <c r="L860" s="2" t="s">
        <v>754</v>
      </c>
      <c r="M860" s="6" t="s">
        <v>787</v>
      </c>
      <c r="N860" s="7" t="s">
        <v>92</v>
      </c>
      <c r="O860" s="7" t="s">
        <v>93</v>
      </c>
      <c r="P860" s="3" t="s">
        <v>673</v>
      </c>
      <c r="Q860" s="8">
        <v>796</v>
      </c>
      <c r="R860" s="7" t="s">
        <v>118</v>
      </c>
      <c r="S860" s="9">
        <f>146+56+5+4+4+4+10-189</f>
        <v>40</v>
      </c>
      <c r="T860" s="9">
        <v>441.96</v>
      </c>
      <c r="U860" s="9">
        <v>0</v>
      </c>
      <c r="V860" s="9">
        <f t="shared" ref="V860" si="523">U860*1.12</f>
        <v>0</v>
      </c>
      <c r="W860" s="7"/>
      <c r="X860" s="2">
        <v>2016</v>
      </c>
      <c r="Y860" s="2">
        <v>11</v>
      </c>
    </row>
    <row r="861" spans="1:25" s="11" customFormat="1" ht="89.25" customHeight="1" outlineLevel="1" x14ac:dyDescent="0.25">
      <c r="A861" s="16"/>
      <c r="B861" s="2" t="s">
        <v>9151</v>
      </c>
      <c r="C861" s="3" t="s">
        <v>83</v>
      </c>
      <c r="D861" s="19" t="s">
        <v>2469</v>
      </c>
      <c r="E861" s="19" t="s">
        <v>2464</v>
      </c>
      <c r="F861" s="19" t="s">
        <v>2470</v>
      </c>
      <c r="G861" s="19" t="s">
        <v>2471</v>
      </c>
      <c r="H861" s="2" t="s">
        <v>88</v>
      </c>
      <c r="I861" s="4">
        <v>0</v>
      </c>
      <c r="J861" s="5">
        <v>710000000</v>
      </c>
      <c r="K861" s="5" t="s">
        <v>89</v>
      </c>
      <c r="L861" s="5" t="s">
        <v>9114</v>
      </c>
      <c r="M861" s="6" t="s">
        <v>787</v>
      </c>
      <c r="N861" s="7" t="s">
        <v>92</v>
      </c>
      <c r="O861" s="7" t="s">
        <v>93</v>
      </c>
      <c r="P861" s="3" t="s">
        <v>673</v>
      </c>
      <c r="Q861" s="8">
        <v>796</v>
      </c>
      <c r="R861" s="7" t="s">
        <v>118</v>
      </c>
      <c r="S861" s="9">
        <f>146+56+5+4+4+4+10-189</f>
        <v>40</v>
      </c>
      <c r="T861" s="9">
        <v>441.96</v>
      </c>
      <c r="U861" s="9">
        <v>0</v>
      </c>
      <c r="V861" s="9">
        <f t="shared" ref="V861" si="524">U861*1.12</f>
        <v>0</v>
      </c>
      <c r="W861" s="7"/>
      <c r="X861" s="2">
        <v>2016</v>
      </c>
      <c r="Y861" s="2" t="s">
        <v>7460</v>
      </c>
    </row>
    <row r="862" spans="1:25" s="11" customFormat="1" ht="89.25" customHeight="1" outlineLevel="1" x14ac:dyDescent="0.25">
      <c r="A862" s="1"/>
      <c r="B862" s="2" t="s">
        <v>5953</v>
      </c>
      <c r="C862" s="3" t="s">
        <v>83</v>
      </c>
      <c r="D862" s="19" t="s">
        <v>2472</v>
      </c>
      <c r="E862" s="19" t="s">
        <v>2473</v>
      </c>
      <c r="F862" s="19" t="s">
        <v>2474</v>
      </c>
      <c r="G862" s="19" t="s">
        <v>2475</v>
      </c>
      <c r="H862" s="2" t="s">
        <v>88</v>
      </c>
      <c r="I862" s="4">
        <v>0.4</v>
      </c>
      <c r="J862" s="5">
        <v>710000000</v>
      </c>
      <c r="K862" s="5" t="s">
        <v>89</v>
      </c>
      <c r="L862" s="2" t="s">
        <v>754</v>
      </c>
      <c r="M862" s="6" t="s">
        <v>787</v>
      </c>
      <c r="N862" s="7" t="s">
        <v>92</v>
      </c>
      <c r="O862" s="7" t="s">
        <v>93</v>
      </c>
      <c r="P862" s="3" t="s">
        <v>94</v>
      </c>
      <c r="Q862" s="8">
        <v>796</v>
      </c>
      <c r="R862" s="7" t="s">
        <v>118</v>
      </c>
      <c r="S862" s="9">
        <f>280+66+73+14+3+4+4</f>
        <v>444</v>
      </c>
      <c r="T862" s="9">
        <v>441.96</v>
      </c>
      <c r="U862" s="9">
        <v>0</v>
      </c>
      <c r="V862" s="9">
        <f t="shared" si="434"/>
        <v>0</v>
      </c>
      <c r="W862" s="7" t="s">
        <v>97</v>
      </c>
      <c r="X862" s="2">
        <v>2016</v>
      </c>
      <c r="Y862" s="2" t="s">
        <v>7793</v>
      </c>
    </row>
    <row r="863" spans="1:25" s="11" customFormat="1" ht="89.25" customHeight="1" outlineLevel="1" x14ac:dyDescent="0.25">
      <c r="A863" s="1"/>
      <c r="B863" s="2" t="s">
        <v>7852</v>
      </c>
      <c r="C863" s="3" t="s">
        <v>83</v>
      </c>
      <c r="D863" s="19" t="s">
        <v>2472</v>
      </c>
      <c r="E863" s="19" t="s">
        <v>2473</v>
      </c>
      <c r="F863" s="19" t="s">
        <v>2474</v>
      </c>
      <c r="G863" s="19" t="s">
        <v>2475</v>
      </c>
      <c r="H863" s="2" t="s">
        <v>88</v>
      </c>
      <c r="I863" s="4">
        <v>0</v>
      </c>
      <c r="J863" s="5">
        <v>710000000</v>
      </c>
      <c r="K863" s="5" t="s">
        <v>89</v>
      </c>
      <c r="L863" s="2" t="s">
        <v>754</v>
      </c>
      <c r="M863" s="6" t="s">
        <v>787</v>
      </c>
      <c r="N863" s="7" t="s">
        <v>92</v>
      </c>
      <c r="O863" s="7" t="s">
        <v>93</v>
      </c>
      <c r="P863" s="3" t="s">
        <v>673</v>
      </c>
      <c r="Q863" s="8">
        <v>796</v>
      </c>
      <c r="R863" s="7" t="s">
        <v>118</v>
      </c>
      <c r="S863" s="9">
        <f>280+66+73+14+3+4+4</f>
        <v>444</v>
      </c>
      <c r="T863" s="9">
        <v>441.96</v>
      </c>
      <c r="U863" s="9">
        <v>0</v>
      </c>
      <c r="V863" s="9">
        <f t="shared" ref="V863" si="525">U863*1.12</f>
        <v>0</v>
      </c>
      <c r="W863" s="7"/>
      <c r="X863" s="2">
        <v>2016</v>
      </c>
      <c r="Y863" s="2">
        <v>6.11</v>
      </c>
    </row>
    <row r="864" spans="1:25" s="11" customFormat="1" ht="89.25" customHeight="1" outlineLevel="1" x14ac:dyDescent="0.25">
      <c r="A864" s="1"/>
      <c r="B864" s="2" t="s">
        <v>9152</v>
      </c>
      <c r="C864" s="3" t="s">
        <v>83</v>
      </c>
      <c r="D864" s="19" t="s">
        <v>2472</v>
      </c>
      <c r="E864" s="19" t="s">
        <v>2473</v>
      </c>
      <c r="F864" s="19" t="s">
        <v>2474</v>
      </c>
      <c r="G864" s="19" t="s">
        <v>9280</v>
      </c>
      <c r="H864" s="2" t="s">
        <v>88</v>
      </c>
      <c r="I864" s="4">
        <v>0</v>
      </c>
      <c r="J864" s="5">
        <v>710000000</v>
      </c>
      <c r="K864" s="5" t="s">
        <v>89</v>
      </c>
      <c r="L864" s="5" t="s">
        <v>9114</v>
      </c>
      <c r="M864" s="6" t="s">
        <v>787</v>
      </c>
      <c r="N864" s="7" t="s">
        <v>92</v>
      </c>
      <c r="O864" s="7" t="s">
        <v>93</v>
      </c>
      <c r="P864" s="3" t="s">
        <v>673</v>
      </c>
      <c r="Q864" s="8">
        <v>796</v>
      </c>
      <c r="R864" s="7" t="s">
        <v>118</v>
      </c>
      <c r="S864" s="9">
        <f>280+66+73+14+3+4+4</f>
        <v>444</v>
      </c>
      <c r="T864" s="9">
        <v>441.96</v>
      </c>
      <c r="U864" s="9">
        <f t="shared" ref="U864" si="526">T864*S864</f>
        <v>196230.24</v>
      </c>
      <c r="V864" s="9">
        <f t="shared" ref="V864" si="527">U864*1.12</f>
        <v>219777.8688</v>
      </c>
      <c r="W864" s="7"/>
      <c r="X864" s="2">
        <v>2016</v>
      </c>
      <c r="Y864" s="2"/>
    </row>
    <row r="865" spans="1:25" s="20" customFormat="1" ht="89.25" customHeight="1" outlineLevel="1" x14ac:dyDescent="0.25">
      <c r="A865" s="16"/>
      <c r="B865" s="2" t="s">
        <v>5954</v>
      </c>
      <c r="C865" s="3" t="s">
        <v>83</v>
      </c>
      <c r="D865" s="19" t="s">
        <v>2476</v>
      </c>
      <c r="E865" s="19" t="s">
        <v>2473</v>
      </c>
      <c r="F865" s="19" t="s">
        <v>2477</v>
      </c>
      <c r="G865" s="19" t="s">
        <v>2478</v>
      </c>
      <c r="H865" s="2" t="s">
        <v>88</v>
      </c>
      <c r="I865" s="4">
        <v>0.4</v>
      </c>
      <c r="J865" s="5">
        <v>710000000</v>
      </c>
      <c r="K865" s="5" t="s">
        <v>89</v>
      </c>
      <c r="L865" s="2" t="s">
        <v>754</v>
      </c>
      <c r="M865" s="6" t="s">
        <v>787</v>
      </c>
      <c r="N865" s="7" t="s">
        <v>92</v>
      </c>
      <c r="O865" s="7" t="s">
        <v>93</v>
      </c>
      <c r="P865" s="3" t="s">
        <v>94</v>
      </c>
      <c r="Q865" s="8">
        <v>796</v>
      </c>
      <c r="R865" s="7" t="s">
        <v>118</v>
      </c>
      <c r="S865" s="9">
        <f>280+33+60+14+3+4+4</f>
        <v>398</v>
      </c>
      <c r="T865" s="9">
        <v>330.36</v>
      </c>
      <c r="U865" s="9">
        <v>0</v>
      </c>
      <c r="V865" s="9">
        <f t="shared" si="434"/>
        <v>0</v>
      </c>
      <c r="W865" s="7" t="s">
        <v>97</v>
      </c>
      <c r="X865" s="2">
        <v>2016</v>
      </c>
      <c r="Y865" s="2" t="s">
        <v>7793</v>
      </c>
    </row>
    <row r="866" spans="1:25" s="20" customFormat="1" ht="89.25" customHeight="1" outlineLevel="1" x14ac:dyDescent="0.25">
      <c r="A866" s="16"/>
      <c r="B866" s="2" t="s">
        <v>7853</v>
      </c>
      <c r="C866" s="3" t="s">
        <v>83</v>
      </c>
      <c r="D866" s="19" t="s">
        <v>2476</v>
      </c>
      <c r="E866" s="19" t="s">
        <v>2473</v>
      </c>
      <c r="F866" s="19" t="s">
        <v>2477</v>
      </c>
      <c r="G866" s="19" t="s">
        <v>2478</v>
      </c>
      <c r="H866" s="2" t="s">
        <v>88</v>
      </c>
      <c r="I866" s="4">
        <v>0</v>
      </c>
      <c r="J866" s="5">
        <v>710000000</v>
      </c>
      <c r="K866" s="5" t="s">
        <v>89</v>
      </c>
      <c r="L866" s="2" t="s">
        <v>754</v>
      </c>
      <c r="M866" s="6" t="s">
        <v>787</v>
      </c>
      <c r="N866" s="7" t="s">
        <v>92</v>
      </c>
      <c r="O866" s="7" t="s">
        <v>93</v>
      </c>
      <c r="P866" s="3" t="s">
        <v>673</v>
      </c>
      <c r="Q866" s="8">
        <v>796</v>
      </c>
      <c r="R866" s="7" t="s">
        <v>118</v>
      </c>
      <c r="S866" s="9">
        <f>280+33+60+14+3+4+4</f>
        <v>398</v>
      </c>
      <c r="T866" s="9">
        <v>330.36</v>
      </c>
      <c r="U866" s="9">
        <v>0</v>
      </c>
      <c r="V866" s="9">
        <f t="shared" ref="V866" si="528">U866*1.12</f>
        <v>0</v>
      </c>
      <c r="W866" s="7"/>
      <c r="X866" s="2">
        <v>2016</v>
      </c>
      <c r="Y866" s="2" t="s">
        <v>9134</v>
      </c>
    </row>
    <row r="867" spans="1:25" s="20" customFormat="1" ht="89.25" customHeight="1" outlineLevel="1" x14ac:dyDescent="0.25">
      <c r="A867" s="16"/>
      <c r="B867" s="2" t="s">
        <v>9153</v>
      </c>
      <c r="C867" s="3" t="s">
        <v>83</v>
      </c>
      <c r="D867" s="19" t="s">
        <v>2476</v>
      </c>
      <c r="E867" s="19" t="s">
        <v>2473</v>
      </c>
      <c r="F867" s="19" t="s">
        <v>2477</v>
      </c>
      <c r="G867" s="19" t="s">
        <v>9281</v>
      </c>
      <c r="H867" s="2" t="s">
        <v>88</v>
      </c>
      <c r="I867" s="4">
        <v>0</v>
      </c>
      <c r="J867" s="5">
        <v>710000000</v>
      </c>
      <c r="K867" s="5" t="s">
        <v>89</v>
      </c>
      <c r="L867" s="5" t="s">
        <v>9114</v>
      </c>
      <c r="M867" s="6" t="s">
        <v>787</v>
      </c>
      <c r="N867" s="7" t="s">
        <v>92</v>
      </c>
      <c r="O867" s="7" t="s">
        <v>93</v>
      </c>
      <c r="P867" s="3" t="s">
        <v>673</v>
      </c>
      <c r="Q867" s="8">
        <v>796</v>
      </c>
      <c r="R867" s="7" t="s">
        <v>118</v>
      </c>
      <c r="S867" s="9">
        <f>280+33+60+14+3+4+4</f>
        <v>398</v>
      </c>
      <c r="T867" s="9">
        <v>205.35</v>
      </c>
      <c r="U867" s="9">
        <f t="shared" ref="U867" si="529">T867*S867</f>
        <v>81729.3</v>
      </c>
      <c r="V867" s="9">
        <f t="shared" ref="V867" si="530">U867*1.12</f>
        <v>91536.816000000006</v>
      </c>
      <c r="W867" s="7"/>
      <c r="X867" s="2">
        <v>2016</v>
      </c>
      <c r="Y867" s="2"/>
    </row>
    <row r="868" spans="1:25" s="20" customFormat="1" ht="89.25" customHeight="1" outlineLevel="1" x14ac:dyDescent="0.25">
      <c r="A868" s="16"/>
      <c r="B868" s="2" t="s">
        <v>5955</v>
      </c>
      <c r="C868" s="3" t="s">
        <v>83</v>
      </c>
      <c r="D868" s="19" t="s">
        <v>2479</v>
      </c>
      <c r="E868" s="19" t="s">
        <v>2480</v>
      </c>
      <c r="F868" s="19" t="s">
        <v>2481</v>
      </c>
      <c r="G868" s="19" t="s">
        <v>2482</v>
      </c>
      <c r="H868" s="2" t="s">
        <v>88</v>
      </c>
      <c r="I868" s="4">
        <v>0.4</v>
      </c>
      <c r="J868" s="5">
        <v>710000000</v>
      </c>
      <c r="K868" s="5" t="s">
        <v>89</v>
      </c>
      <c r="L868" s="2" t="s">
        <v>754</v>
      </c>
      <c r="M868" s="6" t="s">
        <v>787</v>
      </c>
      <c r="N868" s="7" t="s">
        <v>92</v>
      </c>
      <c r="O868" s="7" t="s">
        <v>93</v>
      </c>
      <c r="P868" s="3" t="s">
        <v>94</v>
      </c>
      <c r="Q868" s="8" t="s">
        <v>861</v>
      </c>
      <c r="R868" s="7" t="s">
        <v>812</v>
      </c>
      <c r="S868" s="9">
        <f>146+33+73+2+2+3+14</f>
        <v>273</v>
      </c>
      <c r="T868" s="9">
        <v>609.38</v>
      </c>
      <c r="U868" s="9">
        <v>0</v>
      </c>
      <c r="V868" s="9">
        <f t="shared" si="434"/>
        <v>0</v>
      </c>
      <c r="W868" s="7" t="s">
        <v>97</v>
      </c>
      <c r="X868" s="2">
        <v>2016</v>
      </c>
      <c r="Y868" s="2" t="s">
        <v>7793</v>
      </c>
    </row>
    <row r="869" spans="1:25" s="20" customFormat="1" ht="89.25" customHeight="1" outlineLevel="1" x14ac:dyDescent="0.25">
      <c r="A869" s="16"/>
      <c r="B869" s="2" t="s">
        <v>7854</v>
      </c>
      <c r="C869" s="3" t="s">
        <v>83</v>
      </c>
      <c r="D869" s="19" t="s">
        <v>2479</v>
      </c>
      <c r="E869" s="19" t="s">
        <v>2480</v>
      </c>
      <c r="F869" s="19" t="s">
        <v>2481</v>
      </c>
      <c r="G869" s="19" t="s">
        <v>2482</v>
      </c>
      <c r="H869" s="2" t="s">
        <v>88</v>
      </c>
      <c r="I869" s="4">
        <v>0</v>
      </c>
      <c r="J869" s="5">
        <v>710000000</v>
      </c>
      <c r="K869" s="5" t="s">
        <v>89</v>
      </c>
      <c r="L869" s="2" t="s">
        <v>754</v>
      </c>
      <c r="M869" s="6" t="s">
        <v>787</v>
      </c>
      <c r="N869" s="7" t="s">
        <v>92</v>
      </c>
      <c r="O869" s="7" t="s">
        <v>93</v>
      </c>
      <c r="P869" s="3" t="s">
        <v>673</v>
      </c>
      <c r="Q869" s="8" t="s">
        <v>861</v>
      </c>
      <c r="R869" s="7" t="s">
        <v>812</v>
      </c>
      <c r="S869" s="9">
        <f>146+33+73+2+2+3+14</f>
        <v>273</v>
      </c>
      <c r="T869" s="9">
        <v>609.38</v>
      </c>
      <c r="U869" s="9">
        <v>0</v>
      </c>
      <c r="V869" s="9">
        <f t="shared" ref="V869" si="531">U869*1.12</f>
        <v>0</v>
      </c>
      <c r="W869" s="7"/>
      <c r="X869" s="2">
        <v>2016</v>
      </c>
      <c r="Y869" s="2" t="s">
        <v>2339</v>
      </c>
    </row>
    <row r="870" spans="1:25" s="20" customFormat="1" ht="89.25" customHeight="1" outlineLevel="1" x14ac:dyDescent="0.25">
      <c r="A870" s="16"/>
      <c r="B870" s="2" t="s">
        <v>9154</v>
      </c>
      <c r="C870" s="3" t="s">
        <v>83</v>
      </c>
      <c r="D870" s="19" t="s">
        <v>2479</v>
      </c>
      <c r="E870" s="19" t="s">
        <v>2480</v>
      </c>
      <c r="F870" s="19" t="s">
        <v>2481</v>
      </c>
      <c r="G870" s="19" t="s">
        <v>2482</v>
      </c>
      <c r="H870" s="2" t="s">
        <v>88</v>
      </c>
      <c r="I870" s="4">
        <v>0</v>
      </c>
      <c r="J870" s="5">
        <v>710000000</v>
      </c>
      <c r="K870" s="5" t="s">
        <v>89</v>
      </c>
      <c r="L870" s="5" t="s">
        <v>9114</v>
      </c>
      <c r="M870" s="6" t="s">
        <v>787</v>
      </c>
      <c r="N870" s="7" t="s">
        <v>92</v>
      </c>
      <c r="O870" s="7" t="s">
        <v>93</v>
      </c>
      <c r="P870" s="3" t="s">
        <v>673</v>
      </c>
      <c r="Q870" s="8" t="s">
        <v>861</v>
      </c>
      <c r="R870" s="7" t="s">
        <v>812</v>
      </c>
      <c r="S870" s="9">
        <v>155</v>
      </c>
      <c r="T870" s="9">
        <v>1071.43</v>
      </c>
      <c r="U870" s="9">
        <f t="shared" ref="U870" si="532">T870*S870</f>
        <v>166071.65000000002</v>
      </c>
      <c r="V870" s="9">
        <f t="shared" ref="V870" si="533">U870*1.12</f>
        <v>186000.24800000005</v>
      </c>
      <c r="W870" s="7"/>
      <c r="X870" s="2">
        <v>2016</v>
      </c>
      <c r="Y870" s="2"/>
    </row>
    <row r="871" spans="1:25" s="11" customFormat="1" ht="89.25" customHeight="1" outlineLevel="1" x14ac:dyDescent="0.25">
      <c r="A871" s="16"/>
      <c r="B871" s="2" t="s">
        <v>5956</v>
      </c>
      <c r="C871" s="3" t="s">
        <v>83</v>
      </c>
      <c r="D871" s="19" t="s">
        <v>2513</v>
      </c>
      <c r="E871" s="19" t="s">
        <v>2464</v>
      </c>
      <c r="F871" s="19" t="s">
        <v>2483</v>
      </c>
      <c r="G871" s="19" t="s">
        <v>2484</v>
      </c>
      <c r="H871" s="2" t="s">
        <v>88</v>
      </c>
      <c r="I871" s="4">
        <v>0.4</v>
      </c>
      <c r="J871" s="5">
        <v>710000000</v>
      </c>
      <c r="K871" s="5" t="s">
        <v>89</v>
      </c>
      <c r="L871" s="2" t="s">
        <v>754</v>
      </c>
      <c r="M871" s="6" t="s">
        <v>787</v>
      </c>
      <c r="N871" s="7" t="s">
        <v>92</v>
      </c>
      <c r="O871" s="7" t="s">
        <v>93</v>
      </c>
      <c r="P871" s="3" t="s">
        <v>94</v>
      </c>
      <c r="Q871" s="8">
        <v>796</v>
      </c>
      <c r="R871" s="7" t="s">
        <v>118</v>
      </c>
      <c r="S871" s="9">
        <v>145</v>
      </c>
      <c r="T871" s="9">
        <v>3892.86</v>
      </c>
      <c r="U871" s="9">
        <v>0</v>
      </c>
      <c r="V871" s="9">
        <f t="shared" si="434"/>
        <v>0</v>
      </c>
      <c r="W871" s="7" t="s">
        <v>97</v>
      </c>
      <c r="X871" s="2">
        <v>2016</v>
      </c>
      <c r="Y871" s="2" t="s">
        <v>7793</v>
      </c>
    </row>
    <row r="872" spans="1:25" s="11" customFormat="1" ht="89.25" customHeight="1" outlineLevel="1" x14ac:dyDescent="0.25">
      <c r="A872" s="16"/>
      <c r="B872" s="2" t="s">
        <v>7855</v>
      </c>
      <c r="C872" s="3" t="s">
        <v>83</v>
      </c>
      <c r="D872" s="19" t="s">
        <v>2513</v>
      </c>
      <c r="E872" s="19" t="s">
        <v>2464</v>
      </c>
      <c r="F872" s="19" t="s">
        <v>2483</v>
      </c>
      <c r="G872" s="19" t="s">
        <v>2484</v>
      </c>
      <c r="H872" s="2" t="s">
        <v>88</v>
      </c>
      <c r="I872" s="4">
        <v>0</v>
      </c>
      <c r="J872" s="5">
        <v>710000000</v>
      </c>
      <c r="K872" s="5" t="s">
        <v>89</v>
      </c>
      <c r="L872" s="2" t="s">
        <v>754</v>
      </c>
      <c r="M872" s="6" t="s">
        <v>787</v>
      </c>
      <c r="N872" s="7" t="s">
        <v>92</v>
      </c>
      <c r="O872" s="7" t="s">
        <v>93</v>
      </c>
      <c r="P872" s="3" t="s">
        <v>673</v>
      </c>
      <c r="Q872" s="8">
        <v>796</v>
      </c>
      <c r="R872" s="7" t="s">
        <v>118</v>
      </c>
      <c r="S872" s="9">
        <v>145</v>
      </c>
      <c r="T872" s="9">
        <v>3892.86</v>
      </c>
      <c r="U872" s="9">
        <v>0</v>
      </c>
      <c r="V872" s="9">
        <f t="shared" ref="V872" si="534">U872*1.12</f>
        <v>0</v>
      </c>
      <c r="W872" s="7"/>
      <c r="X872" s="2">
        <v>2016</v>
      </c>
      <c r="Y872" s="2">
        <v>11</v>
      </c>
    </row>
    <row r="873" spans="1:25" s="11" customFormat="1" ht="89.25" customHeight="1" outlineLevel="1" x14ac:dyDescent="0.25">
      <c r="A873" s="16"/>
      <c r="B873" s="2" t="s">
        <v>9155</v>
      </c>
      <c r="C873" s="3" t="s">
        <v>83</v>
      </c>
      <c r="D873" s="19" t="s">
        <v>2513</v>
      </c>
      <c r="E873" s="19" t="s">
        <v>2464</v>
      </c>
      <c r="F873" s="19" t="s">
        <v>2483</v>
      </c>
      <c r="G873" s="19" t="s">
        <v>2484</v>
      </c>
      <c r="H873" s="2" t="s">
        <v>88</v>
      </c>
      <c r="I873" s="4">
        <v>0</v>
      </c>
      <c r="J873" s="5">
        <v>710000000</v>
      </c>
      <c r="K873" s="5" t="s">
        <v>89</v>
      </c>
      <c r="L873" s="5" t="s">
        <v>9114</v>
      </c>
      <c r="M873" s="6" t="s">
        <v>787</v>
      </c>
      <c r="N873" s="7" t="s">
        <v>92</v>
      </c>
      <c r="O873" s="7" t="s">
        <v>93</v>
      </c>
      <c r="P873" s="3" t="s">
        <v>673</v>
      </c>
      <c r="Q873" s="8">
        <v>796</v>
      </c>
      <c r="R873" s="7" t="s">
        <v>118</v>
      </c>
      <c r="S873" s="9">
        <f>145+15</f>
        <v>160</v>
      </c>
      <c r="T873" s="9">
        <v>3892.86</v>
      </c>
      <c r="U873" s="9">
        <f t="shared" ref="U873" si="535">T873*S873</f>
        <v>622857.6</v>
      </c>
      <c r="V873" s="9">
        <f t="shared" ref="V873" si="536">U873*1.12</f>
        <v>697600.51199999999</v>
      </c>
      <c r="W873" s="7"/>
      <c r="X873" s="2">
        <v>2016</v>
      </c>
      <c r="Y873" s="2"/>
    </row>
    <row r="874" spans="1:25" s="11" customFormat="1" ht="89.25" customHeight="1" outlineLevel="1" x14ac:dyDescent="0.25">
      <c r="A874" s="16"/>
      <c r="B874" s="2" t="s">
        <v>5957</v>
      </c>
      <c r="C874" s="3" t="s">
        <v>83</v>
      </c>
      <c r="D874" s="19" t="s">
        <v>2485</v>
      </c>
      <c r="E874" s="19" t="s">
        <v>858</v>
      </c>
      <c r="F874" s="19" t="s">
        <v>2486</v>
      </c>
      <c r="G874" s="19" t="s">
        <v>2487</v>
      </c>
      <c r="H874" s="2" t="s">
        <v>88</v>
      </c>
      <c r="I874" s="4">
        <v>0.4</v>
      </c>
      <c r="J874" s="5">
        <v>710000000</v>
      </c>
      <c r="K874" s="5" t="s">
        <v>89</v>
      </c>
      <c r="L874" s="2" t="s">
        <v>754</v>
      </c>
      <c r="M874" s="6" t="s">
        <v>787</v>
      </c>
      <c r="N874" s="7" t="s">
        <v>92</v>
      </c>
      <c r="O874" s="7" t="s">
        <v>93</v>
      </c>
      <c r="P874" s="3" t="s">
        <v>94</v>
      </c>
      <c r="Q874" s="8">
        <v>796</v>
      </c>
      <c r="R874" s="7" t="s">
        <v>118</v>
      </c>
      <c r="S874" s="9">
        <f>125+10+2+2+14</f>
        <v>153</v>
      </c>
      <c r="T874" s="9">
        <v>629.46</v>
      </c>
      <c r="U874" s="9">
        <v>0</v>
      </c>
      <c r="V874" s="9">
        <f t="shared" si="434"/>
        <v>0</v>
      </c>
      <c r="W874" s="7" t="s">
        <v>97</v>
      </c>
      <c r="X874" s="2">
        <v>2016</v>
      </c>
      <c r="Y874" s="2" t="s">
        <v>7793</v>
      </c>
    </row>
    <row r="875" spans="1:25" s="11" customFormat="1" ht="89.25" customHeight="1" outlineLevel="1" x14ac:dyDescent="0.25">
      <c r="A875" s="16"/>
      <c r="B875" s="2" t="s">
        <v>7856</v>
      </c>
      <c r="C875" s="3" t="s">
        <v>83</v>
      </c>
      <c r="D875" s="19" t="s">
        <v>2485</v>
      </c>
      <c r="E875" s="19" t="s">
        <v>858</v>
      </c>
      <c r="F875" s="19" t="s">
        <v>2486</v>
      </c>
      <c r="G875" s="19" t="s">
        <v>2487</v>
      </c>
      <c r="H875" s="2" t="s">
        <v>88</v>
      </c>
      <c r="I875" s="4">
        <v>0</v>
      </c>
      <c r="J875" s="5">
        <v>710000000</v>
      </c>
      <c r="K875" s="5" t="s">
        <v>89</v>
      </c>
      <c r="L875" s="2" t="s">
        <v>754</v>
      </c>
      <c r="M875" s="6" t="s">
        <v>787</v>
      </c>
      <c r="N875" s="7" t="s">
        <v>92</v>
      </c>
      <c r="O875" s="7" t="s">
        <v>93</v>
      </c>
      <c r="P875" s="3" t="s">
        <v>673</v>
      </c>
      <c r="Q875" s="8">
        <v>796</v>
      </c>
      <c r="R875" s="7" t="s">
        <v>118</v>
      </c>
      <c r="S875" s="9">
        <f>125+10+2+2+14</f>
        <v>153</v>
      </c>
      <c r="T875" s="9">
        <v>629.46</v>
      </c>
      <c r="U875" s="9">
        <v>0</v>
      </c>
      <c r="V875" s="9">
        <f t="shared" ref="V875" si="537">U875*1.12</f>
        <v>0</v>
      </c>
      <c r="W875" s="7"/>
      <c r="X875" s="2">
        <v>2016</v>
      </c>
      <c r="Y875" s="2">
        <v>11</v>
      </c>
    </row>
    <row r="876" spans="1:25" s="11" customFormat="1" ht="89.25" customHeight="1" outlineLevel="1" x14ac:dyDescent="0.25">
      <c r="A876" s="16"/>
      <c r="B876" s="2" t="s">
        <v>9156</v>
      </c>
      <c r="C876" s="3" t="s">
        <v>83</v>
      </c>
      <c r="D876" s="19" t="s">
        <v>2485</v>
      </c>
      <c r="E876" s="19" t="s">
        <v>858</v>
      </c>
      <c r="F876" s="19" t="s">
        <v>2486</v>
      </c>
      <c r="G876" s="19" t="s">
        <v>2487</v>
      </c>
      <c r="H876" s="2" t="s">
        <v>88</v>
      </c>
      <c r="I876" s="4">
        <v>0</v>
      </c>
      <c r="J876" s="5">
        <v>710000000</v>
      </c>
      <c r="K876" s="5" t="s">
        <v>89</v>
      </c>
      <c r="L876" s="5" t="s">
        <v>9114</v>
      </c>
      <c r="M876" s="6" t="s">
        <v>787</v>
      </c>
      <c r="N876" s="7" t="s">
        <v>92</v>
      </c>
      <c r="O876" s="7" t="s">
        <v>93</v>
      </c>
      <c r="P876" s="3" t="s">
        <v>673</v>
      </c>
      <c r="Q876" s="8">
        <v>796</v>
      </c>
      <c r="R876" s="7" t="s">
        <v>118</v>
      </c>
      <c r="S876" s="9">
        <f>125+10+2+2+14</f>
        <v>153</v>
      </c>
      <c r="T876" s="9">
        <v>629.46</v>
      </c>
      <c r="U876" s="9">
        <v>0</v>
      </c>
      <c r="V876" s="9">
        <f t="shared" ref="V876" si="538">U876*1.12</f>
        <v>0</v>
      </c>
      <c r="W876" s="7"/>
      <c r="X876" s="2">
        <v>2016</v>
      </c>
      <c r="Y876" s="2" t="s">
        <v>7460</v>
      </c>
    </row>
    <row r="877" spans="1:25" s="11" customFormat="1" ht="140.25" customHeight="1" outlineLevel="1" x14ac:dyDescent="0.25">
      <c r="A877" s="1"/>
      <c r="B877" s="2" t="s">
        <v>5958</v>
      </c>
      <c r="C877" s="9" t="s">
        <v>83</v>
      </c>
      <c r="D877" s="19" t="s">
        <v>2488</v>
      </c>
      <c r="E877" s="19" t="s">
        <v>2489</v>
      </c>
      <c r="F877" s="19" t="s">
        <v>2490</v>
      </c>
      <c r="G877" s="19" t="s">
        <v>2491</v>
      </c>
      <c r="H877" s="2" t="s">
        <v>88</v>
      </c>
      <c r="I877" s="4">
        <v>0.4</v>
      </c>
      <c r="J877" s="5">
        <v>710000000</v>
      </c>
      <c r="K877" s="5" t="s">
        <v>89</v>
      </c>
      <c r="L877" s="2" t="s">
        <v>754</v>
      </c>
      <c r="M877" s="6" t="s">
        <v>787</v>
      </c>
      <c r="N877" s="7" t="s">
        <v>92</v>
      </c>
      <c r="O877" s="7" t="s">
        <v>93</v>
      </c>
      <c r="P877" s="3" t="s">
        <v>94</v>
      </c>
      <c r="Q877" s="8">
        <v>796</v>
      </c>
      <c r="R877" s="7" t="s">
        <v>118</v>
      </c>
      <c r="S877" s="9">
        <v>146</v>
      </c>
      <c r="T877" s="9">
        <v>27143</v>
      </c>
      <c r="U877" s="9">
        <v>0</v>
      </c>
      <c r="V877" s="9">
        <f t="shared" si="434"/>
        <v>0</v>
      </c>
      <c r="W877" s="7" t="s">
        <v>97</v>
      </c>
      <c r="X877" s="2">
        <v>2016</v>
      </c>
      <c r="Y877" s="2" t="s">
        <v>7793</v>
      </c>
    </row>
    <row r="878" spans="1:25" s="11" customFormat="1" ht="140.25" customHeight="1" outlineLevel="1" x14ac:dyDescent="0.25">
      <c r="A878" s="1"/>
      <c r="B878" s="2" t="s">
        <v>7857</v>
      </c>
      <c r="C878" s="9" t="s">
        <v>83</v>
      </c>
      <c r="D878" s="19" t="s">
        <v>2488</v>
      </c>
      <c r="E878" s="19" t="s">
        <v>2489</v>
      </c>
      <c r="F878" s="19" t="s">
        <v>2490</v>
      </c>
      <c r="G878" s="19" t="s">
        <v>2491</v>
      </c>
      <c r="H878" s="2" t="s">
        <v>88</v>
      </c>
      <c r="I878" s="4">
        <v>0</v>
      </c>
      <c r="J878" s="5">
        <v>710000000</v>
      </c>
      <c r="K878" s="5" t="s">
        <v>89</v>
      </c>
      <c r="L878" s="2" t="s">
        <v>754</v>
      </c>
      <c r="M878" s="6" t="s">
        <v>787</v>
      </c>
      <c r="N878" s="7" t="s">
        <v>92</v>
      </c>
      <c r="O878" s="7" t="s">
        <v>93</v>
      </c>
      <c r="P878" s="3" t="s">
        <v>673</v>
      </c>
      <c r="Q878" s="8">
        <v>796</v>
      </c>
      <c r="R878" s="7" t="s">
        <v>118</v>
      </c>
      <c r="S878" s="9">
        <v>146</v>
      </c>
      <c r="T878" s="9">
        <v>27143</v>
      </c>
      <c r="U878" s="9">
        <f t="shared" ref="U878" si="539">T878*S878</f>
        <v>3962878</v>
      </c>
      <c r="V878" s="9">
        <f t="shared" ref="V878" si="540">U878*1.12</f>
        <v>4438423.3600000003</v>
      </c>
      <c r="W878" s="7"/>
      <c r="X878" s="2">
        <v>2016</v>
      </c>
      <c r="Y878" s="2"/>
    </row>
    <row r="879" spans="1:25" s="11" customFormat="1" ht="102" customHeight="1" outlineLevel="1" x14ac:dyDescent="0.25">
      <c r="A879" s="1"/>
      <c r="B879" s="2" t="s">
        <v>5959</v>
      </c>
      <c r="C879" s="3" t="s">
        <v>83</v>
      </c>
      <c r="D879" s="3" t="s">
        <v>2492</v>
      </c>
      <c r="E879" s="3" t="s">
        <v>2493</v>
      </c>
      <c r="F879" s="3" t="s">
        <v>2494</v>
      </c>
      <c r="G879" s="3" t="s">
        <v>2495</v>
      </c>
      <c r="H879" s="2" t="s">
        <v>88</v>
      </c>
      <c r="I879" s="4">
        <v>0.4</v>
      </c>
      <c r="J879" s="5">
        <v>710000000</v>
      </c>
      <c r="K879" s="3" t="s">
        <v>89</v>
      </c>
      <c r="L879" s="2" t="s">
        <v>754</v>
      </c>
      <c r="M879" s="3" t="s">
        <v>787</v>
      </c>
      <c r="N879" s="7" t="s">
        <v>92</v>
      </c>
      <c r="O879" s="7" t="s">
        <v>93</v>
      </c>
      <c r="P879" s="3" t="s">
        <v>94</v>
      </c>
      <c r="Q879" s="8">
        <v>796</v>
      </c>
      <c r="R879" s="7" t="s">
        <v>118</v>
      </c>
      <c r="S879" s="9">
        <f>2000+16+200+6+6+4+75</f>
        <v>2307</v>
      </c>
      <c r="T879" s="9">
        <v>517.86</v>
      </c>
      <c r="U879" s="9">
        <v>0</v>
      </c>
      <c r="V879" s="9">
        <f t="shared" si="434"/>
        <v>0</v>
      </c>
      <c r="W879" s="7" t="s">
        <v>97</v>
      </c>
      <c r="X879" s="2">
        <v>2016</v>
      </c>
      <c r="Y879" s="2" t="s">
        <v>7793</v>
      </c>
    </row>
    <row r="880" spans="1:25" s="11" customFormat="1" ht="102" customHeight="1" outlineLevel="1" x14ac:dyDescent="0.25">
      <c r="A880" s="1"/>
      <c r="B880" s="2" t="s">
        <v>7858</v>
      </c>
      <c r="C880" s="3" t="s">
        <v>83</v>
      </c>
      <c r="D880" s="3" t="s">
        <v>2492</v>
      </c>
      <c r="E880" s="3" t="s">
        <v>2493</v>
      </c>
      <c r="F880" s="3" t="s">
        <v>2494</v>
      </c>
      <c r="G880" s="3" t="s">
        <v>2495</v>
      </c>
      <c r="H880" s="2" t="s">
        <v>88</v>
      </c>
      <c r="I880" s="4">
        <v>0</v>
      </c>
      <c r="J880" s="5">
        <v>710000000</v>
      </c>
      <c r="K880" s="3" t="s">
        <v>89</v>
      </c>
      <c r="L880" s="2" t="s">
        <v>754</v>
      </c>
      <c r="M880" s="3" t="s">
        <v>787</v>
      </c>
      <c r="N880" s="7" t="s">
        <v>92</v>
      </c>
      <c r="O880" s="7" t="s">
        <v>93</v>
      </c>
      <c r="P880" s="3" t="s">
        <v>673</v>
      </c>
      <c r="Q880" s="8">
        <v>796</v>
      </c>
      <c r="R880" s="7" t="s">
        <v>118</v>
      </c>
      <c r="S880" s="9">
        <f>2000+16+200+6+6+4+75</f>
        <v>2307</v>
      </c>
      <c r="T880" s="9">
        <v>517.86</v>
      </c>
      <c r="U880" s="9">
        <v>0</v>
      </c>
      <c r="V880" s="9">
        <f t="shared" ref="V880" si="541">U880*1.12</f>
        <v>0</v>
      </c>
      <c r="W880" s="7"/>
      <c r="X880" s="2">
        <v>2016</v>
      </c>
      <c r="Y880" s="3" t="s">
        <v>8493</v>
      </c>
    </row>
    <row r="881" spans="1:25" s="11" customFormat="1" ht="102" customHeight="1" outlineLevel="1" x14ac:dyDescent="0.25">
      <c r="A881" s="1"/>
      <c r="B881" s="2" t="s">
        <v>9157</v>
      </c>
      <c r="C881" s="3" t="s">
        <v>83</v>
      </c>
      <c r="D881" s="3" t="s">
        <v>2492</v>
      </c>
      <c r="E881" s="3" t="s">
        <v>2493</v>
      </c>
      <c r="F881" s="3" t="s">
        <v>2494</v>
      </c>
      <c r="G881" s="3" t="s">
        <v>2495</v>
      </c>
      <c r="H881" s="2" t="s">
        <v>88</v>
      </c>
      <c r="I881" s="4">
        <v>0</v>
      </c>
      <c r="J881" s="5">
        <v>710000000</v>
      </c>
      <c r="K881" s="3" t="s">
        <v>89</v>
      </c>
      <c r="L881" s="5" t="s">
        <v>9114</v>
      </c>
      <c r="M881" s="3" t="s">
        <v>787</v>
      </c>
      <c r="N881" s="7" t="s">
        <v>92</v>
      </c>
      <c r="O881" s="7" t="s">
        <v>93</v>
      </c>
      <c r="P881" s="3" t="s">
        <v>673</v>
      </c>
      <c r="Q881" s="8">
        <v>796</v>
      </c>
      <c r="R881" s="7" t="s">
        <v>118</v>
      </c>
      <c r="S881" s="9">
        <f>2000+16+200+6+6+4+75</f>
        <v>2307</v>
      </c>
      <c r="T881" s="9">
        <v>350.44</v>
      </c>
      <c r="U881" s="9">
        <f t="shared" ref="U881" si="542">T881*S881</f>
        <v>808465.08</v>
      </c>
      <c r="V881" s="9">
        <f t="shared" ref="V881" si="543">U881*1.12</f>
        <v>905480.88959999999</v>
      </c>
      <c r="W881" s="7"/>
      <c r="X881" s="2">
        <v>2016</v>
      </c>
      <c r="Y881" s="3"/>
    </row>
    <row r="882" spans="1:25" s="11" customFormat="1" ht="89.25" customHeight="1" outlineLevel="1" x14ac:dyDescent="0.2">
      <c r="A882" s="25"/>
      <c r="B882" s="2" t="s">
        <v>5960</v>
      </c>
      <c r="C882" s="3" t="s">
        <v>83</v>
      </c>
      <c r="D882" s="3" t="s">
        <v>2496</v>
      </c>
      <c r="E882" s="3" t="s">
        <v>2497</v>
      </c>
      <c r="F882" s="3" t="s">
        <v>2498</v>
      </c>
      <c r="G882" s="3"/>
      <c r="H882" s="2" t="s">
        <v>88</v>
      </c>
      <c r="I882" s="4">
        <v>0.4</v>
      </c>
      <c r="J882" s="5">
        <v>710000000</v>
      </c>
      <c r="K882" s="5" t="s">
        <v>89</v>
      </c>
      <c r="L882" s="2" t="s">
        <v>754</v>
      </c>
      <c r="M882" s="6" t="s">
        <v>787</v>
      </c>
      <c r="N882" s="7" t="s">
        <v>92</v>
      </c>
      <c r="O882" s="7" t="s">
        <v>93</v>
      </c>
      <c r="P882" s="3" t="s">
        <v>94</v>
      </c>
      <c r="Q882" s="8">
        <v>796</v>
      </c>
      <c r="R882" s="7" t="s">
        <v>118</v>
      </c>
      <c r="S882" s="9">
        <f>10+5+4+4+63</f>
        <v>86</v>
      </c>
      <c r="T882" s="9">
        <v>886</v>
      </c>
      <c r="U882" s="9">
        <v>0</v>
      </c>
      <c r="V882" s="9">
        <f t="shared" si="434"/>
        <v>0</v>
      </c>
      <c r="W882" s="7" t="s">
        <v>97</v>
      </c>
      <c r="X882" s="2">
        <v>2016</v>
      </c>
      <c r="Y882" s="2" t="s">
        <v>7793</v>
      </c>
    </row>
    <row r="883" spans="1:25" s="11" customFormat="1" ht="89.25" customHeight="1" outlineLevel="1" x14ac:dyDescent="0.2">
      <c r="A883" s="25"/>
      <c r="B883" s="2" t="s">
        <v>7859</v>
      </c>
      <c r="C883" s="3" t="s">
        <v>83</v>
      </c>
      <c r="D883" s="3" t="s">
        <v>2496</v>
      </c>
      <c r="E883" s="3" t="s">
        <v>2497</v>
      </c>
      <c r="F883" s="3" t="s">
        <v>2498</v>
      </c>
      <c r="G883" s="3"/>
      <c r="H883" s="2" t="s">
        <v>88</v>
      </c>
      <c r="I883" s="4">
        <v>0</v>
      </c>
      <c r="J883" s="5">
        <v>710000000</v>
      </c>
      <c r="K883" s="5" t="s">
        <v>89</v>
      </c>
      <c r="L883" s="2" t="s">
        <v>754</v>
      </c>
      <c r="M883" s="6" t="s">
        <v>787</v>
      </c>
      <c r="N883" s="7" t="s">
        <v>92</v>
      </c>
      <c r="O883" s="7" t="s">
        <v>93</v>
      </c>
      <c r="P883" s="3" t="s">
        <v>673</v>
      </c>
      <c r="Q883" s="8">
        <v>796</v>
      </c>
      <c r="R883" s="7" t="s">
        <v>118</v>
      </c>
      <c r="S883" s="9">
        <f>10+5+4+4+63</f>
        <v>86</v>
      </c>
      <c r="T883" s="9">
        <v>886</v>
      </c>
      <c r="U883" s="9">
        <v>0</v>
      </c>
      <c r="V883" s="9">
        <f t="shared" ref="V883" si="544">U883*1.12</f>
        <v>0</v>
      </c>
      <c r="W883" s="7"/>
      <c r="X883" s="2">
        <v>2016</v>
      </c>
      <c r="Y883" s="2" t="s">
        <v>2339</v>
      </c>
    </row>
    <row r="884" spans="1:25" s="11" customFormat="1" ht="89.25" customHeight="1" outlineLevel="1" x14ac:dyDescent="0.25">
      <c r="A884" s="1"/>
      <c r="B884" s="2" t="s">
        <v>9158</v>
      </c>
      <c r="C884" s="3" t="s">
        <v>83</v>
      </c>
      <c r="D884" s="3" t="s">
        <v>2496</v>
      </c>
      <c r="E884" s="3" t="s">
        <v>2497</v>
      </c>
      <c r="F884" s="3" t="s">
        <v>2498</v>
      </c>
      <c r="G884" s="3"/>
      <c r="H884" s="2" t="s">
        <v>88</v>
      </c>
      <c r="I884" s="4">
        <v>0</v>
      </c>
      <c r="J884" s="5">
        <v>710000000</v>
      </c>
      <c r="K884" s="5" t="s">
        <v>89</v>
      </c>
      <c r="L884" s="5" t="s">
        <v>9114</v>
      </c>
      <c r="M884" s="6" t="s">
        <v>787</v>
      </c>
      <c r="N884" s="7" t="s">
        <v>92</v>
      </c>
      <c r="O884" s="7" t="s">
        <v>93</v>
      </c>
      <c r="P884" s="3" t="s">
        <v>673</v>
      </c>
      <c r="Q884" s="8">
        <v>796</v>
      </c>
      <c r="R884" s="7" t="s">
        <v>118</v>
      </c>
      <c r="S884" s="9">
        <v>61</v>
      </c>
      <c r="T884" s="9">
        <v>1231</v>
      </c>
      <c r="U884" s="9">
        <f t="shared" ref="U884" si="545">T884*S884</f>
        <v>75091</v>
      </c>
      <c r="V884" s="9">
        <f t="shared" ref="V884" si="546">U884*1.12</f>
        <v>84101.920000000013</v>
      </c>
      <c r="W884" s="7"/>
      <c r="X884" s="2">
        <v>2016</v>
      </c>
      <c r="Y884" s="2"/>
    </row>
    <row r="885" spans="1:25" s="11" customFormat="1" ht="89.25" customHeight="1" outlineLevel="1" x14ac:dyDescent="0.2">
      <c r="A885" s="25"/>
      <c r="B885" s="2" t="s">
        <v>5961</v>
      </c>
      <c r="C885" s="3" t="s">
        <v>83</v>
      </c>
      <c r="D885" s="3" t="s">
        <v>2499</v>
      </c>
      <c r="E885" s="3" t="s">
        <v>2500</v>
      </c>
      <c r="F885" s="3" t="s">
        <v>2501</v>
      </c>
      <c r="G885" s="3" t="s">
        <v>2502</v>
      </c>
      <c r="H885" s="2" t="s">
        <v>88</v>
      </c>
      <c r="I885" s="4">
        <v>0.4</v>
      </c>
      <c r="J885" s="5">
        <v>710000000</v>
      </c>
      <c r="K885" s="5" t="s">
        <v>89</v>
      </c>
      <c r="L885" s="2" t="s">
        <v>754</v>
      </c>
      <c r="M885" s="6" t="s">
        <v>787</v>
      </c>
      <c r="N885" s="7" t="s">
        <v>92</v>
      </c>
      <c r="O885" s="7" t="s">
        <v>93</v>
      </c>
      <c r="P885" s="3" t="s">
        <v>94</v>
      </c>
      <c r="Q885" s="8" t="s">
        <v>584</v>
      </c>
      <c r="R885" s="7" t="s">
        <v>585</v>
      </c>
      <c r="S885" s="9">
        <f>20+14</f>
        <v>34</v>
      </c>
      <c r="T885" s="9">
        <v>1250</v>
      </c>
      <c r="U885" s="9">
        <v>0</v>
      </c>
      <c r="V885" s="9">
        <f t="shared" si="434"/>
        <v>0</v>
      </c>
      <c r="W885" s="7" t="s">
        <v>97</v>
      </c>
      <c r="X885" s="2">
        <v>2016</v>
      </c>
      <c r="Y885" s="2" t="s">
        <v>7793</v>
      </c>
    </row>
    <row r="886" spans="1:25" s="11" customFormat="1" ht="89.25" customHeight="1" outlineLevel="1" x14ac:dyDescent="0.2">
      <c r="A886" s="25"/>
      <c r="B886" s="2" t="s">
        <v>7862</v>
      </c>
      <c r="C886" s="3" t="s">
        <v>83</v>
      </c>
      <c r="D886" s="3" t="s">
        <v>2499</v>
      </c>
      <c r="E886" s="3" t="s">
        <v>2500</v>
      </c>
      <c r="F886" s="3" t="s">
        <v>2501</v>
      </c>
      <c r="G886" s="3" t="s">
        <v>2502</v>
      </c>
      <c r="H886" s="2" t="s">
        <v>88</v>
      </c>
      <c r="I886" s="4">
        <v>0</v>
      </c>
      <c r="J886" s="5">
        <v>710000000</v>
      </c>
      <c r="K886" s="5" t="s">
        <v>89</v>
      </c>
      <c r="L886" s="2" t="s">
        <v>754</v>
      </c>
      <c r="M886" s="6" t="s">
        <v>787</v>
      </c>
      <c r="N886" s="7" t="s">
        <v>92</v>
      </c>
      <c r="O886" s="7" t="s">
        <v>93</v>
      </c>
      <c r="P886" s="3" t="s">
        <v>673</v>
      </c>
      <c r="Q886" s="8" t="s">
        <v>584</v>
      </c>
      <c r="R886" s="7" t="s">
        <v>585</v>
      </c>
      <c r="S886" s="9">
        <f>20+14</f>
        <v>34</v>
      </c>
      <c r="T886" s="9">
        <v>1250</v>
      </c>
      <c r="U886" s="9">
        <v>0</v>
      </c>
      <c r="V886" s="9">
        <f t="shared" ref="V886" si="547">U886*1.12</f>
        <v>0</v>
      </c>
      <c r="W886" s="7"/>
      <c r="X886" s="2">
        <v>2016</v>
      </c>
      <c r="Y886" s="2" t="s">
        <v>8493</v>
      </c>
    </row>
    <row r="887" spans="1:25" s="11" customFormat="1" ht="89.25" customHeight="1" outlineLevel="1" x14ac:dyDescent="0.25">
      <c r="A887" s="1"/>
      <c r="B887" s="2" t="s">
        <v>9159</v>
      </c>
      <c r="C887" s="3" t="s">
        <v>83</v>
      </c>
      <c r="D887" s="3" t="s">
        <v>2499</v>
      </c>
      <c r="E887" s="3" t="s">
        <v>2500</v>
      </c>
      <c r="F887" s="3" t="s">
        <v>2501</v>
      </c>
      <c r="G887" s="3" t="s">
        <v>2502</v>
      </c>
      <c r="H887" s="2" t="s">
        <v>88</v>
      </c>
      <c r="I887" s="4">
        <v>0</v>
      </c>
      <c r="J887" s="5">
        <v>710000000</v>
      </c>
      <c r="K887" s="5" t="s">
        <v>89</v>
      </c>
      <c r="L887" s="5" t="s">
        <v>9114</v>
      </c>
      <c r="M887" s="6" t="s">
        <v>787</v>
      </c>
      <c r="N887" s="7" t="s">
        <v>92</v>
      </c>
      <c r="O887" s="7" t="s">
        <v>93</v>
      </c>
      <c r="P887" s="3" t="s">
        <v>673</v>
      </c>
      <c r="Q887" s="8" t="s">
        <v>584</v>
      </c>
      <c r="R887" s="7" t="s">
        <v>585</v>
      </c>
      <c r="S887" s="9">
        <f>20+14</f>
        <v>34</v>
      </c>
      <c r="T887" s="9">
        <v>848.21</v>
      </c>
      <c r="U887" s="9">
        <f t="shared" ref="U887" si="548">T887*S887</f>
        <v>28839.14</v>
      </c>
      <c r="V887" s="9">
        <f t="shared" ref="V887" si="549">U887*1.12</f>
        <v>32299.836800000001</v>
      </c>
      <c r="W887" s="7"/>
      <c r="X887" s="2">
        <v>2016</v>
      </c>
      <c r="Y887" s="2"/>
    </row>
    <row r="888" spans="1:25" s="11" customFormat="1" ht="191.25" customHeight="1" outlineLevel="1" x14ac:dyDescent="0.25">
      <c r="A888" s="1"/>
      <c r="B888" s="2" t="s">
        <v>5962</v>
      </c>
      <c r="C888" s="3" t="s">
        <v>83</v>
      </c>
      <c r="D888" s="3" t="s">
        <v>2503</v>
      </c>
      <c r="E888" s="3" t="s">
        <v>2374</v>
      </c>
      <c r="F888" s="3" t="s">
        <v>2504</v>
      </c>
      <c r="G888" s="3" t="s">
        <v>2505</v>
      </c>
      <c r="H888" s="2" t="s">
        <v>88</v>
      </c>
      <c r="I888" s="4">
        <v>0.4</v>
      </c>
      <c r="J888" s="5">
        <v>710000000</v>
      </c>
      <c r="K888" s="5" t="s">
        <v>89</v>
      </c>
      <c r="L888" s="2" t="s">
        <v>754</v>
      </c>
      <c r="M888" s="6" t="s">
        <v>787</v>
      </c>
      <c r="N888" s="7" t="s">
        <v>92</v>
      </c>
      <c r="O888" s="7" t="s">
        <v>93</v>
      </c>
      <c r="P888" s="3" t="s">
        <v>94</v>
      </c>
      <c r="Q888" s="8">
        <v>796</v>
      </c>
      <c r="R888" s="7" t="s">
        <v>118</v>
      </c>
      <c r="S888" s="9">
        <f>80+159+120</f>
        <v>359</v>
      </c>
      <c r="T888" s="9">
        <v>144.05000000000001</v>
      </c>
      <c r="U888" s="9">
        <f>S888*T888</f>
        <v>51713.950000000004</v>
      </c>
      <c r="V888" s="9">
        <f t="shared" ref="V888" si="550">U888*1.12</f>
        <v>57919.624000000011</v>
      </c>
      <c r="W888" s="7" t="s">
        <v>97</v>
      </c>
      <c r="X888" s="2">
        <v>2016</v>
      </c>
      <c r="Y888" s="2"/>
    </row>
    <row r="889" spans="1:25" s="11" customFormat="1" ht="89.25" customHeight="1" outlineLevel="1" x14ac:dyDescent="0.2">
      <c r="A889" s="25"/>
      <c r="B889" s="2" t="s">
        <v>5963</v>
      </c>
      <c r="C889" s="3" t="s">
        <v>83</v>
      </c>
      <c r="D889" s="3" t="s">
        <v>2506</v>
      </c>
      <c r="E889" s="3" t="s">
        <v>2402</v>
      </c>
      <c r="F889" s="3" t="s">
        <v>2507</v>
      </c>
      <c r="G889" s="3" t="s">
        <v>2508</v>
      </c>
      <c r="H889" s="2" t="s">
        <v>88</v>
      </c>
      <c r="I889" s="4">
        <v>0.4</v>
      </c>
      <c r="J889" s="5">
        <v>710000000</v>
      </c>
      <c r="K889" s="5" t="s">
        <v>89</v>
      </c>
      <c r="L889" s="2" t="s">
        <v>754</v>
      </c>
      <c r="M889" s="6" t="s">
        <v>787</v>
      </c>
      <c r="N889" s="7" t="s">
        <v>92</v>
      </c>
      <c r="O889" s="7" t="s">
        <v>93</v>
      </c>
      <c r="P889" s="3" t="s">
        <v>94</v>
      </c>
      <c r="Q889" s="8">
        <v>796</v>
      </c>
      <c r="R889" s="7" t="s">
        <v>118</v>
      </c>
      <c r="S889" s="9">
        <f>50+12+3+10+2+14</f>
        <v>91</v>
      </c>
      <c r="T889" s="9">
        <v>1178.57</v>
      </c>
      <c r="U889" s="9">
        <v>0</v>
      </c>
      <c r="V889" s="9">
        <f t="shared" si="434"/>
        <v>0</v>
      </c>
      <c r="W889" s="7" t="s">
        <v>97</v>
      </c>
      <c r="X889" s="2">
        <v>2016</v>
      </c>
      <c r="Y889" s="2" t="s">
        <v>7793</v>
      </c>
    </row>
    <row r="890" spans="1:25" s="11" customFormat="1" ht="89.25" customHeight="1" outlineLevel="1" x14ac:dyDescent="0.2">
      <c r="A890" s="25"/>
      <c r="B890" s="2" t="s">
        <v>7863</v>
      </c>
      <c r="C890" s="3" t="s">
        <v>83</v>
      </c>
      <c r="D890" s="3" t="s">
        <v>2506</v>
      </c>
      <c r="E890" s="3" t="s">
        <v>2402</v>
      </c>
      <c r="F890" s="3" t="s">
        <v>2507</v>
      </c>
      <c r="G890" s="3" t="s">
        <v>2508</v>
      </c>
      <c r="H890" s="2" t="s">
        <v>88</v>
      </c>
      <c r="I890" s="4">
        <v>0</v>
      </c>
      <c r="J890" s="5">
        <v>710000000</v>
      </c>
      <c r="K890" s="5" t="s">
        <v>89</v>
      </c>
      <c r="L890" s="2" t="s">
        <v>754</v>
      </c>
      <c r="M890" s="6" t="s">
        <v>787</v>
      </c>
      <c r="N890" s="7" t="s">
        <v>92</v>
      </c>
      <c r="O890" s="7" t="s">
        <v>93</v>
      </c>
      <c r="P890" s="3" t="s">
        <v>673</v>
      </c>
      <c r="Q890" s="8">
        <v>796</v>
      </c>
      <c r="R890" s="7" t="s">
        <v>118</v>
      </c>
      <c r="S890" s="9">
        <f>50+12+3+10+2+14</f>
        <v>91</v>
      </c>
      <c r="T890" s="9">
        <v>1178.57</v>
      </c>
      <c r="U890" s="9">
        <v>0</v>
      </c>
      <c r="V890" s="9">
        <f t="shared" ref="V890" si="551">U890*1.12</f>
        <v>0</v>
      </c>
      <c r="W890" s="7"/>
      <c r="X890" s="2">
        <v>2016</v>
      </c>
      <c r="Y890" s="2" t="s">
        <v>2339</v>
      </c>
    </row>
    <row r="891" spans="1:25" s="11" customFormat="1" ht="89.25" customHeight="1" outlineLevel="1" x14ac:dyDescent="0.25">
      <c r="A891" s="1"/>
      <c r="B891" s="2" t="s">
        <v>9160</v>
      </c>
      <c r="C891" s="3" t="s">
        <v>83</v>
      </c>
      <c r="D891" s="3" t="s">
        <v>2506</v>
      </c>
      <c r="E891" s="3" t="s">
        <v>2402</v>
      </c>
      <c r="F891" s="3" t="s">
        <v>2507</v>
      </c>
      <c r="G891" s="3" t="s">
        <v>2508</v>
      </c>
      <c r="H891" s="2" t="s">
        <v>88</v>
      </c>
      <c r="I891" s="4">
        <v>0</v>
      </c>
      <c r="J891" s="5">
        <v>710000000</v>
      </c>
      <c r="K891" s="5" t="s">
        <v>89</v>
      </c>
      <c r="L891" s="5" t="s">
        <v>9114</v>
      </c>
      <c r="M891" s="6" t="s">
        <v>787</v>
      </c>
      <c r="N891" s="7" t="s">
        <v>92</v>
      </c>
      <c r="O891" s="7" t="s">
        <v>93</v>
      </c>
      <c r="P891" s="3" t="s">
        <v>673</v>
      </c>
      <c r="Q891" s="8">
        <v>796</v>
      </c>
      <c r="R891" s="7" t="s">
        <v>118</v>
      </c>
      <c r="S891" s="9">
        <v>80</v>
      </c>
      <c r="T891" s="9">
        <v>1339.28</v>
      </c>
      <c r="U891" s="9">
        <f>S891*T891</f>
        <v>107142.39999999999</v>
      </c>
      <c r="V891" s="9">
        <f t="shared" ref="V891" si="552">U891*1.12</f>
        <v>119999.48800000001</v>
      </c>
      <c r="W891" s="7"/>
      <c r="X891" s="2">
        <v>2016</v>
      </c>
      <c r="Y891" s="2"/>
    </row>
    <row r="892" spans="1:25" s="11" customFormat="1" ht="153" customHeight="1" outlineLevel="1" x14ac:dyDescent="0.2">
      <c r="A892" s="25"/>
      <c r="B892" s="2" t="s">
        <v>5964</v>
      </c>
      <c r="C892" s="3" t="s">
        <v>83</v>
      </c>
      <c r="D892" s="3" t="s">
        <v>2509</v>
      </c>
      <c r="E892" s="3" t="s">
        <v>2510</v>
      </c>
      <c r="F892" s="3" t="s">
        <v>2511</v>
      </c>
      <c r="G892" s="3" t="s">
        <v>2512</v>
      </c>
      <c r="H892" s="2" t="s">
        <v>88</v>
      </c>
      <c r="I892" s="4">
        <v>0.4</v>
      </c>
      <c r="J892" s="5">
        <v>710000000</v>
      </c>
      <c r="K892" s="5" t="s">
        <v>89</v>
      </c>
      <c r="L892" s="2" t="s">
        <v>754</v>
      </c>
      <c r="M892" s="6" t="s">
        <v>787</v>
      </c>
      <c r="N892" s="7" t="s">
        <v>92</v>
      </c>
      <c r="O892" s="7" t="s">
        <v>93</v>
      </c>
      <c r="P892" s="3" t="s">
        <v>94</v>
      </c>
      <c r="Q892" s="8">
        <v>796</v>
      </c>
      <c r="R892" s="7" t="s">
        <v>118</v>
      </c>
      <c r="S892" s="9">
        <f>33+14+2+10+4</f>
        <v>63</v>
      </c>
      <c r="T892" s="9">
        <v>2946.43</v>
      </c>
      <c r="U892" s="9">
        <v>0</v>
      </c>
      <c r="V892" s="9">
        <f t="shared" si="434"/>
        <v>0</v>
      </c>
      <c r="W892" s="7" t="s">
        <v>97</v>
      </c>
      <c r="X892" s="2">
        <v>2016</v>
      </c>
      <c r="Y892" s="2" t="s">
        <v>7793</v>
      </c>
    </row>
    <row r="893" spans="1:25" s="11" customFormat="1" ht="153" customHeight="1" outlineLevel="1" x14ac:dyDescent="0.2">
      <c r="A893" s="25"/>
      <c r="B893" s="2" t="s">
        <v>7864</v>
      </c>
      <c r="C893" s="3" t="s">
        <v>83</v>
      </c>
      <c r="D893" s="3" t="s">
        <v>2509</v>
      </c>
      <c r="E893" s="3" t="s">
        <v>2510</v>
      </c>
      <c r="F893" s="3" t="s">
        <v>2511</v>
      </c>
      <c r="G893" s="3" t="s">
        <v>2512</v>
      </c>
      <c r="H893" s="2" t="s">
        <v>88</v>
      </c>
      <c r="I893" s="4">
        <v>0.4</v>
      </c>
      <c r="J893" s="5">
        <v>710000000</v>
      </c>
      <c r="K893" s="5" t="s">
        <v>89</v>
      </c>
      <c r="L893" s="2" t="s">
        <v>754</v>
      </c>
      <c r="M893" s="6" t="s">
        <v>787</v>
      </c>
      <c r="N893" s="7" t="s">
        <v>92</v>
      </c>
      <c r="O893" s="7" t="s">
        <v>93</v>
      </c>
      <c r="P893" s="3" t="s">
        <v>94</v>
      </c>
      <c r="Q893" s="8">
        <v>796</v>
      </c>
      <c r="R893" s="7" t="s">
        <v>118</v>
      </c>
      <c r="S893" s="9">
        <f>33+14+2+10+4</f>
        <v>63</v>
      </c>
      <c r="T893" s="9">
        <v>2946.43</v>
      </c>
      <c r="U893" s="9">
        <v>0</v>
      </c>
      <c r="V893" s="9">
        <f t="shared" ref="V893" si="553">U893*1.12</f>
        <v>0</v>
      </c>
      <c r="W893" s="7"/>
      <c r="X893" s="2">
        <v>2016</v>
      </c>
      <c r="Y893" s="2">
        <v>11</v>
      </c>
    </row>
    <row r="894" spans="1:25" s="11" customFormat="1" ht="153" customHeight="1" outlineLevel="1" x14ac:dyDescent="0.25">
      <c r="A894" s="1"/>
      <c r="B894" s="2" t="s">
        <v>9161</v>
      </c>
      <c r="C894" s="3" t="s">
        <v>83</v>
      </c>
      <c r="D894" s="3" t="s">
        <v>2509</v>
      </c>
      <c r="E894" s="3" t="s">
        <v>2510</v>
      </c>
      <c r="F894" s="3" t="s">
        <v>2511</v>
      </c>
      <c r="G894" s="3" t="s">
        <v>2512</v>
      </c>
      <c r="H894" s="2" t="s">
        <v>88</v>
      </c>
      <c r="I894" s="4">
        <v>0.4</v>
      </c>
      <c r="J894" s="5">
        <v>710000000</v>
      </c>
      <c r="K894" s="5" t="s">
        <v>89</v>
      </c>
      <c r="L894" s="5" t="s">
        <v>9114</v>
      </c>
      <c r="M894" s="6" t="s">
        <v>787</v>
      </c>
      <c r="N894" s="7" t="s">
        <v>92</v>
      </c>
      <c r="O894" s="7" t="s">
        <v>93</v>
      </c>
      <c r="P894" s="3" t="s">
        <v>94</v>
      </c>
      <c r="Q894" s="8">
        <v>796</v>
      </c>
      <c r="R894" s="7" t="s">
        <v>118</v>
      </c>
      <c r="S894" s="9">
        <f>33+14+2+10+4</f>
        <v>63</v>
      </c>
      <c r="T894" s="9">
        <v>2946.43</v>
      </c>
      <c r="U894" s="9">
        <f t="shared" ref="U894" si="554">T894*S894</f>
        <v>185625.09</v>
      </c>
      <c r="V894" s="9">
        <f t="shared" ref="V894" si="555">U894*1.12</f>
        <v>207900.10080000001</v>
      </c>
      <c r="W894" s="7"/>
      <c r="X894" s="2">
        <v>2016</v>
      </c>
      <c r="Y894" s="2"/>
    </row>
    <row r="895" spans="1:25" s="11" customFormat="1" ht="89.25" customHeight="1" outlineLevel="1" x14ac:dyDescent="0.2">
      <c r="A895" s="25"/>
      <c r="B895" s="2" t="s">
        <v>5965</v>
      </c>
      <c r="C895" s="3" t="s">
        <v>83</v>
      </c>
      <c r="D895" s="3" t="s">
        <v>2513</v>
      </c>
      <c r="E895" s="3" t="s">
        <v>2464</v>
      </c>
      <c r="F895" s="3" t="s">
        <v>2483</v>
      </c>
      <c r="G895" s="3" t="s">
        <v>2514</v>
      </c>
      <c r="H895" s="2" t="s">
        <v>88</v>
      </c>
      <c r="I895" s="4">
        <v>0.4</v>
      </c>
      <c r="J895" s="5">
        <v>710000000</v>
      </c>
      <c r="K895" s="5" t="s">
        <v>89</v>
      </c>
      <c r="L895" s="2" t="s">
        <v>754</v>
      </c>
      <c r="M895" s="6" t="s">
        <v>787</v>
      </c>
      <c r="N895" s="7" t="s">
        <v>92</v>
      </c>
      <c r="O895" s="7" t="s">
        <v>93</v>
      </c>
      <c r="P895" s="3" t="s">
        <v>94</v>
      </c>
      <c r="Q895" s="8">
        <v>796</v>
      </c>
      <c r="R895" s="7" t="s">
        <v>118</v>
      </c>
      <c r="S895" s="9">
        <f>3+1+7+2+2</f>
        <v>15</v>
      </c>
      <c r="T895" s="9">
        <v>3892.86</v>
      </c>
      <c r="U895" s="9">
        <v>0</v>
      </c>
      <c r="V895" s="9">
        <f t="shared" si="434"/>
        <v>0</v>
      </c>
      <c r="W895" s="7" t="s">
        <v>97</v>
      </c>
      <c r="X895" s="2">
        <v>2016</v>
      </c>
      <c r="Y895" s="2" t="s">
        <v>7793</v>
      </c>
    </row>
    <row r="896" spans="1:25" s="11" customFormat="1" ht="89.25" customHeight="1" outlineLevel="1" x14ac:dyDescent="0.2">
      <c r="A896" s="25"/>
      <c r="B896" s="2" t="s">
        <v>7865</v>
      </c>
      <c r="C896" s="3" t="s">
        <v>83</v>
      </c>
      <c r="D896" s="3" t="s">
        <v>2513</v>
      </c>
      <c r="E896" s="3" t="s">
        <v>2464</v>
      </c>
      <c r="F896" s="3" t="s">
        <v>2483</v>
      </c>
      <c r="G896" s="3" t="s">
        <v>2514</v>
      </c>
      <c r="H896" s="2" t="s">
        <v>88</v>
      </c>
      <c r="I896" s="4">
        <v>0</v>
      </c>
      <c r="J896" s="5">
        <v>710000000</v>
      </c>
      <c r="K896" s="5" t="s">
        <v>89</v>
      </c>
      <c r="L896" s="2" t="s">
        <v>754</v>
      </c>
      <c r="M896" s="6" t="s">
        <v>787</v>
      </c>
      <c r="N896" s="7" t="s">
        <v>92</v>
      </c>
      <c r="O896" s="7" t="s">
        <v>93</v>
      </c>
      <c r="P896" s="3" t="s">
        <v>673</v>
      </c>
      <c r="Q896" s="8">
        <v>796</v>
      </c>
      <c r="R896" s="7" t="s">
        <v>118</v>
      </c>
      <c r="S896" s="9">
        <f>3+1+7+2+2</f>
        <v>15</v>
      </c>
      <c r="T896" s="9">
        <v>3892.86</v>
      </c>
      <c r="U896" s="9">
        <v>0</v>
      </c>
      <c r="V896" s="9">
        <f t="shared" ref="V896" si="556">U896*1.12</f>
        <v>0</v>
      </c>
      <c r="W896" s="7"/>
      <c r="X896" s="2">
        <v>2016</v>
      </c>
      <c r="Y896" s="2" t="s">
        <v>7460</v>
      </c>
    </row>
    <row r="897" spans="1:25" s="11" customFormat="1" ht="89.25" customHeight="1" outlineLevel="1" x14ac:dyDescent="0.2">
      <c r="A897" s="25"/>
      <c r="B897" s="2" t="s">
        <v>5966</v>
      </c>
      <c r="C897" s="3" t="s">
        <v>83</v>
      </c>
      <c r="D897" s="3" t="s">
        <v>2515</v>
      </c>
      <c r="E897" s="3" t="s">
        <v>2409</v>
      </c>
      <c r="F897" s="3" t="s">
        <v>2516</v>
      </c>
      <c r="G897" s="3" t="s">
        <v>2517</v>
      </c>
      <c r="H897" s="2" t="s">
        <v>88</v>
      </c>
      <c r="I897" s="4">
        <v>0.4</v>
      </c>
      <c r="J897" s="5">
        <v>710000000</v>
      </c>
      <c r="K897" s="5" t="s">
        <v>89</v>
      </c>
      <c r="L897" s="2" t="s">
        <v>754</v>
      </c>
      <c r="M897" s="6" t="s">
        <v>787</v>
      </c>
      <c r="N897" s="7" t="s">
        <v>92</v>
      </c>
      <c r="O897" s="7" t="s">
        <v>93</v>
      </c>
      <c r="P897" s="3" t="s">
        <v>94</v>
      </c>
      <c r="Q897" s="3">
        <v>736</v>
      </c>
      <c r="R897" s="7" t="s">
        <v>2412</v>
      </c>
      <c r="S897" s="9">
        <f>10+10+100</f>
        <v>120</v>
      </c>
      <c r="T897" s="9">
        <v>609.41</v>
      </c>
      <c r="U897" s="9">
        <v>0</v>
      </c>
      <c r="V897" s="9">
        <f t="shared" ref="V897:V910" si="557">U897*1.12</f>
        <v>0</v>
      </c>
      <c r="W897" s="7" t="s">
        <v>97</v>
      </c>
      <c r="X897" s="2">
        <v>2016</v>
      </c>
      <c r="Y897" s="2" t="s">
        <v>7793</v>
      </c>
    </row>
    <row r="898" spans="1:25" s="11" customFormat="1" ht="89.25" customHeight="1" outlineLevel="1" x14ac:dyDescent="0.2">
      <c r="A898" s="25"/>
      <c r="B898" s="2" t="s">
        <v>7866</v>
      </c>
      <c r="C898" s="3" t="s">
        <v>83</v>
      </c>
      <c r="D898" s="3" t="s">
        <v>2515</v>
      </c>
      <c r="E898" s="3" t="s">
        <v>2409</v>
      </c>
      <c r="F898" s="3" t="s">
        <v>2516</v>
      </c>
      <c r="G898" s="3" t="s">
        <v>2517</v>
      </c>
      <c r="H898" s="2" t="s">
        <v>88</v>
      </c>
      <c r="I898" s="4">
        <v>0</v>
      </c>
      <c r="J898" s="5">
        <v>710000000</v>
      </c>
      <c r="K898" s="5" t="s">
        <v>89</v>
      </c>
      <c r="L898" s="2" t="s">
        <v>754</v>
      </c>
      <c r="M898" s="6" t="s">
        <v>787</v>
      </c>
      <c r="N898" s="7" t="s">
        <v>92</v>
      </c>
      <c r="O898" s="7" t="s">
        <v>93</v>
      </c>
      <c r="P898" s="3" t="s">
        <v>673</v>
      </c>
      <c r="Q898" s="3">
        <v>736</v>
      </c>
      <c r="R898" s="7" t="s">
        <v>2412</v>
      </c>
      <c r="S898" s="9">
        <f>10+10+100</f>
        <v>120</v>
      </c>
      <c r="T898" s="9">
        <v>609.41</v>
      </c>
      <c r="U898" s="9">
        <v>0</v>
      </c>
      <c r="V898" s="9">
        <f t="shared" si="557"/>
        <v>0</v>
      </c>
      <c r="W898" s="7"/>
      <c r="X898" s="2">
        <v>2016</v>
      </c>
      <c r="Y898" s="2" t="s">
        <v>8493</v>
      </c>
    </row>
    <row r="899" spans="1:25" s="11" customFormat="1" ht="89.25" customHeight="1" outlineLevel="1" x14ac:dyDescent="0.25">
      <c r="A899" s="1"/>
      <c r="B899" s="2" t="s">
        <v>9162</v>
      </c>
      <c r="C899" s="3" t="s">
        <v>83</v>
      </c>
      <c r="D899" s="3" t="s">
        <v>2515</v>
      </c>
      <c r="E899" s="3" t="s">
        <v>2409</v>
      </c>
      <c r="F899" s="3" t="s">
        <v>2516</v>
      </c>
      <c r="G899" s="3" t="s">
        <v>2517</v>
      </c>
      <c r="H899" s="2" t="s">
        <v>88</v>
      </c>
      <c r="I899" s="4">
        <v>0</v>
      </c>
      <c r="J899" s="5">
        <v>710000000</v>
      </c>
      <c r="K899" s="5" t="s">
        <v>89</v>
      </c>
      <c r="L899" s="5" t="s">
        <v>9114</v>
      </c>
      <c r="M899" s="6" t="s">
        <v>787</v>
      </c>
      <c r="N899" s="7" t="s">
        <v>92</v>
      </c>
      <c r="O899" s="7" t="s">
        <v>93</v>
      </c>
      <c r="P899" s="3" t="s">
        <v>673</v>
      </c>
      <c r="Q899" s="3">
        <v>736</v>
      </c>
      <c r="R899" s="7" t="s">
        <v>2412</v>
      </c>
      <c r="S899" s="9">
        <f>10+10+100</f>
        <v>120</v>
      </c>
      <c r="T899" s="9">
        <v>508.93</v>
      </c>
      <c r="U899" s="9">
        <f>T899*S899</f>
        <v>61071.6</v>
      </c>
      <c r="V899" s="9">
        <f t="shared" ref="V899" si="558">U899*1.12</f>
        <v>68400.19200000001</v>
      </c>
      <c r="W899" s="7"/>
      <c r="X899" s="2">
        <v>2016</v>
      </c>
      <c r="Y899" s="2"/>
    </row>
    <row r="900" spans="1:25" s="11" customFormat="1" ht="89.25" customHeight="1" outlineLevel="1" x14ac:dyDescent="0.2">
      <c r="A900" s="25"/>
      <c r="B900" s="2" t="s">
        <v>5967</v>
      </c>
      <c r="C900" s="3" t="s">
        <v>83</v>
      </c>
      <c r="D900" s="3" t="s">
        <v>2518</v>
      </c>
      <c r="E900" s="3" t="s">
        <v>2519</v>
      </c>
      <c r="F900" s="3" t="s">
        <v>2520</v>
      </c>
      <c r="G900" s="3" t="s">
        <v>2521</v>
      </c>
      <c r="H900" s="2" t="s">
        <v>88</v>
      </c>
      <c r="I900" s="4">
        <v>0.4</v>
      </c>
      <c r="J900" s="5">
        <v>710000000</v>
      </c>
      <c r="K900" s="5" t="s">
        <v>89</v>
      </c>
      <c r="L900" s="2" t="s">
        <v>754</v>
      </c>
      <c r="M900" s="6" t="s">
        <v>787</v>
      </c>
      <c r="N900" s="7" t="s">
        <v>92</v>
      </c>
      <c r="O900" s="7" t="s">
        <v>93</v>
      </c>
      <c r="P900" s="3" t="s">
        <v>94</v>
      </c>
      <c r="Q900" s="8">
        <v>796</v>
      </c>
      <c r="R900" s="7" t="s">
        <v>118</v>
      </c>
      <c r="S900" s="9">
        <v>4</v>
      </c>
      <c r="T900" s="9">
        <v>8000</v>
      </c>
      <c r="U900" s="9">
        <v>0</v>
      </c>
      <c r="V900" s="9">
        <f t="shared" si="557"/>
        <v>0</v>
      </c>
      <c r="W900" s="7" t="s">
        <v>97</v>
      </c>
      <c r="X900" s="2">
        <v>2016</v>
      </c>
      <c r="Y900" s="2" t="s">
        <v>7793</v>
      </c>
    </row>
    <row r="901" spans="1:25" s="11" customFormat="1" ht="89.25" customHeight="1" outlineLevel="1" x14ac:dyDescent="0.25">
      <c r="A901" s="16"/>
      <c r="B901" s="2" t="s">
        <v>7867</v>
      </c>
      <c r="C901" s="3" t="s">
        <v>83</v>
      </c>
      <c r="D901" s="3" t="s">
        <v>2518</v>
      </c>
      <c r="E901" s="3" t="s">
        <v>2519</v>
      </c>
      <c r="F901" s="3" t="s">
        <v>2520</v>
      </c>
      <c r="G901" s="3" t="s">
        <v>2521</v>
      </c>
      <c r="H901" s="2" t="s">
        <v>88</v>
      </c>
      <c r="I901" s="4">
        <v>0</v>
      </c>
      <c r="J901" s="5">
        <v>710000000</v>
      </c>
      <c r="K901" s="5" t="s">
        <v>89</v>
      </c>
      <c r="L901" s="2" t="s">
        <v>754</v>
      </c>
      <c r="M901" s="6" t="s">
        <v>787</v>
      </c>
      <c r="N901" s="7" t="s">
        <v>92</v>
      </c>
      <c r="O901" s="7" t="s">
        <v>93</v>
      </c>
      <c r="P901" s="3" t="s">
        <v>673</v>
      </c>
      <c r="Q901" s="8">
        <v>796</v>
      </c>
      <c r="R901" s="7" t="s">
        <v>118</v>
      </c>
      <c r="S901" s="9">
        <v>4</v>
      </c>
      <c r="T901" s="9">
        <v>8000</v>
      </c>
      <c r="U901" s="9">
        <v>0</v>
      </c>
      <c r="V901" s="9">
        <f t="shared" si="557"/>
        <v>0</v>
      </c>
      <c r="W901" s="7"/>
      <c r="X901" s="2">
        <v>2016</v>
      </c>
      <c r="Y901" s="2" t="s">
        <v>2339</v>
      </c>
    </row>
    <row r="902" spans="1:25" s="11" customFormat="1" ht="89.25" customHeight="1" outlineLevel="1" x14ac:dyDescent="0.25">
      <c r="A902" s="16"/>
      <c r="B902" s="2" t="s">
        <v>9163</v>
      </c>
      <c r="C902" s="3" t="s">
        <v>83</v>
      </c>
      <c r="D902" s="3" t="s">
        <v>2518</v>
      </c>
      <c r="E902" s="3" t="s">
        <v>2519</v>
      </c>
      <c r="F902" s="3" t="s">
        <v>2520</v>
      </c>
      <c r="G902" s="3" t="s">
        <v>2521</v>
      </c>
      <c r="H902" s="2" t="s">
        <v>88</v>
      </c>
      <c r="I902" s="4">
        <v>0</v>
      </c>
      <c r="J902" s="5">
        <v>710000000</v>
      </c>
      <c r="K902" s="5" t="s">
        <v>89</v>
      </c>
      <c r="L902" s="5" t="s">
        <v>9114</v>
      </c>
      <c r="M902" s="6" t="s">
        <v>787</v>
      </c>
      <c r="N902" s="7" t="s">
        <v>92</v>
      </c>
      <c r="O902" s="7" t="s">
        <v>93</v>
      </c>
      <c r="P902" s="3" t="s">
        <v>673</v>
      </c>
      <c r="Q902" s="8">
        <v>796</v>
      </c>
      <c r="R902" s="7" t="s">
        <v>118</v>
      </c>
      <c r="S902" s="9">
        <v>3</v>
      </c>
      <c r="T902" s="9">
        <v>10500</v>
      </c>
      <c r="U902" s="9">
        <f>T902*S902</f>
        <v>31500</v>
      </c>
      <c r="V902" s="9">
        <f t="shared" ref="V902" si="559">U902*1.12</f>
        <v>35280</v>
      </c>
      <c r="W902" s="7"/>
      <c r="X902" s="2">
        <v>2016</v>
      </c>
      <c r="Y902" s="2"/>
    </row>
    <row r="903" spans="1:25" s="11" customFormat="1" ht="102" customHeight="1" outlineLevel="1" x14ac:dyDescent="0.25">
      <c r="A903" s="16"/>
      <c r="B903" s="2" t="s">
        <v>5968</v>
      </c>
      <c r="C903" s="3" t="s">
        <v>83</v>
      </c>
      <c r="D903" s="3" t="s">
        <v>2522</v>
      </c>
      <c r="E903" s="3" t="s">
        <v>2523</v>
      </c>
      <c r="F903" s="3" t="s">
        <v>2524</v>
      </c>
      <c r="G903" s="3" t="s">
        <v>7462</v>
      </c>
      <c r="H903" s="2" t="s">
        <v>88</v>
      </c>
      <c r="I903" s="4">
        <v>0.4</v>
      </c>
      <c r="J903" s="5">
        <v>710000000</v>
      </c>
      <c r="K903" s="5" t="s">
        <v>89</v>
      </c>
      <c r="L903" s="2" t="s">
        <v>754</v>
      </c>
      <c r="M903" s="6" t="s">
        <v>787</v>
      </c>
      <c r="N903" s="7" t="s">
        <v>92</v>
      </c>
      <c r="O903" s="7" t="s">
        <v>93</v>
      </c>
      <c r="P903" s="3" t="s">
        <v>94</v>
      </c>
      <c r="Q903" s="8">
        <v>796</v>
      </c>
      <c r="R903" s="7" t="s">
        <v>118</v>
      </c>
      <c r="S903" s="9">
        <v>150</v>
      </c>
      <c r="T903" s="9">
        <v>334.38</v>
      </c>
      <c r="U903" s="9">
        <v>0</v>
      </c>
      <c r="V903" s="9">
        <f t="shared" si="557"/>
        <v>0</v>
      </c>
      <c r="W903" s="7" t="s">
        <v>97</v>
      </c>
      <c r="X903" s="2">
        <v>2016</v>
      </c>
      <c r="Y903" s="2" t="s">
        <v>7793</v>
      </c>
    </row>
    <row r="904" spans="1:25" s="11" customFormat="1" ht="102" customHeight="1" outlineLevel="1" x14ac:dyDescent="0.25">
      <c r="A904" s="16"/>
      <c r="B904" s="2" t="s">
        <v>7868</v>
      </c>
      <c r="C904" s="3" t="s">
        <v>83</v>
      </c>
      <c r="D904" s="3" t="s">
        <v>2522</v>
      </c>
      <c r="E904" s="3" t="s">
        <v>2523</v>
      </c>
      <c r="F904" s="3" t="s">
        <v>2524</v>
      </c>
      <c r="G904" s="3" t="s">
        <v>7462</v>
      </c>
      <c r="H904" s="2" t="s">
        <v>88</v>
      </c>
      <c r="I904" s="4">
        <v>0</v>
      </c>
      <c r="J904" s="5">
        <v>710000000</v>
      </c>
      <c r="K904" s="5" t="s">
        <v>89</v>
      </c>
      <c r="L904" s="2" t="s">
        <v>754</v>
      </c>
      <c r="M904" s="6" t="s">
        <v>787</v>
      </c>
      <c r="N904" s="7" t="s">
        <v>92</v>
      </c>
      <c r="O904" s="7" t="s">
        <v>93</v>
      </c>
      <c r="P904" s="3" t="s">
        <v>673</v>
      </c>
      <c r="Q904" s="8">
        <v>796</v>
      </c>
      <c r="R904" s="7" t="s">
        <v>118</v>
      </c>
      <c r="S904" s="9">
        <v>150</v>
      </c>
      <c r="T904" s="9">
        <v>334.38</v>
      </c>
      <c r="U904" s="9">
        <v>0</v>
      </c>
      <c r="V904" s="9">
        <f t="shared" si="557"/>
        <v>0</v>
      </c>
      <c r="W904" s="7"/>
      <c r="X904" s="2">
        <v>2016</v>
      </c>
      <c r="Y904" s="2">
        <v>11</v>
      </c>
    </row>
    <row r="905" spans="1:25" s="11" customFormat="1" ht="102" customHeight="1" outlineLevel="1" x14ac:dyDescent="0.25">
      <c r="A905" s="16"/>
      <c r="B905" s="2" t="s">
        <v>9164</v>
      </c>
      <c r="C905" s="3" t="s">
        <v>83</v>
      </c>
      <c r="D905" s="3" t="s">
        <v>2522</v>
      </c>
      <c r="E905" s="3" t="s">
        <v>2523</v>
      </c>
      <c r="F905" s="3" t="s">
        <v>2524</v>
      </c>
      <c r="G905" s="3" t="s">
        <v>7462</v>
      </c>
      <c r="H905" s="2" t="s">
        <v>88</v>
      </c>
      <c r="I905" s="4">
        <v>0</v>
      </c>
      <c r="J905" s="5">
        <v>710000000</v>
      </c>
      <c r="K905" s="5" t="s">
        <v>89</v>
      </c>
      <c r="L905" s="5" t="s">
        <v>9114</v>
      </c>
      <c r="M905" s="6" t="s">
        <v>787</v>
      </c>
      <c r="N905" s="7" t="s">
        <v>92</v>
      </c>
      <c r="O905" s="7" t="s">
        <v>93</v>
      </c>
      <c r="P905" s="3" t="s">
        <v>673</v>
      </c>
      <c r="Q905" s="8">
        <v>796</v>
      </c>
      <c r="R905" s="7" t="s">
        <v>118</v>
      </c>
      <c r="S905" s="9">
        <v>150</v>
      </c>
      <c r="T905" s="9">
        <v>334.38</v>
      </c>
      <c r="U905" s="9">
        <f>T905*S905</f>
        <v>50157</v>
      </c>
      <c r="V905" s="9">
        <f t="shared" ref="V905" si="560">U905*1.12</f>
        <v>56175.840000000004</v>
      </c>
      <c r="W905" s="7"/>
      <c r="X905" s="2">
        <v>2016</v>
      </c>
      <c r="Y905" s="2"/>
    </row>
    <row r="906" spans="1:25" s="11" customFormat="1" ht="318.75" customHeight="1" outlineLevel="1" x14ac:dyDescent="0.25">
      <c r="A906" s="16"/>
      <c r="B906" s="2" t="s">
        <v>5969</v>
      </c>
      <c r="C906" s="3" t="s">
        <v>83</v>
      </c>
      <c r="D906" s="3" t="s">
        <v>2526</v>
      </c>
      <c r="E906" s="3" t="s">
        <v>2527</v>
      </c>
      <c r="F906" s="3" t="s">
        <v>2528</v>
      </c>
      <c r="G906" s="3" t="s">
        <v>7463</v>
      </c>
      <c r="H906" s="2" t="s">
        <v>88</v>
      </c>
      <c r="I906" s="4">
        <v>0.4</v>
      </c>
      <c r="J906" s="5">
        <v>710000000</v>
      </c>
      <c r="K906" s="5" t="s">
        <v>89</v>
      </c>
      <c r="L906" s="2" t="s">
        <v>754</v>
      </c>
      <c r="M906" s="6" t="s">
        <v>787</v>
      </c>
      <c r="N906" s="7" t="s">
        <v>92</v>
      </c>
      <c r="O906" s="7" t="s">
        <v>93</v>
      </c>
      <c r="P906" s="3" t="s">
        <v>94</v>
      </c>
      <c r="Q906" s="8">
        <v>796</v>
      </c>
      <c r="R906" s="7" t="s">
        <v>118</v>
      </c>
      <c r="S906" s="9">
        <v>150</v>
      </c>
      <c r="T906" s="9">
        <v>437.05</v>
      </c>
      <c r="U906" s="9">
        <v>0</v>
      </c>
      <c r="V906" s="9">
        <f t="shared" si="557"/>
        <v>0</v>
      </c>
      <c r="W906" s="7" t="s">
        <v>97</v>
      </c>
      <c r="X906" s="2">
        <v>2016</v>
      </c>
      <c r="Y906" s="2" t="s">
        <v>7793</v>
      </c>
    </row>
    <row r="907" spans="1:25" s="11" customFormat="1" ht="318.75" customHeight="1" outlineLevel="1" x14ac:dyDescent="0.25">
      <c r="A907" s="16"/>
      <c r="B907" s="2" t="s">
        <v>7869</v>
      </c>
      <c r="C907" s="3" t="s">
        <v>83</v>
      </c>
      <c r="D907" s="3" t="s">
        <v>2526</v>
      </c>
      <c r="E907" s="3" t="s">
        <v>2527</v>
      </c>
      <c r="F907" s="3" t="s">
        <v>2528</v>
      </c>
      <c r="G907" s="3" t="s">
        <v>7463</v>
      </c>
      <c r="H907" s="2" t="s">
        <v>88</v>
      </c>
      <c r="I907" s="4">
        <v>0</v>
      </c>
      <c r="J907" s="5">
        <v>710000000</v>
      </c>
      <c r="K907" s="5" t="s">
        <v>89</v>
      </c>
      <c r="L907" s="2" t="s">
        <v>754</v>
      </c>
      <c r="M907" s="6" t="s">
        <v>787</v>
      </c>
      <c r="N907" s="7" t="s">
        <v>92</v>
      </c>
      <c r="O907" s="7" t="s">
        <v>93</v>
      </c>
      <c r="P907" s="3" t="s">
        <v>673</v>
      </c>
      <c r="Q907" s="8">
        <v>796</v>
      </c>
      <c r="R907" s="7" t="s">
        <v>118</v>
      </c>
      <c r="S907" s="9">
        <v>150</v>
      </c>
      <c r="T907" s="9">
        <v>437.05</v>
      </c>
      <c r="U907" s="9">
        <v>0</v>
      </c>
      <c r="V907" s="9">
        <f t="shared" ref="V907" si="561">U907*1.12</f>
        <v>0</v>
      </c>
      <c r="W907" s="7"/>
      <c r="X907" s="2">
        <v>2016</v>
      </c>
      <c r="Y907" s="2">
        <v>11</v>
      </c>
    </row>
    <row r="908" spans="1:25" s="11" customFormat="1" ht="318.75" customHeight="1" outlineLevel="1" x14ac:dyDescent="0.25">
      <c r="A908" s="16"/>
      <c r="B908" s="2" t="s">
        <v>9165</v>
      </c>
      <c r="C908" s="3" t="s">
        <v>83</v>
      </c>
      <c r="D908" s="3" t="s">
        <v>2526</v>
      </c>
      <c r="E908" s="3" t="s">
        <v>2527</v>
      </c>
      <c r="F908" s="3" t="s">
        <v>2528</v>
      </c>
      <c r="G908" s="3" t="s">
        <v>7463</v>
      </c>
      <c r="H908" s="2" t="s">
        <v>88</v>
      </c>
      <c r="I908" s="4">
        <v>0</v>
      </c>
      <c r="J908" s="5">
        <v>710000000</v>
      </c>
      <c r="K908" s="5" t="s">
        <v>89</v>
      </c>
      <c r="L908" s="5" t="s">
        <v>9114</v>
      </c>
      <c r="M908" s="6" t="s">
        <v>787</v>
      </c>
      <c r="N908" s="7" t="s">
        <v>92</v>
      </c>
      <c r="O908" s="7" t="s">
        <v>93</v>
      </c>
      <c r="P908" s="3" t="s">
        <v>673</v>
      </c>
      <c r="Q908" s="8">
        <v>796</v>
      </c>
      <c r="R908" s="7" t="s">
        <v>118</v>
      </c>
      <c r="S908" s="9">
        <v>150</v>
      </c>
      <c r="T908" s="9">
        <v>437.05</v>
      </c>
      <c r="U908" s="9">
        <f>T908*S908</f>
        <v>65557.5</v>
      </c>
      <c r="V908" s="9">
        <f t="shared" si="557"/>
        <v>73424.400000000009</v>
      </c>
      <c r="W908" s="7"/>
      <c r="X908" s="2">
        <v>2016</v>
      </c>
      <c r="Y908" s="2"/>
    </row>
    <row r="909" spans="1:25" s="11" customFormat="1" ht="89.25" customHeight="1" outlineLevel="1" x14ac:dyDescent="0.2">
      <c r="A909" s="25"/>
      <c r="B909" s="2" t="s">
        <v>5970</v>
      </c>
      <c r="C909" s="3" t="s">
        <v>83</v>
      </c>
      <c r="D909" s="3" t="s">
        <v>2529</v>
      </c>
      <c r="E909" s="3" t="s">
        <v>2530</v>
      </c>
      <c r="F909" s="3" t="s">
        <v>2531</v>
      </c>
      <c r="G909" s="3" t="s">
        <v>2532</v>
      </c>
      <c r="H909" s="2" t="s">
        <v>88</v>
      </c>
      <c r="I909" s="4">
        <v>0.4</v>
      </c>
      <c r="J909" s="5">
        <v>710000000</v>
      </c>
      <c r="K909" s="5" t="s">
        <v>89</v>
      </c>
      <c r="L909" s="2" t="s">
        <v>754</v>
      </c>
      <c r="M909" s="6" t="s">
        <v>787</v>
      </c>
      <c r="N909" s="7" t="s">
        <v>92</v>
      </c>
      <c r="O909" s="7" t="s">
        <v>93</v>
      </c>
      <c r="P909" s="3" t="s">
        <v>94</v>
      </c>
      <c r="Q909" s="8" t="s">
        <v>522</v>
      </c>
      <c r="R909" s="7" t="s">
        <v>523</v>
      </c>
      <c r="S909" s="9">
        <v>12</v>
      </c>
      <c r="T909" s="9">
        <v>129.02000000000001</v>
      </c>
      <c r="U909" s="9">
        <v>0</v>
      </c>
      <c r="V909" s="9">
        <f t="shared" si="557"/>
        <v>0</v>
      </c>
      <c r="W909" s="7" t="s">
        <v>97</v>
      </c>
      <c r="X909" s="2">
        <v>2016</v>
      </c>
      <c r="Y909" s="2" t="s">
        <v>7793</v>
      </c>
    </row>
    <row r="910" spans="1:25" s="11" customFormat="1" ht="89.25" customHeight="1" outlineLevel="1" x14ac:dyDescent="0.2">
      <c r="A910" s="25"/>
      <c r="B910" s="2" t="s">
        <v>7870</v>
      </c>
      <c r="C910" s="3" t="s">
        <v>83</v>
      </c>
      <c r="D910" s="3" t="s">
        <v>2529</v>
      </c>
      <c r="E910" s="3" t="s">
        <v>2530</v>
      </c>
      <c r="F910" s="3" t="s">
        <v>2531</v>
      </c>
      <c r="G910" s="3" t="s">
        <v>2532</v>
      </c>
      <c r="H910" s="2" t="s">
        <v>88</v>
      </c>
      <c r="I910" s="4">
        <v>0</v>
      </c>
      <c r="J910" s="5">
        <v>710000000</v>
      </c>
      <c r="K910" s="5" t="s">
        <v>89</v>
      </c>
      <c r="L910" s="2" t="s">
        <v>754</v>
      </c>
      <c r="M910" s="6" t="s">
        <v>787</v>
      </c>
      <c r="N910" s="7" t="s">
        <v>92</v>
      </c>
      <c r="O910" s="7" t="s">
        <v>93</v>
      </c>
      <c r="P910" s="3" t="s">
        <v>673</v>
      </c>
      <c r="Q910" s="8" t="s">
        <v>522</v>
      </c>
      <c r="R910" s="7" t="s">
        <v>523</v>
      </c>
      <c r="S910" s="9">
        <v>12</v>
      </c>
      <c r="T910" s="9">
        <v>129.02000000000001</v>
      </c>
      <c r="U910" s="9">
        <v>0</v>
      </c>
      <c r="V910" s="9">
        <f t="shared" si="557"/>
        <v>0</v>
      </c>
      <c r="W910" s="7"/>
      <c r="X910" s="2">
        <v>2016</v>
      </c>
      <c r="Y910" s="2">
        <v>11</v>
      </c>
    </row>
    <row r="911" spans="1:25" s="11" customFormat="1" ht="89.25" customHeight="1" outlineLevel="1" x14ac:dyDescent="0.25">
      <c r="A911" s="1"/>
      <c r="B911" s="2" t="s">
        <v>9166</v>
      </c>
      <c r="C911" s="3" t="s">
        <v>83</v>
      </c>
      <c r="D911" s="3" t="s">
        <v>2529</v>
      </c>
      <c r="E911" s="3" t="s">
        <v>2530</v>
      </c>
      <c r="F911" s="3" t="s">
        <v>2531</v>
      </c>
      <c r="G911" s="3" t="s">
        <v>2532</v>
      </c>
      <c r="H911" s="2" t="s">
        <v>88</v>
      </c>
      <c r="I911" s="4">
        <v>0</v>
      </c>
      <c r="J911" s="5">
        <v>710000000</v>
      </c>
      <c r="K911" s="5" t="s">
        <v>89</v>
      </c>
      <c r="L911" s="5" t="s">
        <v>9114</v>
      </c>
      <c r="M911" s="6" t="s">
        <v>787</v>
      </c>
      <c r="N911" s="7" t="s">
        <v>92</v>
      </c>
      <c r="O911" s="7" t="s">
        <v>93</v>
      </c>
      <c r="P911" s="3" t="s">
        <v>673</v>
      </c>
      <c r="Q911" s="8" t="s">
        <v>522</v>
      </c>
      <c r="R911" s="7" t="s">
        <v>523</v>
      </c>
      <c r="S911" s="9">
        <v>12</v>
      </c>
      <c r="T911" s="9">
        <v>129.02000000000001</v>
      </c>
      <c r="U911" s="9">
        <f>T911*S911</f>
        <v>1548.2400000000002</v>
      </c>
      <c r="V911" s="9">
        <f t="shared" ref="V911" si="562">U911*1.12</f>
        <v>1734.0288000000005</v>
      </c>
      <c r="W911" s="7"/>
      <c r="X911" s="2">
        <v>2016</v>
      </c>
      <c r="Y911" s="2"/>
    </row>
    <row r="912" spans="1:25" s="11" customFormat="1" ht="89.25" customHeight="1" outlineLevel="1" x14ac:dyDescent="0.2">
      <c r="A912" s="25"/>
      <c r="B912" s="2" t="s">
        <v>5971</v>
      </c>
      <c r="C912" s="3" t="s">
        <v>83</v>
      </c>
      <c r="D912" s="3" t="s">
        <v>2506</v>
      </c>
      <c r="E912" s="3" t="s">
        <v>2402</v>
      </c>
      <c r="F912" s="3" t="s">
        <v>2507</v>
      </c>
      <c r="G912" s="3" t="s">
        <v>2533</v>
      </c>
      <c r="H912" s="2" t="s">
        <v>88</v>
      </c>
      <c r="I912" s="4">
        <v>0.4</v>
      </c>
      <c r="J912" s="5">
        <v>710000000</v>
      </c>
      <c r="K912" s="5" t="s">
        <v>89</v>
      </c>
      <c r="L912" s="2" t="s">
        <v>754</v>
      </c>
      <c r="M912" s="6" t="s">
        <v>787</v>
      </c>
      <c r="N912" s="7" t="s">
        <v>92</v>
      </c>
      <c r="O912" s="7" t="s">
        <v>93</v>
      </c>
      <c r="P912" s="3" t="s">
        <v>94</v>
      </c>
      <c r="Q912" s="8">
        <v>796</v>
      </c>
      <c r="R912" s="7" t="s">
        <v>118</v>
      </c>
      <c r="S912" s="9">
        <v>8</v>
      </c>
      <c r="T912" s="9">
        <v>4500</v>
      </c>
      <c r="U912" s="9">
        <v>0</v>
      </c>
      <c r="V912" s="9">
        <f t="shared" ref="V912:V935" si="563">U912*1.12</f>
        <v>0</v>
      </c>
      <c r="W912" s="7" t="s">
        <v>97</v>
      </c>
      <c r="X912" s="2">
        <v>2016</v>
      </c>
      <c r="Y912" s="2" t="s">
        <v>7793</v>
      </c>
    </row>
    <row r="913" spans="1:25" s="11" customFormat="1" ht="89.25" customHeight="1" outlineLevel="1" x14ac:dyDescent="0.2">
      <c r="A913" s="25"/>
      <c r="B913" s="2" t="s">
        <v>7871</v>
      </c>
      <c r="C913" s="3" t="s">
        <v>83</v>
      </c>
      <c r="D913" s="3" t="s">
        <v>2506</v>
      </c>
      <c r="E913" s="3" t="s">
        <v>2402</v>
      </c>
      <c r="F913" s="3" t="s">
        <v>2507</v>
      </c>
      <c r="G913" s="3" t="s">
        <v>2533</v>
      </c>
      <c r="H913" s="2" t="s">
        <v>88</v>
      </c>
      <c r="I913" s="4">
        <v>0</v>
      </c>
      <c r="J913" s="5">
        <v>710000000</v>
      </c>
      <c r="K913" s="5" t="s">
        <v>89</v>
      </c>
      <c r="L913" s="2" t="s">
        <v>754</v>
      </c>
      <c r="M913" s="6" t="s">
        <v>787</v>
      </c>
      <c r="N913" s="7" t="s">
        <v>92</v>
      </c>
      <c r="O913" s="7" t="s">
        <v>93</v>
      </c>
      <c r="P913" s="3" t="s">
        <v>673</v>
      </c>
      <c r="Q913" s="8">
        <v>796</v>
      </c>
      <c r="R913" s="7" t="s">
        <v>118</v>
      </c>
      <c r="S913" s="9">
        <v>8</v>
      </c>
      <c r="T913" s="9">
        <v>4500</v>
      </c>
      <c r="U913" s="9">
        <v>0</v>
      </c>
      <c r="V913" s="9">
        <f t="shared" ref="V913" si="564">U913*1.12</f>
        <v>0</v>
      </c>
      <c r="W913" s="7"/>
      <c r="X913" s="2">
        <v>2016</v>
      </c>
      <c r="Y913" s="2" t="s">
        <v>2339</v>
      </c>
    </row>
    <row r="914" spans="1:25" s="11" customFormat="1" ht="89.25" customHeight="1" outlineLevel="1" x14ac:dyDescent="0.25">
      <c r="A914" s="1"/>
      <c r="B914" s="2" t="s">
        <v>9167</v>
      </c>
      <c r="C914" s="3" t="s">
        <v>83</v>
      </c>
      <c r="D914" s="3" t="s">
        <v>2506</v>
      </c>
      <c r="E914" s="3" t="s">
        <v>2402</v>
      </c>
      <c r="F914" s="3" t="s">
        <v>2507</v>
      </c>
      <c r="G914" s="3" t="s">
        <v>2533</v>
      </c>
      <c r="H914" s="2" t="s">
        <v>88</v>
      </c>
      <c r="I914" s="4">
        <v>0</v>
      </c>
      <c r="J914" s="5">
        <v>710000000</v>
      </c>
      <c r="K914" s="5" t="s">
        <v>89</v>
      </c>
      <c r="L914" s="5" t="s">
        <v>9114</v>
      </c>
      <c r="M914" s="6" t="s">
        <v>787</v>
      </c>
      <c r="N914" s="7" t="s">
        <v>92</v>
      </c>
      <c r="O914" s="7" t="s">
        <v>93</v>
      </c>
      <c r="P914" s="3" t="s">
        <v>673</v>
      </c>
      <c r="Q914" s="8">
        <v>796</v>
      </c>
      <c r="R914" s="7" t="s">
        <v>118</v>
      </c>
      <c r="S914" s="9">
        <v>7</v>
      </c>
      <c r="T914" s="9">
        <v>4982.1400000000003</v>
      </c>
      <c r="U914" s="9">
        <f t="shared" ref="U914" si="565">T914*S914</f>
        <v>34874.980000000003</v>
      </c>
      <c r="V914" s="9">
        <f t="shared" ref="V914" si="566">U914*1.12</f>
        <v>39059.977600000006</v>
      </c>
      <c r="W914" s="7"/>
      <c r="X914" s="2">
        <v>2016</v>
      </c>
      <c r="Y914" s="2"/>
    </row>
    <row r="915" spans="1:25" s="11" customFormat="1" ht="102" customHeight="1" outlineLevel="1" x14ac:dyDescent="0.2">
      <c r="A915" s="25"/>
      <c r="B915" s="2" t="s">
        <v>5972</v>
      </c>
      <c r="C915" s="3" t="s">
        <v>83</v>
      </c>
      <c r="D915" s="3" t="s">
        <v>2534</v>
      </c>
      <c r="E915" s="3" t="s">
        <v>2535</v>
      </c>
      <c r="F915" s="3" t="s">
        <v>2536</v>
      </c>
      <c r="G915" s="3" t="s">
        <v>2537</v>
      </c>
      <c r="H915" s="2" t="s">
        <v>88</v>
      </c>
      <c r="I915" s="4">
        <v>0.4</v>
      </c>
      <c r="J915" s="5">
        <v>710000000</v>
      </c>
      <c r="K915" s="5" t="s">
        <v>89</v>
      </c>
      <c r="L915" s="2" t="s">
        <v>754</v>
      </c>
      <c r="M915" s="6" t="s">
        <v>787</v>
      </c>
      <c r="N915" s="7" t="s">
        <v>92</v>
      </c>
      <c r="O915" s="7" t="s">
        <v>93</v>
      </c>
      <c r="P915" s="3" t="s">
        <v>94</v>
      </c>
      <c r="Q915" s="8">
        <v>796</v>
      </c>
      <c r="R915" s="7" t="s">
        <v>118</v>
      </c>
      <c r="S915" s="9">
        <f>18+10</f>
        <v>28</v>
      </c>
      <c r="T915" s="9">
        <v>29151.97</v>
      </c>
      <c r="U915" s="9">
        <v>0</v>
      </c>
      <c r="V915" s="9">
        <f t="shared" si="563"/>
        <v>0</v>
      </c>
      <c r="W915" s="7" t="s">
        <v>97</v>
      </c>
      <c r="X915" s="2">
        <v>2016</v>
      </c>
      <c r="Y915" s="2" t="s">
        <v>7793</v>
      </c>
    </row>
    <row r="916" spans="1:25" s="11" customFormat="1" ht="102" customHeight="1" outlineLevel="1" x14ac:dyDescent="0.2">
      <c r="A916" s="25"/>
      <c r="B916" s="2" t="s">
        <v>7872</v>
      </c>
      <c r="C916" s="3" t="s">
        <v>83</v>
      </c>
      <c r="D916" s="3" t="s">
        <v>2534</v>
      </c>
      <c r="E916" s="3" t="s">
        <v>2535</v>
      </c>
      <c r="F916" s="3" t="s">
        <v>2536</v>
      </c>
      <c r="G916" s="3" t="s">
        <v>2537</v>
      </c>
      <c r="H916" s="2" t="s">
        <v>88</v>
      </c>
      <c r="I916" s="4">
        <v>0</v>
      </c>
      <c r="J916" s="5">
        <v>710000000</v>
      </c>
      <c r="K916" s="5" t="s">
        <v>89</v>
      </c>
      <c r="L916" s="2" t="s">
        <v>754</v>
      </c>
      <c r="M916" s="6" t="s">
        <v>787</v>
      </c>
      <c r="N916" s="7" t="s">
        <v>92</v>
      </c>
      <c r="O916" s="7" t="s">
        <v>93</v>
      </c>
      <c r="P916" s="3" t="s">
        <v>673</v>
      </c>
      <c r="Q916" s="8">
        <v>796</v>
      </c>
      <c r="R916" s="7" t="s">
        <v>118</v>
      </c>
      <c r="S916" s="9">
        <f>18+10</f>
        <v>28</v>
      </c>
      <c r="T916" s="9">
        <v>29151.97</v>
      </c>
      <c r="U916" s="9">
        <v>0</v>
      </c>
      <c r="V916" s="9">
        <f t="shared" ref="V916" si="567">U916*1.12</f>
        <v>0</v>
      </c>
      <c r="W916" s="7"/>
      <c r="X916" s="2">
        <v>2016</v>
      </c>
      <c r="Y916" s="2">
        <v>11</v>
      </c>
    </row>
    <row r="917" spans="1:25" s="11" customFormat="1" ht="102" customHeight="1" outlineLevel="1" x14ac:dyDescent="0.25">
      <c r="A917" s="1"/>
      <c r="B917" s="2" t="s">
        <v>9168</v>
      </c>
      <c r="C917" s="3" t="s">
        <v>83</v>
      </c>
      <c r="D917" s="3" t="s">
        <v>2534</v>
      </c>
      <c r="E917" s="3" t="s">
        <v>2535</v>
      </c>
      <c r="F917" s="3" t="s">
        <v>2536</v>
      </c>
      <c r="G917" s="3" t="s">
        <v>2537</v>
      </c>
      <c r="H917" s="2" t="s">
        <v>88</v>
      </c>
      <c r="I917" s="4">
        <v>0</v>
      </c>
      <c r="J917" s="5">
        <v>710000000</v>
      </c>
      <c r="K917" s="5" t="s">
        <v>89</v>
      </c>
      <c r="L917" s="5" t="s">
        <v>9114</v>
      </c>
      <c r="M917" s="6" t="s">
        <v>787</v>
      </c>
      <c r="N917" s="7" t="s">
        <v>92</v>
      </c>
      <c r="O917" s="7" t="s">
        <v>93</v>
      </c>
      <c r="P917" s="3" t="s">
        <v>673</v>
      </c>
      <c r="Q917" s="8">
        <v>796</v>
      </c>
      <c r="R917" s="7" t="s">
        <v>118</v>
      </c>
      <c r="S917" s="9">
        <f>18+10</f>
        <v>28</v>
      </c>
      <c r="T917" s="9">
        <v>29151.97</v>
      </c>
      <c r="U917" s="9">
        <f t="shared" ref="U917" si="568">T917*S917</f>
        <v>816255.16</v>
      </c>
      <c r="V917" s="9">
        <f t="shared" ref="V917" si="569">U917*1.12</f>
        <v>914205.77920000011</v>
      </c>
      <c r="W917" s="7"/>
      <c r="X917" s="2">
        <v>2016</v>
      </c>
      <c r="Y917" s="2"/>
    </row>
    <row r="918" spans="1:25" s="11" customFormat="1" ht="127.5" customHeight="1" outlineLevel="1" x14ac:dyDescent="0.2">
      <c r="A918" s="25"/>
      <c r="B918" s="2" t="s">
        <v>5973</v>
      </c>
      <c r="C918" s="3" t="s">
        <v>83</v>
      </c>
      <c r="D918" s="3" t="s">
        <v>2538</v>
      </c>
      <c r="E918" s="3" t="s">
        <v>2535</v>
      </c>
      <c r="F918" s="3" t="s">
        <v>2539</v>
      </c>
      <c r="G918" s="3" t="s">
        <v>2540</v>
      </c>
      <c r="H918" s="2" t="s">
        <v>88</v>
      </c>
      <c r="I918" s="4">
        <v>0.4</v>
      </c>
      <c r="J918" s="5">
        <v>710000000</v>
      </c>
      <c r="K918" s="5" t="s">
        <v>89</v>
      </c>
      <c r="L918" s="2" t="s">
        <v>754</v>
      </c>
      <c r="M918" s="6" t="s">
        <v>787</v>
      </c>
      <c r="N918" s="7" t="s">
        <v>92</v>
      </c>
      <c r="O918" s="7" t="s">
        <v>93</v>
      </c>
      <c r="P918" s="3" t="s">
        <v>94</v>
      </c>
      <c r="Q918" s="8">
        <v>796</v>
      </c>
      <c r="R918" s="7" t="s">
        <v>118</v>
      </c>
      <c r="S918" s="9">
        <f>65+56</f>
        <v>121</v>
      </c>
      <c r="T918" s="9">
        <v>4625</v>
      </c>
      <c r="U918" s="9">
        <v>0</v>
      </c>
      <c r="V918" s="9">
        <f t="shared" si="563"/>
        <v>0</v>
      </c>
      <c r="W918" s="7" t="s">
        <v>97</v>
      </c>
      <c r="X918" s="2">
        <v>2016</v>
      </c>
      <c r="Y918" s="2" t="s">
        <v>7793</v>
      </c>
    </row>
    <row r="919" spans="1:25" s="11" customFormat="1" ht="127.5" customHeight="1" outlineLevel="1" x14ac:dyDescent="0.2">
      <c r="A919" s="25"/>
      <c r="B919" s="2" t="s">
        <v>7873</v>
      </c>
      <c r="C919" s="3" t="s">
        <v>83</v>
      </c>
      <c r="D919" s="3" t="s">
        <v>2538</v>
      </c>
      <c r="E919" s="3" t="s">
        <v>2535</v>
      </c>
      <c r="F919" s="3" t="s">
        <v>2539</v>
      </c>
      <c r="G919" s="3" t="s">
        <v>2540</v>
      </c>
      <c r="H919" s="2" t="s">
        <v>88</v>
      </c>
      <c r="I919" s="4">
        <v>0</v>
      </c>
      <c r="J919" s="5">
        <v>710000000</v>
      </c>
      <c r="K919" s="5" t="s">
        <v>89</v>
      </c>
      <c r="L919" s="2" t="s">
        <v>754</v>
      </c>
      <c r="M919" s="6" t="s">
        <v>787</v>
      </c>
      <c r="N919" s="7" t="s">
        <v>92</v>
      </c>
      <c r="O919" s="7" t="s">
        <v>93</v>
      </c>
      <c r="P919" s="3" t="s">
        <v>673</v>
      </c>
      <c r="Q919" s="8">
        <v>796</v>
      </c>
      <c r="R919" s="7" t="s">
        <v>118</v>
      </c>
      <c r="S919" s="9">
        <f>65+56</f>
        <v>121</v>
      </c>
      <c r="T919" s="9">
        <v>4625</v>
      </c>
      <c r="U919" s="9">
        <v>0</v>
      </c>
      <c r="V919" s="9">
        <f t="shared" ref="V919" si="570">U919*1.12</f>
        <v>0</v>
      </c>
      <c r="W919" s="7"/>
      <c r="X919" s="2">
        <v>2016</v>
      </c>
      <c r="Y919" s="2">
        <v>11</v>
      </c>
    </row>
    <row r="920" spans="1:25" s="11" customFormat="1" ht="127.5" customHeight="1" outlineLevel="1" x14ac:dyDescent="0.25">
      <c r="A920" s="1"/>
      <c r="B920" s="2" t="s">
        <v>9169</v>
      </c>
      <c r="C920" s="3" t="s">
        <v>83</v>
      </c>
      <c r="D920" s="3" t="s">
        <v>2538</v>
      </c>
      <c r="E920" s="3" t="s">
        <v>2535</v>
      </c>
      <c r="F920" s="3" t="s">
        <v>2539</v>
      </c>
      <c r="G920" s="3" t="s">
        <v>2540</v>
      </c>
      <c r="H920" s="2" t="s">
        <v>88</v>
      </c>
      <c r="I920" s="4">
        <v>0</v>
      </c>
      <c r="J920" s="5">
        <v>710000000</v>
      </c>
      <c r="K920" s="5" t="s">
        <v>89</v>
      </c>
      <c r="L920" s="5" t="s">
        <v>9114</v>
      </c>
      <c r="M920" s="6" t="s">
        <v>787</v>
      </c>
      <c r="N920" s="7" t="s">
        <v>92</v>
      </c>
      <c r="O920" s="7" t="s">
        <v>93</v>
      </c>
      <c r="P920" s="3" t="s">
        <v>673</v>
      </c>
      <c r="Q920" s="8">
        <v>796</v>
      </c>
      <c r="R920" s="7" t="s">
        <v>118</v>
      </c>
      <c r="S920" s="9">
        <f>65+56</f>
        <v>121</v>
      </c>
      <c r="T920" s="9">
        <v>4625</v>
      </c>
      <c r="U920" s="9">
        <f t="shared" ref="U920" si="571">T920*S920</f>
        <v>559625</v>
      </c>
      <c r="V920" s="9">
        <f t="shared" ref="V920" si="572">U920*1.12</f>
        <v>626780.00000000012</v>
      </c>
      <c r="W920" s="7"/>
      <c r="X920" s="2">
        <v>2016</v>
      </c>
      <c r="Y920" s="2"/>
    </row>
    <row r="921" spans="1:25" s="11" customFormat="1" ht="89.25" customHeight="1" outlineLevel="1" x14ac:dyDescent="0.2">
      <c r="A921" s="25"/>
      <c r="B921" s="2" t="s">
        <v>5974</v>
      </c>
      <c r="C921" s="3" t="s">
        <v>83</v>
      </c>
      <c r="D921" s="3" t="s">
        <v>2541</v>
      </c>
      <c r="E921" s="3" t="s">
        <v>2341</v>
      </c>
      <c r="F921" s="3" t="s">
        <v>2542</v>
      </c>
      <c r="G921" s="3" t="s">
        <v>2543</v>
      </c>
      <c r="H921" s="2" t="s">
        <v>88</v>
      </c>
      <c r="I921" s="4">
        <v>0.4</v>
      </c>
      <c r="J921" s="5">
        <v>710000000</v>
      </c>
      <c r="K921" s="5" t="s">
        <v>89</v>
      </c>
      <c r="L921" s="2" t="s">
        <v>754</v>
      </c>
      <c r="M921" s="6" t="s">
        <v>787</v>
      </c>
      <c r="N921" s="7" t="s">
        <v>92</v>
      </c>
      <c r="O921" s="7" t="s">
        <v>93</v>
      </c>
      <c r="P921" s="3" t="s">
        <v>94</v>
      </c>
      <c r="Q921" s="8" t="s">
        <v>522</v>
      </c>
      <c r="R921" s="7" t="s">
        <v>523</v>
      </c>
      <c r="S921" s="9">
        <v>8</v>
      </c>
      <c r="T921" s="9">
        <v>25062.5</v>
      </c>
      <c r="U921" s="9">
        <v>0</v>
      </c>
      <c r="V921" s="9">
        <f t="shared" si="563"/>
        <v>0</v>
      </c>
      <c r="W921" s="7" t="s">
        <v>97</v>
      </c>
      <c r="X921" s="2">
        <v>2016</v>
      </c>
      <c r="Y921" s="2" t="s">
        <v>7793</v>
      </c>
    </row>
    <row r="922" spans="1:25" s="11" customFormat="1" ht="89.25" customHeight="1" outlineLevel="1" x14ac:dyDescent="0.2">
      <c r="A922" s="25"/>
      <c r="B922" s="2" t="s">
        <v>7874</v>
      </c>
      <c r="C922" s="3" t="s">
        <v>83</v>
      </c>
      <c r="D922" s="3" t="s">
        <v>2541</v>
      </c>
      <c r="E922" s="3" t="s">
        <v>2341</v>
      </c>
      <c r="F922" s="3" t="s">
        <v>2542</v>
      </c>
      <c r="G922" s="3" t="s">
        <v>2543</v>
      </c>
      <c r="H922" s="2" t="s">
        <v>88</v>
      </c>
      <c r="I922" s="4">
        <v>0</v>
      </c>
      <c r="J922" s="5">
        <v>710000000</v>
      </c>
      <c r="K922" s="5" t="s">
        <v>89</v>
      </c>
      <c r="L922" s="2" t="s">
        <v>754</v>
      </c>
      <c r="M922" s="6" t="s">
        <v>787</v>
      </c>
      <c r="N922" s="7" t="s">
        <v>92</v>
      </c>
      <c r="O922" s="7" t="s">
        <v>93</v>
      </c>
      <c r="P922" s="3" t="s">
        <v>673</v>
      </c>
      <c r="Q922" s="8" t="s">
        <v>522</v>
      </c>
      <c r="R922" s="7" t="s">
        <v>523</v>
      </c>
      <c r="S922" s="9">
        <v>8</v>
      </c>
      <c r="T922" s="9">
        <v>25062.5</v>
      </c>
      <c r="U922" s="9">
        <v>0</v>
      </c>
      <c r="V922" s="9">
        <f t="shared" ref="V922" si="573">U922*1.12</f>
        <v>0</v>
      </c>
      <c r="W922" s="7"/>
      <c r="X922" s="2">
        <v>2016</v>
      </c>
      <c r="Y922" s="2">
        <v>11</v>
      </c>
    </row>
    <row r="923" spans="1:25" s="11" customFormat="1" ht="89.25" customHeight="1" outlineLevel="1" x14ac:dyDescent="0.25">
      <c r="A923" s="1"/>
      <c r="B923" s="2" t="s">
        <v>9170</v>
      </c>
      <c r="C923" s="3" t="s">
        <v>83</v>
      </c>
      <c r="D923" s="3" t="s">
        <v>2541</v>
      </c>
      <c r="E923" s="3" t="s">
        <v>2341</v>
      </c>
      <c r="F923" s="3" t="s">
        <v>2542</v>
      </c>
      <c r="G923" s="3" t="s">
        <v>2543</v>
      </c>
      <c r="H923" s="2" t="s">
        <v>88</v>
      </c>
      <c r="I923" s="4">
        <v>0</v>
      </c>
      <c r="J923" s="5">
        <v>710000000</v>
      </c>
      <c r="K923" s="5" t="s">
        <v>89</v>
      </c>
      <c r="L923" s="5" t="s">
        <v>9114</v>
      </c>
      <c r="M923" s="6" t="s">
        <v>787</v>
      </c>
      <c r="N923" s="7" t="s">
        <v>92</v>
      </c>
      <c r="O923" s="7" t="s">
        <v>93</v>
      </c>
      <c r="P923" s="3" t="s">
        <v>673</v>
      </c>
      <c r="Q923" s="8" t="s">
        <v>522</v>
      </c>
      <c r="R923" s="7" t="s">
        <v>523</v>
      </c>
      <c r="S923" s="9">
        <v>8</v>
      </c>
      <c r="T923" s="9">
        <v>25062.5</v>
      </c>
      <c r="U923" s="9">
        <f t="shared" ref="U923" si="574">T923*S923</f>
        <v>200500</v>
      </c>
      <c r="V923" s="9">
        <f t="shared" ref="V923" si="575">U923*1.12</f>
        <v>224560.00000000003</v>
      </c>
      <c r="W923" s="7"/>
      <c r="X923" s="2">
        <v>2016</v>
      </c>
      <c r="Y923" s="2"/>
    </row>
    <row r="924" spans="1:25" s="11" customFormat="1" ht="102" customHeight="1" outlineLevel="1" x14ac:dyDescent="0.2">
      <c r="A924" s="25"/>
      <c r="B924" s="2" t="s">
        <v>5975</v>
      </c>
      <c r="C924" s="3" t="s">
        <v>83</v>
      </c>
      <c r="D924" s="3" t="s">
        <v>2541</v>
      </c>
      <c r="E924" s="3" t="s">
        <v>2341</v>
      </c>
      <c r="F924" s="3" t="s">
        <v>2542</v>
      </c>
      <c r="G924" s="3" t="s">
        <v>2544</v>
      </c>
      <c r="H924" s="2" t="s">
        <v>88</v>
      </c>
      <c r="I924" s="4">
        <v>0.4</v>
      </c>
      <c r="J924" s="5">
        <v>710000000</v>
      </c>
      <c r="K924" s="5" t="s">
        <v>89</v>
      </c>
      <c r="L924" s="2" t="s">
        <v>754</v>
      </c>
      <c r="M924" s="6" t="s">
        <v>787</v>
      </c>
      <c r="N924" s="7" t="s">
        <v>92</v>
      </c>
      <c r="O924" s="7" t="s">
        <v>93</v>
      </c>
      <c r="P924" s="3" t="s">
        <v>94</v>
      </c>
      <c r="Q924" s="8" t="s">
        <v>522</v>
      </c>
      <c r="R924" s="7" t="s">
        <v>523</v>
      </c>
      <c r="S924" s="9">
        <f>5+5</f>
        <v>10</v>
      </c>
      <c r="T924" s="9">
        <v>20303.57</v>
      </c>
      <c r="U924" s="9">
        <v>0</v>
      </c>
      <c r="V924" s="9">
        <f t="shared" si="563"/>
        <v>0</v>
      </c>
      <c r="W924" s="7" t="s">
        <v>97</v>
      </c>
      <c r="X924" s="2">
        <v>2016</v>
      </c>
      <c r="Y924" s="2" t="s">
        <v>7793</v>
      </c>
    </row>
    <row r="925" spans="1:25" s="11" customFormat="1" ht="102" customHeight="1" outlineLevel="1" x14ac:dyDescent="0.2">
      <c r="A925" s="25"/>
      <c r="B925" s="2" t="s">
        <v>7875</v>
      </c>
      <c r="C925" s="3" t="s">
        <v>83</v>
      </c>
      <c r="D925" s="3" t="s">
        <v>2541</v>
      </c>
      <c r="E925" s="3" t="s">
        <v>2341</v>
      </c>
      <c r="F925" s="3" t="s">
        <v>2542</v>
      </c>
      <c r="G925" s="3" t="s">
        <v>2544</v>
      </c>
      <c r="H925" s="2" t="s">
        <v>88</v>
      </c>
      <c r="I925" s="4">
        <v>0</v>
      </c>
      <c r="J925" s="5">
        <v>710000000</v>
      </c>
      <c r="K925" s="5" t="s">
        <v>89</v>
      </c>
      <c r="L925" s="2" t="s">
        <v>754</v>
      </c>
      <c r="M925" s="6" t="s">
        <v>787</v>
      </c>
      <c r="N925" s="7" t="s">
        <v>92</v>
      </c>
      <c r="O925" s="7" t="s">
        <v>93</v>
      </c>
      <c r="P925" s="3" t="s">
        <v>673</v>
      </c>
      <c r="Q925" s="8" t="s">
        <v>522</v>
      </c>
      <c r="R925" s="7" t="s">
        <v>523</v>
      </c>
      <c r="S925" s="9">
        <f>5+5</f>
        <v>10</v>
      </c>
      <c r="T925" s="9">
        <v>20303.57</v>
      </c>
      <c r="U925" s="9">
        <v>0</v>
      </c>
      <c r="V925" s="9">
        <f t="shared" ref="V925" si="576">U925*1.12</f>
        <v>0</v>
      </c>
      <c r="W925" s="7"/>
      <c r="X925" s="2">
        <v>2016</v>
      </c>
      <c r="Y925" s="2">
        <v>11</v>
      </c>
    </row>
    <row r="926" spans="1:25" s="11" customFormat="1" ht="102" customHeight="1" outlineLevel="1" x14ac:dyDescent="0.25">
      <c r="A926" s="1"/>
      <c r="B926" s="2" t="s">
        <v>9171</v>
      </c>
      <c r="C926" s="3" t="s">
        <v>83</v>
      </c>
      <c r="D926" s="3" t="s">
        <v>2541</v>
      </c>
      <c r="E926" s="3" t="s">
        <v>2341</v>
      </c>
      <c r="F926" s="3" t="s">
        <v>2542</v>
      </c>
      <c r="G926" s="3" t="s">
        <v>2544</v>
      </c>
      <c r="H926" s="2" t="s">
        <v>88</v>
      </c>
      <c r="I926" s="4">
        <v>0</v>
      </c>
      <c r="J926" s="5">
        <v>710000000</v>
      </c>
      <c r="K926" s="5" t="s">
        <v>89</v>
      </c>
      <c r="L926" s="5" t="s">
        <v>9114</v>
      </c>
      <c r="M926" s="6" t="s">
        <v>787</v>
      </c>
      <c r="N926" s="7" t="s">
        <v>92</v>
      </c>
      <c r="O926" s="7" t="s">
        <v>93</v>
      </c>
      <c r="P926" s="3" t="s">
        <v>673</v>
      </c>
      <c r="Q926" s="8" t="s">
        <v>522</v>
      </c>
      <c r="R926" s="7" t="s">
        <v>523</v>
      </c>
      <c r="S926" s="9">
        <f>5+5</f>
        <v>10</v>
      </c>
      <c r="T926" s="9">
        <v>20303.57</v>
      </c>
      <c r="U926" s="9">
        <f t="shared" ref="U926" si="577">T926*S926</f>
        <v>203035.7</v>
      </c>
      <c r="V926" s="9">
        <f t="shared" ref="V926" si="578">U926*1.12</f>
        <v>227399.98400000003</v>
      </c>
      <c r="W926" s="7"/>
      <c r="X926" s="2">
        <v>2016</v>
      </c>
      <c r="Y926" s="2"/>
    </row>
    <row r="927" spans="1:25" s="11" customFormat="1" ht="114.75" customHeight="1" outlineLevel="1" x14ac:dyDescent="0.2">
      <c r="A927" s="25"/>
      <c r="B927" s="2" t="s">
        <v>5976</v>
      </c>
      <c r="C927" s="3" t="s">
        <v>83</v>
      </c>
      <c r="D927" s="3" t="s">
        <v>2340</v>
      </c>
      <c r="E927" s="19" t="s">
        <v>2341</v>
      </c>
      <c r="F927" s="19" t="s">
        <v>2342</v>
      </c>
      <c r="G927" s="19" t="s">
        <v>2343</v>
      </c>
      <c r="H927" s="2" t="s">
        <v>88</v>
      </c>
      <c r="I927" s="4">
        <v>0.4</v>
      </c>
      <c r="J927" s="5">
        <v>710000000</v>
      </c>
      <c r="K927" s="5" t="s">
        <v>89</v>
      </c>
      <c r="L927" s="2" t="s">
        <v>754</v>
      </c>
      <c r="M927" s="6" t="s">
        <v>91</v>
      </c>
      <c r="N927" s="7" t="s">
        <v>92</v>
      </c>
      <c r="O927" s="7" t="s">
        <v>93</v>
      </c>
      <c r="P927" s="3" t="s">
        <v>94</v>
      </c>
      <c r="Q927" s="8">
        <v>796</v>
      </c>
      <c r="R927" s="7" t="s">
        <v>118</v>
      </c>
      <c r="S927" s="9">
        <v>184</v>
      </c>
      <c r="T927" s="9">
        <v>437.95</v>
      </c>
      <c r="U927" s="9">
        <v>0</v>
      </c>
      <c r="V927" s="9">
        <f t="shared" si="563"/>
        <v>0</v>
      </c>
      <c r="W927" s="7" t="s">
        <v>97</v>
      </c>
      <c r="X927" s="2">
        <v>2016</v>
      </c>
      <c r="Y927" s="2" t="s">
        <v>7793</v>
      </c>
    </row>
    <row r="928" spans="1:25" s="11" customFormat="1" ht="114.75" customHeight="1" outlineLevel="1" x14ac:dyDescent="0.2">
      <c r="A928" s="25"/>
      <c r="B928" s="2" t="s">
        <v>7876</v>
      </c>
      <c r="C928" s="3" t="s">
        <v>83</v>
      </c>
      <c r="D928" s="3" t="s">
        <v>2340</v>
      </c>
      <c r="E928" s="19" t="s">
        <v>2341</v>
      </c>
      <c r="F928" s="19" t="s">
        <v>2342</v>
      </c>
      <c r="G928" s="19" t="s">
        <v>2343</v>
      </c>
      <c r="H928" s="2" t="s">
        <v>88</v>
      </c>
      <c r="I928" s="4">
        <v>0</v>
      </c>
      <c r="J928" s="5">
        <v>710000000</v>
      </c>
      <c r="K928" s="5" t="s">
        <v>89</v>
      </c>
      <c r="L928" s="2" t="s">
        <v>754</v>
      </c>
      <c r="M928" s="6" t="s">
        <v>91</v>
      </c>
      <c r="N928" s="7" t="s">
        <v>92</v>
      </c>
      <c r="O928" s="7" t="s">
        <v>93</v>
      </c>
      <c r="P928" s="3" t="s">
        <v>673</v>
      </c>
      <c r="Q928" s="8">
        <v>796</v>
      </c>
      <c r="R928" s="7" t="s">
        <v>118</v>
      </c>
      <c r="S928" s="9">
        <v>184</v>
      </c>
      <c r="T928" s="9">
        <v>437.95</v>
      </c>
      <c r="U928" s="9">
        <v>0</v>
      </c>
      <c r="V928" s="9">
        <f t="shared" ref="V928" si="579">U928*1.12</f>
        <v>0</v>
      </c>
      <c r="W928" s="7"/>
      <c r="X928" s="2">
        <v>2016</v>
      </c>
      <c r="Y928" s="2">
        <v>11</v>
      </c>
    </row>
    <row r="929" spans="1:25" s="11" customFormat="1" ht="114.75" customHeight="1" outlineLevel="1" x14ac:dyDescent="0.25">
      <c r="A929" s="1"/>
      <c r="B929" s="2" t="s">
        <v>9172</v>
      </c>
      <c r="C929" s="3" t="s">
        <v>83</v>
      </c>
      <c r="D929" s="3" t="s">
        <v>2340</v>
      </c>
      <c r="E929" s="19" t="s">
        <v>2341</v>
      </c>
      <c r="F929" s="19" t="s">
        <v>2342</v>
      </c>
      <c r="G929" s="19" t="s">
        <v>2343</v>
      </c>
      <c r="H929" s="2" t="s">
        <v>88</v>
      </c>
      <c r="I929" s="4">
        <v>0</v>
      </c>
      <c r="J929" s="5">
        <v>710000000</v>
      </c>
      <c r="K929" s="5" t="s">
        <v>89</v>
      </c>
      <c r="L929" s="5" t="s">
        <v>9114</v>
      </c>
      <c r="M929" s="6" t="s">
        <v>91</v>
      </c>
      <c r="N929" s="7" t="s">
        <v>92</v>
      </c>
      <c r="O929" s="7" t="s">
        <v>93</v>
      </c>
      <c r="P929" s="3" t="s">
        <v>673</v>
      </c>
      <c r="Q929" s="8">
        <v>796</v>
      </c>
      <c r="R929" s="7" t="s">
        <v>118</v>
      </c>
      <c r="S929" s="9">
        <v>184</v>
      </c>
      <c r="T929" s="9">
        <v>437.95</v>
      </c>
      <c r="U929" s="9">
        <f t="shared" ref="U929" si="580">T929*S929</f>
        <v>80582.8</v>
      </c>
      <c r="V929" s="9">
        <f t="shared" ref="V929" si="581">U929*1.12</f>
        <v>90252.736000000019</v>
      </c>
      <c r="W929" s="7"/>
      <c r="X929" s="2">
        <v>2016</v>
      </c>
      <c r="Y929" s="2"/>
    </row>
    <row r="930" spans="1:25" s="20" customFormat="1" ht="89.25" customHeight="1" outlineLevel="1" x14ac:dyDescent="0.25">
      <c r="A930" s="1"/>
      <c r="B930" s="2" t="s">
        <v>5977</v>
      </c>
      <c r="C930" s="3" t="s">
        <v>83</v>
      </c>
      <c r="D930" s="3" t="s">
        <v>2466</v>
      </c>
      <c r="E930" s="19" t="s">
        <v>2341</v>
      </c>
      <c r="F930" s="19" t="s">
        <v>2467</v>
      </c>
      <c r="G930" s="19" t="s">
        <v>2545</v>
      </c>
      <c r="H930" s="2" t="s">
        <v>88</v>
      </c>
      <c r="I930" s="4">
        <v>0.4</v>
      </c>
      <c r="J930" s="5">
        <v>710000000</v>
      </c>
      <c r="K930" s="5" t="s">
        <v>89</v>
      </c>
      <c r="L930" s="2" t="s">
        <v>754</v>
      </c>
      <c r="M930" s="6" t="s">
        <v>91</v>
      </c>
      <c r="N930" s="7" t="s">
        <v>92</v>
      </c>
      <c r="O930" s="7" t="s">
        <v>93</v>
      </c>
      <c r="P930" s="3" t="s">
        <v>94</v>
      </c>
      <c r="Q930" s="8">
        <v>796</v>
      </c>
      <c r="R930" s="7" t="s">
        <v>118</v>
      </c>
      <c r="S930" s="9">
        <v>292</v>
      </c>
      <c r="T930" s="9">
        <v>344.35</v>
      </c>
      <c r="U930" s="9">
        <v>100550.20000000001</v>
      </c>
      <c r="V930" s="9">
        <v>112616.22400000002</v>
      </c>
      <c r="W930" s="7" t="s">
        <v>97</v>
      </c>
      <c r="X930" s="2">
        <v>2016</v>
      </c>
      <c r="Y930" s="2"/>
    </row>
    <row r="931" spans="1:25" s="20" customFormat="1" ht="89.25" customHeight="1" outlineLevel="1" x14ac:dyDescent="0.2">
      <c r="A931" s="25"/>
      <c r="B931" s="2" t="s">
        <v>5978</v>
      </c>
      <c r="C931" s="3" t="s">
        <v>83</v>
      </c>
      <c r="D931" s="6" t="s">
        <v>2522</v>
      </c>
      <c r="E931" s="6" t="s">
        <v>2523</v>
      </c>
      <c r="F931" s="6" t="s">
        <v>2524</v>
      </c>
      <c r="G931" s="6" t="s">
        <v>2525</v>
      </c>
      <c r="H931" s="2" t="s">
        <v>88</v>
      </c>
      <c r="I931" s="4">
        <v>0.4</v>
      </c>
      <c r="J931" s="5">
        <v>710000000</v>
      </c>
      <c r="K931" s="5" t="s">
        <v>89</v>
      </c>
      <c r="L931" s="2" t="s">
        <v>754</v>
      </c>
      <c r="M931" s="6" t="s">
        <v>91</v>
      </c>
      <c r="N931" s="7" t="s">
        <v>92</v>
      </c>
      <c r="O931" s="7" t="s">
        <v>93</v>
      </c>
      <c r="P931" s="3" t="s">
        <v>94</v>
      </c>
      <c r="Q931" s="8">
        <v>796</v>
      </c>
      <c r="R931" s="7" t="s">
        <v>118</v>
      </c>
      <c r="S931" s="9">
        <v>100</v>
      </c>
      <c r="T931" s="9">
        <v>520</v>
      </c>
      <c r="U931" s="9">
        <v>0</v>
      </c>
      <c r="V931" s="9">
        <f t="shared" si="563"/>
        <v>0</v>
      </c>
      <c r="W931" s="7" t="s">
        <v>97</v>
      </c>
      <c r="X931" s="2">
        <v>2016</v>
      </c>
      <c r="Y931" s="2" t="s">
        <v>7793</v>
      </c>
    </row>
    <row r="932" spans="1:25" s="20" customFormat="1" ht="89.25" customHeight="1" outlineLevel="1" x14ac:dyDescent="0.2">
      <c r="A932" s="25"/>
      <c r="B932" s="2" t="s">
        <v>7877</v>
      </c>
      <c r="C932" s="3" t="s">
        <v>83</v>
      </c>
      <c r="D932" s="6" t="s">
        <v>2522</v>
      </c>
      <c r="E932" s="6" t="s">
        <v>2523</v>
      </c>
      <c r="F932" s="6" t="s">
        <v>2524</v>
      </c>
      <c r="G932" s="6" t="s">
        <v>2525</v>
      </c>
      <c r="H932" s="2" t="s">
        <v>88</v>
      </c>
      <c r="I932" s="4">
        <v>0</v>
      </c>
      <c r="J932" s="5">
        <v>710000000</v>
      </c>
      <c r="K932" s="5" t="s">
        <v>89</v>
      </c>
      <c r="L932" s="2" t="s">
        <v>754</v>
      </c>
      <c r="M932" s="6" t="s">
        <v>91</v>
      </c>
      <c r="N932" s="7" t="s">
        <v>92</v>
      </c>
      <c r="O932" s="7" t="s">
        <v>93</v>
      </c>
      <c r="P932" s="3" t="s">
        <v>673</v>
      </c>
      <c r="Q932" s="8">
        <v>796</v>
      </c>
      <c r="R932" s="7" t="s">
        <v>118</v>
      </c>
      <c r="S932" s="9">
        <v>100</v>
      </c>
      <c r="T932" s="9">
        <v>520</v>
      </c>
      <c r="U932" s="9">
        <v>0</v>
      </c>
      <c r="V932" s="9">
        <f t="shared" ref="V932" si="582">U932*1.12</f>
        <v>0</v>
      </c>
      <c r="W932" s="7"/>
      <c r="X932" s="2">
        <v>2016</v>
      </c>
      <c r="Y932" s="2">
        <v>11</v>
      </c>
    </row>
    <row r="933" spans="1:25" s="20" customFormat="1" ht="89.25" customHeight="1" outlineLevel="1" x14ac:dyDescent="0.25">
      <c r="A933" s="1"/>
      <c r="B933" s="2" t="s">
        <v>9173</v>
      </c>
      <c r="C933" s="3" t="s">
        <v>83</v>
      </c>
      <c r="D933" s="6" t="s">
        <v>2522</v>
      </c>
      <c r="E933" s="6" t="s">
        <v>2523</v>
      </c>
      <c r="F933" s="6" t="s">
        <v>2524</v>
      </c>
      <c r="G933" s="6" t="s">
        <v>2525</v>
      </c>
      <c r="H933" s="2" t="s">
        <v>88</v>
      </c>
      <c r="I933" s="4">
        <v>0</v>
      </c>
      <c r="J933" s="5">
        <v>710000000</v>
      </c>
      <c r="K933" s="5" t="s">
        <v>89</v>
      </c>
      <c r="L933" s="5" t="s">
        <v>9114</v>
      </c>
      <c r="M933" s="6" t="s">
        <v>91</v>
      </c>
      <c r="N933" s="7" t="s">
        <v>92</v>
      </c>
      <c r="O933" s="7" t="s">
        <v>93</v>
      </c>
      <c r="P933" s="3" t="s">
        <v>673</v>
      </c>
      <c r="Q933" s="8">
        <v>796</v>
      </c>
      <c r="R933" s="7" t="s">
        <v>118</v>
      </c>
      <c r="S933" s="9">
        <v>100</v>
      </c>
      <c r="T933" s="9">
        <v>520</v>
      </c>
      <c r="U933" s="9">
        <f t="shared" ref="U933" si="583">T933*S933</f>
        <v>52000</v>
      </c>
      <c r="V933" s="9">
        <f t="shared" ref="V933" si="584">U933*1.12</f>
        <v>58240.000000000007</v>
      </c>
      <c r="W933" s="7"/>
      <c r="X933" s="2">
        <v>2016</v>
      </c>
      <c r="Y933" s="2"/>
    </row>
    <row r="934" spans="1:25" s="20" customFormat="1" ht="191.25" customHeight="1" outlineLevel="1" x14ac:dyDescent="0.25">
      <c r="A934" s="1"/>
      <c r="B934" s="2" t="s">
        <v>5979</v>
      </c>
      <c r="C934" s="3" t="s">
        <v>83</v>
      </c>
      <c r="D934" s="6" t="s">
        <v>2503</v>
      </c>
      <c r="E934" s="6" t="s">
        <v>2374</v>
      </c>
      <c r="F934" s="6" t="s">
        <v>2504</v>
      </c>
      <c r="G934" s="6" t="s">
        <v>2505</v>
      </c>
      <c r="H934" s="2" t="s">
        <v>88</v>
      </c>
      <c r="I934" s="4">
        <v>0.4</v>
      </c>
      <c r="J934" s="5">
        <v>710000000</v>
      </c>
      <c r="K934" s="5" t="s">
        <v>89</v>
      </c>
      <c r="L934" s="2" t="s">
        <v>754</v>
      </c>
      <c r="M934" s="6" t="s">
        <v>91</v>
      </c>
      <c r="N934" s="7" t="s">
        <v>92</v>
      </c>
      <c r="O934" s="7" t="s">
        <v>93</v>
      </c>
      <c r="P934" s="3" t="s">
        <v>94</v>
      </c>
      <c r="Q934" s="8">
        <v>796</v>
      </c>
      <c r="R934" s="7" t="s">
        <v>118</v>
      </c>
      <c r="S934" s="9">
        <f>370+20</f>
        <v>390</v>
      </c>
      <c r="T934" s="9">
        <v>144.05000000000001</v>
      </c>
      <c r="U934" s="9">
        <v>56179.500000000007</v>
      </c>
      <c r="V934" s="9">
        <v>62921.040000000015</v>
      </c>
      <c r="W934" s="7" t="s">
        <v>97</v>
      </c>
      <c r="X934" s="2">
        <v>2016</v>
      </c>
      <c r="Y934" s="2"/>
    </row>
    <row r="935" spans="1:25" s="20" customFormat="1" ht="89.25" customHeight="1" outlineLevel="1" x14ac:dyDescent="0.2">
      <c r="A935" s="25"/>
      <c r="B935" s="2" t="s">
        <v>5980</v>
      </c>
      <c r="C935" s="41" t="s">
        <v>83</v>
      </c>
      <c r="D935" s="42" t="s">
        <v>2496</v>
      </c>
      <c r="E935" s="42" t="s">
        <v>2497</v>
      </c>
      <c r="F935" s="42" t="s">
        <v>2498</v>
      </c>
      <c r="G935" s="42"/>
      <c r="H935" s="2" t="s">
        <v>88</v>
      </c>
      <c r="I935" s="4">
        <v>0.4</v>
      </c>
      <c r="J935" s="43">
        <v>710000000</v>
      </c>
      <c r="K935" s="43" t="s">
        <v>89</v>
      </c>
      <c r="L935" s="2" t="s">
        <v>754</v>
      </c>
      <c r="M935" s="42" t="s">
        <v>91</v>
      </c>
      <c r="N935" s="44" t="s">
        <v>92</v>
      </c>
      <c r="O935" s="44" t="s">
        <v>93</v>
      </c>
      <c r="P935" s="3" t="s">
        <v>94</v>
      </c>
      <c r="Q935" s="45">
        <v>796</v>
      </c>
      <c r="R935" s="44" t="s">
        <v>118</v>
      </c>
      <c r="S935" s="46">
        <v>50</v>
      </c>
      <c r="T935" s="46">
        <v>955</v>
      </c>
      <c r="U935" s="46">
        <v>0</v>
      </c>
      <c r="V935" s="46">
        <f t="shared" si="563"/>
        <v>0</v>
      </c>
      <c r="W935" s="7" t="s">
        <v>97</v>
      </c>
      <c r="X935" s="2">
        <v>2016</v>
      </c>
      <c r="Y935" s="2" t="s">
        <v>7793</v>
      </c>
    </row>
    <row r="936" spans="1:25" s="20" customFormat="1" ht="89.25" customHeight="1" outlineLevel="1" x14ac:dyDescent="0.2">
      <c r="A936" s="25"/>
      <c r="B936" s="2" t="s">
        <v>7878</v>
      </c>
      <c r="C936" s="41" t="s">
        <v>83</v>
      </c>
      <c r="D936" s="42" t="s">
        <v>2496</v>
      </c>
      <c r="E936" s="42" t="s">
        <v>2497</v>
      </c>
      <c r="F936" s="42" t="s">
        <v>2498</v>
      </c>
      <c r="G936" s="42"/>
      <c r="H936" s="2" t="s">
        <v>88</v>
      </c>
      <c r="I936" s="4">
        <v>0</v>
      </c>
      <c r="J936" s="43">
        <v>710000000</v>
      </c>
      <c r="K936" s="43" t="s">
        <v>89</v>
      </c>
      <c r="L936" s="2" t="s">
        <v>754</v>
      </c>
      <c r="M936" s="42" t="s">
        <v>91</v>
      </c>
      <c r="N936" s="44" t="s">
        <v>92</v>
      </c>
      <c r="O936" s="44" t="s">
        <v>93</v>
      </c>
      <c r="P936" s="3" t="s">
        <v>673</v>
      </c>
      <c r="Q936" s="45">
        <v>796</v>
      </c>
      <c r="R936" s="44" t="s">
        <v>118</v>
      </c>
      <c r="S936" s="46">
        <v>50</v>
      </c>
      <c r="T936" s="46">
        <v>955</v>
      </c>
      <c r="U936" s="46">
        <v>0</v>
      </c>
      <c r="V936" s="46">
        <f t="shared" ref="V936" si="585">U936*1.12</f>
        <v>0</v>
      </c>
      <c r="W936" s="7"/>
      <c r="X936" s="2">
        <v>2016</v>
      </c>
      <c r="Y936" s="47">
        <v>11</v>
      </c>
    </row>
    <row r="937" spans="1:25" s="20" customFormat="1" ht="89.25" customHeight="1" outlineLevel="1" x14ac:dyDescent="0.25">
      <c r="A937" s="1"/>
      <c r="B937" s="2" t="s">
        <v>9174</v>
      </c>
      <c r="C937" s="41" t="s">
        <v>83</v>
      </c>
      <c r="D937" s="42" t="s">
        <v>2496</v>
      </c>
      <c r="E937" s="42" t="s">
        <v>2497</v>
      </c>
      <c r="F937" s="42" t="s">
        <v>2498</v>
      </c>
      <c r="G937" s="42"/>
      <c r="H937" s="2" t="s">
        <v>88</v>
      </c>
      <c r="I937" s="4">
        <v>0</v>
      </c>
      <c r="J937" s="43">
        <v>710000000</v>
      </c>
      <c r="K937" s="43" t="s">
        <v>89</v>
      </c>
      <c r="L937" s="5" t="s">
        <v>9114</v>
      </c>
      <c r="M937" s="42" t="s">
        <v>91</v>
      </c>
      <c r="N937" s="44" t="s">
        <v>92</v>
      </c>
      <c r="O937" s="44" t="s">
        <v>93</v>
      </c>
      <c r="P937" s="3" t="s">
        <v>673</v>
      </c>
      <c r="Q937" s="45">
        <v>796</v>
      </c>
      <c r="R937" s="44" t="s">
        <v>118</v>
      </c>
      <c r="S937" s="46">
        <v>50</v>
      </c>
      <c r="T937" s="46">
        <v>955</v>
      </c>
      <c r="U937" s="46">
        <f t="shared" ref="U937" si="586">T937*S937</f>
        <v>47750</v>
      </c>
      <c r="V937" s="46">
        <f t="shared" ref="V937" si="587">U937*1.12</f>
        <v>53480.000000000007</v>
      </c>
      <c r="W937" s="7"/>
      <c r="X937" s="2">
        <v>2016</v>
      </c>
      <c r="Y937" s="47"/>
    </row>
    <row r="938" spans="1:25" s="20" customFormat="1" ht="89.25" customHeight="1" outlineLevel="1" x14ac:dyDescent="0.2">
      <c r="A938" s="25"/>
      <c r="B938" s="2" t="s">
        <v>5981</v>
      </c>
      <c r="C938" s="6" t="s">
        <v>83</v>
      </c>
      <c r="D938" s="6" t="s">
        <v>2526</v>
      </c>
      <c r="E938" s="6" t="s">
        <v>2527</v>
      </c>
      <c r="F938" s="6" t="s">
        <v>2528</v>
      </c>
      <c r="G938" s="6" t="s">
        <v>2546</v>
      </c>
      <c r="H938" s="2" t="s">
        <v>88</v>
      </c>
      <c r="I938" s="4">
        <v>0.4</v>
      </c>
      <c r="J938" s="6">
        <v>710000000</v>
      </c>
      <c r="K938" s="6" t="s">
        <v>89</v>
      </c>
      <c r="L938" s="2" t="s">
        <v>754</v>
      </c>
      <c r="M938" s="6" t="s">
        <v>91</v>
      </c>
      <c r="N938" s="6" t="s">
        <v>92</v>
      </c>
      <c r="O938" s="6" t="s">
        <v>93</v>
      </c>
      <c r="P938" s="3" t="s">
        <v>94</v>
      </c>
      <c r="Q938" s="6">
        <v>796</v>
      </c>
      <c r="R938" s="6" t="s">
        <v>118</v>
      </c>
      <c r="S938" s="9">
        <v>110</v>
      </c>
      <c r="T938" s="9">
        <v>500</v>
      </c>
      <c r="U938" s="9">
        <v>0</v>
      </c>
      <c r="V938" s="9">
        <f>U938*1.12</f>
        <v>0</v>
      </c>
      <c r="W938" s="7" t="s">
        <v>97</v>
      </c>
      <c r="X938" s="2">
        <v>2016</v>
      </c>
      <c r="Y938" s="2" t="s">
        <v>7793</v>
      </c>
    </row>
    <row r="939" spans="1:25" s="20" customFormat="1" ht="89.25" customHeight="1" outlineLevel="1" x14ac:dyDescent="0.2">
      <c r="A939" s="25"/>
      <c r="B939" s="2" t="s">
        <v>7879</v>
      </c>
      <c r="C939" s="6" t="s">
        <v>83</v>
      </c>
      <c r="D939" s="6" t="s">
        <v>2526</v>
      </c>
      <c r="E939" s="6" t="s">
        <v>2527</v>
      </c>
      <c r="F939" s="6" t="s">
        <v>2528</v>
      </c>
      <c r="G939" s="6" t="s">
        <v>2546</v>
      </c>
      <c r="H939" s="2" t="s">
        <v>88</v>
      </c>
      <c r="I939" s="4">
        <v>0</v>
      </c>
      <c r="J939" s="6">
        <v>710000000</v>
      </c>
      <c r="K939" s="6" t="s">
        <v>89</v>
      </c>
      <c r="L939" s="2" t="s">
        <v>754</v>
      </c>
      <c r="M939" s="6" t="s">
        <v>91</v>
      </c>
      <c r="N939" s="6" t="s">
        <v>92</v>
      </c>
      <c r="O939" s="6" t="s">
        <v>93</v>
      </c>
      <c r="P939" s="3" t="s">
        <v>673</v>
      </c>
      <c r="Q939" s="6">
        <v>796</v>
      </c>
      <c r="R939" s="6" t="s">
        <v>118</v>
      </c>
      <c r="S939" s="9">
        <v>110</v>
      </c>
      <c r="T939" s="9">
        <v>500</v>
      </c>
      <c r="U939" s="9">
        <v>0</v>
      </c>
      <c r="V939" s="9">
        <f>U939*1.12</f>
        <v>0</v>
      </c>
      <c r="W939" s="7"/>
      <c r="X939" s="2">
        <v>2016</v>
      </c>
      <c r="Y939" s="6">
        <v>11</v>
      </c>
    </row>
    <row r="940" spans="1:25" s="20" customFormat="1" ht="89.25" customHeight="1" outlineLevel="1" x14ac:dyDescent="0.25">
      <c r="A940" s="1"/>
      <c r="B940" s="2" t="s">
        <v>9175</v>
      </c>
      <c r="C940" s="6" t="s">
        <v>83</v>
      </c>
      <c r="D940" s="6" t="s">
        <v>2526</v>
      </c>
      <c r="E940" s="6" t="s">
        <v>2527</v>
      </c>
      <c r="F940" s="6" t="s">
        <v>2528</v>
      </c>
      <c r="G940" s="6" t="s">
        <v>2546</v>
      </c>
      <c r="H940" s="2" t="s">
        <v>88</v>
      </c>
      <c r="I940" s="4">
        <v>0</v>
      </c>
      <c r="J940" s="6">
        <v>710000000</v>
      </c>
      <c r="K940" s="6" t="s">
        <v>89</v>
      </c>
      <c r="L940" s="5" t="s">
        <v>9114</v>
      </c>
      <c r="M940" s="6" t="s">
        <v>91</v>
      </c>
      <c r="N940" s="6" t="s">
        <v>92</v>
      </c>
      <c r="O940" s="6" t="s">
        <v>93</v>
      </c>
      <c r="P940" s="3" t="s">
        <v>673</v>
      </c>
      <c r="Q940" s="6">
        <v>796</v>
      </c>
      <c r="R940" s="6" t="s">
        <v>118</v>
      </c>
      <c r="S940" s="9">
        <v>110</v>
      </c>
      <c r="T940" s="9">
        <v>500</v>
      </c>
      <c r="U940" s="9">
        <f>T940*S940</f>
        <v>55000</v>
      </c>
      <c r="V940" s="9">
        <f>U940*1.12</f>
        <v>61600.000000000007</v>
      </c>
      <c r="W940" s="7"/>
      <c r="X940" s="2">
        <v>2016</v>
      </c>
      <c r="Y940" s="6"/>
    </row>
    <row r="941" spans="1:25" s="36" customFormat="1" ht="216.75" customHeight="1" outlineLevel="1" x14ac:dyDescent="0.2">
      <c r="A941" s="25"/>
      <c r="B941" s="2" t="s">
        <v>5982</v>
      </c>
      <c r="C941" s="6" t="s">
        <v>83</v>
      </c>
      <c r="D941" s="6" t="s">
        <v>2344</v>
      </c>
      <c r="E941" s="6" t="s">
        <v>2341</v>
      </c>
      <c r="F941" s="6" t="s">
        <v>2345</v>
      </c>
      <c r="G941" s="6" t="s">
        <v>2346</v>
      </c>
      <c r="H941" s="2" t="s">
        <v>88</v>
      </c>
      <c r="I941" s="4">
        <v>0.4</v>
      </c>
      <c r="J941" s="6">
        <v>710000000</v>
      </c>
      <c r="K941" s="6" t="s">
        <v>89</v>
      </c>
      <c r="L941" s="2" t="s">
        <v>754</v>
      </c>
      <c r="M941" s="6" t="s">
        <v>91</v>
      </c>
      <c r="N941" s="6" t="s">
        <v>92</v>
      </c>
      <c r="O941" s="6" t="s">
        <v>93</v>
      </c>
      <c r="P941" s="3" t="s">
        <v>94</v>
      </c>
      <c r="Q941" s="6">
        <v>796</v>
      </c>
      <c r="R941" s="6" t="s">
        <v>118</v>
      </c>
      <c r="S941" s="9">
        <v>220</v>
      </c>
      <c r="T941" s="9">
        <v>377</v>
      </c>
      <c r="U941" s="9">
        <v>0</v>
      </c>
      <c r="V941" s="9">
        <f t="shared" ref="V941:V1093" si="588">U941*1.12</f>
        <v>0</v>
      </c>
      <c r="W941" s="7" t="s">
        <v>97</v>
      </c>
      <c r="X941" s="2">
        <v>2016</v>
      </c>
      <c r="Y941" s="2" t="s">
        <v>7793</v>
      </c>
    </row>
    <row r="942" spans="1:25" s="36" customFormat="1" ht="216.75" customHeight="1" outlineLevel="1" x14ac:dyDescent="0.2">
      <c r="A942" s="25"/>
      <c r="B942" s="2" t="s">
        <v>7880</v>
      </c>
      <c r="C942" s="6" t="s">
        <v>83</v>
      </c>
      <c r="D942" s="6" t="s">
        <v>2344</v>
      </c>
      <c r="E942" s="6" t="s">
        <v>2341</v>
      </c>
      <c r="F942" s="6" t="s">
        <v>2345</v>
      </c>
      <c r="G942" s="6" t="s">
        <v>2346</v>
      </c>
      <c r="H942" s="2" t="s">
        <v>88</v>
      </c>
      <c r="I942" s="4">
        <v>0</v>
      </c>
      <c r="J942" s="6">
        <v>710000000</v>
      </c>
      <c r="K942" s="6" t="s">
        <v>89</v>
      </c>
      <c r="L942" s="2" t="s">
        <v>754</v>
      </c>
      <c r="M942" s="6" t="s">
        <v>91</v>
      </c>
      <c r="N942" s="6" t="s">
        <v>92</v>
      </c>
      <c r="O942" s="6" t="s">
        <v>93</v>
      </c>
      <c r="P942" s="3" t="s">
        <v>673</v>
      </c>
      <c r="Q942" s="6">
        <v>796</v>
      </c>
      <c r="R942" s="6" t="s">
        <v>118</v>
      </c>
      <c r="S942" s="9">
        <v>220</v>
      </c>
      <c r="T942" s="9">
        <v>377</v>
      </c>
      <c r="U942" s="9">
        <v>0</v>
      </c>
      <c r="V942" s="9">
        <f t="shared" ref="V942" si="589">U942*1.12</f>
        <v>0</v>
      </c>
      <c r="W942" s="7"/>
      <c r="X942" s="2">
        <v>2016</v>
      </c>
      <c r="Y942" s="6">
        <v>11</v>
      </c>
    </row>
    <row r="943" spans="1:25" s="36" customFormat="1" ht="216.75" customHeight="1" outlineLevel="1" x14ac:dyDescent="0.25">
      <c r="A943" s="1"/>
      <c r="B943" s="2" t="s">
        <v>9176</v>
      </c>
      <c r="C943" s="6" t="s">
        <v>83</v>
      </c>
      <c r="D943" s="6" t="s">
        <v>2344</v>
      </c>
      <c r="E943" s="6" t="s">
        <v>2341</v>
      </c>
      <c r="F943" s="6" t="s">
        <v>2345</v>
      </c>
      <c r="G943" s="6" t="s">
        <v>2346</v>
      </c>
      <c r="H943" s="2" t="s">
        <v>88</v>
      </c>
      <c r="I943" s="4">
        <v>0</v>
      </c>
      <c r="J943" s="6">
        <v>710000000</v>
      </c>
      <c r="K943" s="6" t="s">
        <v>89</v>
      </c>
      <c r="L943" s="5" t="s">
        <v>9114</v>
      </c>
      <c r="M943" s="6" t="s">
        <v>91</v>
      </c>
      <c r="N943" s="6" t="s">
        <v>92</v>
      </c>
      <c r="O943" s="6" t="s">
        <v>93</v>
      </c>
      <c r="P943" s="3" t="s">
        <v>673</v>
      </c>
      <c r="Q943" s="6">
        <v>796</v>
      </c>
      <c r="R943" s="6" t="s">
        <v>118</v>
      </c>
      <c r="S943" s="9">
        <v>220</v>
      </c>
      <c r="T943" s="9">
        <v>377</v>
      </c>
      <c r="U943" s="9">
        <f t="shared" ref="U943" si="590">T943*S943</f>
        <v>82940</v>
      </c>
      <c r="V943" s="9">
        <f t="shared" ref="V943" si="591">U943*1.12</f>
        <v>92892.800000000003</v>
      </c>
      <c r="W943" s="7"/>
      <c r="X943" s="2">
        <v>2016</v>
      </c>
      <c r="Y943" s="6"/>
    </row>
    <row r="944" spans="1:25" s="36" customFormat="1" ht="127.5" customHeight="1" outlineLevel="1" x14ac:dyDescent="0.25">
      <c r="A944" s="1"/>
      <c r="B944" s="2" t="s">
        <v>5983</v>
      </c>
      <c r="C944" s="6" t="s">
        <v>83</v>
      </c>
      <c r="D944" s="6" t="s">
        <v>2370</v>
      </c>
      <c r="E944" s="6" t="s">
        <v>2367</v>
      </c>
      <c r="F944" s="6" t="s">
        <v>2371</v>
      </c>
      <c r="G944" s="6" t="s">
        <v>2372</v>
      </c>
      <c r="H944" s="2" t="s">
        <v>88</v>
      </c>
      <c r="I944" s="4">
        <v>0.4</v>
      </c>
      <c r="J944" s="6">
        <v>710000000</v>
      </c>
      <c r="K944" s="6" t="s">
        <v>89</v>
      </c>
      <c r="L944" s="2" t="s">
        <v>754</v>
      </c>
      <c r="M944" s="6" t="s">
        <v>91</v>
      </c>
      <c r="N944" s="6" t="s">
        <v>92</v>
      </c>
      <c r="O944" s="6" t="s">
        <v>93</v>
      </c>
      <c r="P944" s="3" t="s">
        <v>94</v>
      </c>
      <c r="Q944" s="6">
        <v>796</v>
      </c>
      <c r="R944" s="6" t="s">
        <v>118</v>
      </c>
      <c r="S944" s="9">
        <v>75</v>
      </c>
      <c r="T944" s="9">
        <v>3850.45</v>
      </c>
      <c r="U944" s="9">
        <v>0</v>
      </c>
      <c r="V944" s="9">
        <f t="shared" si="588"/>
        <v>0</v>
      </c>
      <c r="W944" s="7" t="s">
        <v>97</v>
      </c>
      <c r="X944" s="2">
        <v>2016</v>
      </c>
      <c r="Y944" s="2" t="s">
        <v>7793</v>
      </c>
    </row>
    <row r="945" spans="1:25" s="36" customFormat="1" ht="127.5" customHeight="1" outlineLevel="1" x14ac:dyDescent="0.25">
      <c r="A945" s="1"/>
      <c r="B945" s="2" t="s">
        <v>7881</v>
      </c>
      <c r="C945" s="6" t="s">
        <v>83</v>
      </c>
      <c r="D945" s="6" t="s">
        <v>2370</v>
      </c>
      <c r="E945" s="6" t="s">
        <v>2367</v>
      </c>
      <c r="F945" s="6" t="s">
        <v>2371</v>
      </c>
      <c r="G945" s="6" t="s">
        <v>2372</v>
      </c>
      <c r="H945" s="2" t="s">
        <v>88</v>
      </c>
      <c r="I945" s="4">
        <v>0</v>
      </c>
      <c r="J945" s="6">
        <v>710000000</v>
      </c>
      <c r="K945" s="6" t="s">
        <v>89</v>
      </c>
      <c r="L945" s="2" t="s">
        <v>754</v>
      </c>
      <c r="M945" s="6" t="s">
        <v>91</v>
      </c>
      <c r="N945" s="6" t="s">
        <v>92</v>
      </c>
      <c r="O945" s="6" t="s">
        <v>93</v>
      </c>
      <c r="P945" s="3" t="s">
        <v>673</v>
      </c>
      <c r="Q945" s="6">
        <v>796</v>
      </c>
      <c r="R945" s="6" t="s">
        <v>118</v>
      </c>
      <c r="S945" s="9">
        <v>75</v>
      </c>
      <c r="T945" s="9">
        <v>3850.45</v>
      </c>
      <c r="U945" s="9">
        <v>0</v>
      </c>
      <c r="V945" s="9">
        <f t="shared" ref="V945" si="592">U945*1.12</f>
        <v>0</v>
      </c>
      <c r="W945" s="7"/>
      <c r="X945" s="2">
        <v>2016</v>
      </c>
      <c r="Y945" s="6" t="s">
        <v>2339</v>
      </c>
    </row>
    <row r="946" spans="1:25" s="36" customFormat="1" ht="127.5" customHeight="1" outlineLevel="1" x14ac:dyDescent="0.25">
      <c r="A946" s="1"/>
      <c r="B946" s="2" t="s">
        <v>9177</v>
      </c>
      <c r="C946" s="6" t="s">
        <v>83</v>
      </c>
      <c r="D946" s="6" t="s">
        <v>2370</v>
      </c>
      <c r="E946" s="6" t="s">
        <v>2367</v>
      </c>
      <c r="F946" s="6" t="s">
        <v>2371</v>
      </c>
      <c r="G946" s="6" t="s">
        <v>2372</v>
      </c>
      <c r="H946" s="2" t="s">
        <v>88</v>
      </c>
      <c r="I946" s="4">
        <v>0</v>
      </c>
      <c r="J946" s="6">
        <v>710000000</v>
      </c>
      <c r="K946" s="6" t="s">
        <v>89</v>
      </c>
      <c r="L946" s="5" t="s">
        <v>9114</v>
      </c>
      <c r="M946" s="6" t="s">
        <v>91</v>
      </c>
      <c r="N946" s="6" t="s">
        <v>92</v>
      </c>
      <c r="O946" s="6" t="s">
        <v>93</v>
      </c>
      <c r="P946" s="3" t="s">
        <v>673</v>
      </c>
      <c r="Q946" s="6">
        <v>796</v>
      </c>
      <c r="R946" s="6" t="s">
        <v>118</v>
      </c>
      <c r="S946" s="9">
        <v>65</v>
      </c>
      <c r="T946" s="9">
        <v>4400.8900000000003</v>
      </c>
      <c r="U946" s="9">
        <f t="shared" ref="U946" si="593">T946*S946</f>
        <v>286057.85000000003</v>
      </c>
      <c r="V946" s="9">
        <f t="shared" ref="V946" si="594">U946*1.12</f>
        <v>320384.79200000007</v>
      </c>
      <c r="W946" s="7"/>
      <c r="X946" s="2">
        <v>2016</v>
      </c>
      <c r="Y946" s="6"/>
    </row>
    <row r="947" spans="1:25" s="36" customFormat="1" ht="178.5" customHeight="1" outlineLevel="1" x14ac:dyDescent="0.2">
      <c r="A947" s="25"/>
      <c r="B947" s="2" t="s">
        <v>5984</v>
      </c>
      <c r="C947" s="6" t="s">
        <v>83</v>
      </c>
      <c r="D947" s="6" t="s">
        <v>2357</v>
      </c>
      <c r="E947" s="6" t="s">
        <v>2358</v>
      </c>
      <c r="F947" s="6" t="s">
        <v>2359</v>
      </c>
      <c r="G947" s="6" t="s">
        <v>2360</v>
      </c>
      <c r="H947" s="2" t="s">
        <v>88</v>
      </c>
      <c r="I947" s="4">
        <v>0.4</v>
      </c>
      <c r="J947" s="6">
        <v>710000000</v>
      </c>
      <c r="K947" s="6" t="s">
        <v>89</v>
      </c>
      <c r="L947" s="2" t="s">
        <v>754</v>
      </c>
      <c r="M947" s="6" t="s">
        <v>91</v>
      </c>
      <c r="N947" s="6" t="s">
        <v>92</v>
      </c>
      <c r="O947" s="6" t="s">
        <v>93</v>
      </c>
      <c r="P947" s="3" t="s">
        <v>94</v>
      </c>
      <c r="Q947" s="6" t="s">
        <v>2361</v>
      </c>
      <c r="R947" s="6" t="s">
        <v>2362</v>
      </c>
      <c r="S947" s="9">
        <v>175</v>
      </c>
      <c r="T947" s="9">
        <v>135.12</v>
      </c>
      <c r="U947" s="9">
        <v>0</v>
      </c>
      <c r="V947" s="9">
        <f t="shared" si="588"/>
        <v>0</v>
      </c>
      <c r="W947" s="7" t="s">
        <v>97</v>
      </c>
      <c r="X947" s="2">
        <v>2016</v>
      </c>
      <c r="Y947" s="2" t="s">
        <v>7793</v>
      </c>
    </row>
    <row r="948" spans="1:25" s="36" customFormat="1" ht="178.5" customHeight="1" outlineLevel="1" x14ac:dyDescent="0.2">
      <c r="A948" s="25"/>
      <c r="B948" s="2" t="s">
        <v>7882</v>
      </c>
      <c r="C948" s="6" t="s">
        <v>83</v>
      </c>
      <c r="D948" s="6" t="s">
        <v>2357</v>
      </c>
      <c r="E948" s="6" t="s">
        <v>2358</v>
      </c>
      <c r="F948" s="6" t="s">
        <v>2359</v>
      </c>
      <c r="G948" s="6" t="s">
        <v>2360</v>
      </c>
      <c r="H948" s="2" t="s">
        <v>88</v>
      </c>
      <c r="I948" s="4">
        <v>0</v>
      </c>
      <c r="J948" s="6">
        <v>710000000</v>
      </c>
      <c r="K948" s="6" t="s">
        <v>89</v>
      </c>
      <c r="L948" s="2" t="s">
        <v>754</v>
      </c>
      <c r="M948" s="6" t="s">
        <v>91</v>
      </c>
      <c r="N948" s="6" t="s">
        <v>92</v>
      </c>
      <c r="O948" s="6" t="s">
        <v>93</v>
      </c>
      <c r="P948" s="3" t="s">
        <v>673</v>
      </c>
      <c r="Q948" s="6" t="s">
        <v>2361</v>
      </c>
      <c r="R948" s="6" t="s">
        <v>2362</v>
      </c>
      <c r="S948" s="9">
        <v>175</v>
      </c>
      <c r="T948" s="9">
        <v>135.12</v>
      </c>
      <c r="U948" s="9">
        <v>0</v>
      </c>
      <c r="V948" s="9">
        <f t="shared" ref="V948" si="595">U948*1.12</f>
        <v>0</v>
      </c>
      <c r="W948" s="7"/>
      <c r="X948" s="2">
        <v>2016</v>
      </c>
      <c r="Y948" s="6">
        <v>11</v>
      </c>
    </row>
    <row r="949" spans="1:25" s="36" customFormat="1" ht="178.5" customHeight="1" outlineLevel="1" x14ac:dyDescent="0.25">
      <c r="A949" s="1"/>
      <c r="B949" s="2" t="s">
        <v>9178</v>
      </c>
      <c r="C949" s="6" t="s">
        <v>83</v>
      </c>
      <c r="D949" s="6" t="s">
        <v>2357</v>
      </c>
      <c r="E949" s="6" t="s">
        <v>2358</v>
      </c>
      <c r="F949" s="6" t="s">
        <v>2359</v>
      </c>
      <c r="G949" s="6" t="s">
        <v>2360</v>
      </c>
      <c r="H949" s="2" t="s">
        <v>88</v>
      </c>
      <c r="I949" s="4">
        <v>0</v>
      </c>
      <c r="J949" s="6">
        <v>710000000</v>
      </c>
      <c r="K949" s="6" t="s">
        <v>89</v>
      </c>
      <c r="L949" s="5" t="s">
        <v>9114</v>
      </c>
      <c r="M949" s="6" t="s">
        <v>91</v>
      </c>
      <c r="N949" s="6" t="s">
        <v>92</v>
      </c>
      <c r="O949" s="6" t="s">
        <v>93</v>
      </c>
      <c r="P949" s="3" t="s">
        <v>673</v>
      </c>
      <c r="Q949" s="6" t="s">
        <v>2361</v>
      </c>
      <c r="R949" s="6" t="s">
        <v>2362</v>
      </c>
      <c r="S949" s="9">
        <v>175</v>
      </c>
      <c r="T949" s="9">
        <v>135.12</v>
      </c>
      <c r="U949" s="9">
        <f t="shared" ref="U949" si="596">T949*S949</f>
        <v>23646</v>
      </c>
      <c r="V949" s="9">
        <f t="shared" ref="V949" si="597">U949*1.12</f>
        <v>26483.520000000004</v>
      </c>
      <c r="W949" s="7"/>
      <c r="X949" s="2">
        <v>2016</v>
      </c>
      <c r="Y949" s="6"/>
    </row>
    <row r="950" spans="1:25" s="36" customFormat="1" ht="127.5" customHeight="1" outlineLevel="1" x14ac:dyDescent="0.2">
      <c r="A950" s="25"/>
      <c r="B950" s="2" t="s">
        <v>5985</v>
      </c>
      <c r="C950" s="6" t="s">
        <v>83</v>
      </c>
      <c r="D950" s="6" t="s">
        <v>2547</v>
      </c>
      <c r="E950" s="6" t="s">
        <v>2535</v>
      </c>
      <c r="F950" s="6" t="s">
        <v>2548</v>
      </c>
      <c r="G950" s="13" t="s">
        <v>2549</v>
      </c>
      <c r="H950" s="2" t="s">
        <v>88</v>
      </c>
      <c r="I950" s="4">
        <v>0.4</v>
      </c>
      <c r="J950" s="6">
        <v>710000000</v>
      </c>
      <c r="K950" s="6" t="s">
        <v>89</v>
      </c>
      <c r="L950" s="2" t="s">
        <v>754</v>
      </c>
      <c r="M950" s="6" t="s">
        <v>91</v>
      </c>
      <c r="N950" s="6" t="s">
        <v>92</v>
      </c>
      <c r="O950" s="6" t="s">
        <v>93</v>
      </c>
      <c r="P950" s="3" t="s">
        <v>94</v>
      </c>
      <c r="Q950" s="6">
        <v>796</v>
      </c>
      <c r="R950" s="6" t="s">
        <v>118</v>
      </c>
      <c r="S950" s="9">
        <v>295</v>
      </c>
      <c r="T950" s="9">
        <v>299</v>
      </c>
      <c r="U950" s="9">
        <v>0</v>
      </c>
      <c r="V950" s="9">
        <f t="shared" si="588"/>
        <v>0</v>
      </c>
      <c r="W950" s="7" t="s">
        <v>97</v>
      </c>
      <c r="X950" s="2">
        <v>2016</v>
      </c>
      <c r="Y950" s="2" t="s">
        <v>7793</v>
      </c>
    </row>
    <row r="951" spans="1:25" s="36" customFormat="1" ht="127.5" customHeight="1" outlineLevel="1" x14ac:dyDescent="0.2">
      <c r="A951" s="25"/>
      <c r="B951" s="2" t="s">
        <v>7883</v>
      </c>
      <c r="C951" s="6" t="s">
        <v>83</v>
      </c>
      <c r="D951" s="6" t="s">
        <v>2547</v>
      </c>
      <c r="E951" s="6" t="s">
        <v>2535</v>
      </c>
      <c r="F951" s="6" t="s">
        <v>2548</v>
      </c>
      <c r="G951" s="13" t="s">
        <v>2549</v>
      </c>
      <c r="H951" s="2" t="s">
        <v>88</v>
      </c>
      <c r="I951" s="4">
        <v>0</v>
      </c>
      <c r="J951" s="6">
        <v>710000000</v>
      </c>
      <c r="K951" s="6" t="s">
        <v>89</v>
      </c>
      <c r="L951" s="2" t="s">
        <v>754</v>
      </c>
      <c r="M951" s="6" t="s">
        <v>91</v>
      </c>
      <c r="N951" s="6" t="s">
        <v>92</v>
      </c>
      <c r="O951" s="6" t="s">
        <v>93</v>
      </c>
      <c r="P951" s="3" t="s">
        <v>673</v>
      </c>
      <c r="Q951" s="6">
        <v>796</v>
      </c>
      <c r="R951" s="6" t="s">
        <v>118</v>
      </c>
      <c r="S951" s="9">
        <v>295</v>
      </c>
      <c r="T951" s="9">
        <v>299</v>
      </c>
      <c r="U951" s="9">
        <v>0</v>
      </c>
      <c r="V951" s="9">
        <f t="shared" ref="V951" si="598">U951*1.12</f>
        <v>0</v>
      </c>
      <c r="W951" s="7"/>
      <c r="X951" s="2">
        <v>2016</v>
      </c>
      <c r="Y951" s="6">
        <v>11</v>
      </c>
    </row>
    <row r="952" spans="1:25" s="36" customFormat="1" ht="127.5" customHeight="1" outlineLevel="1" x14ac:dyDescent="0.25">
      <c r="A952" s="1"/>
      <c r="B952" s="2" t="s">
        <v>9179</v>
      </c>
      <c r="C952" s="6" t="s">
        <v>83</v>
      </c>
      <c r="D952" s="6" t="s">
        <v>2547</v>
      </c>
      <c r="E952" s="6" t="s">
        <v>2535</v>
      </c>
      <c r="F952" s="6" t="s">
        <v>2548</v>
      </c>
      <c r="G952" s="13" t="s">
        <v>2549</v>
      </c>
      <c r="H952" s="2" t="s">
        <v>88</v>
      </c>
      <c r="I952" s="4">
        <v>0</v>
      </c>
      <c r="J952" s="6">
        <v>710000000</v>
      </c>
      <c r="K952" s="6" t="s">
        <v>89</v>
      </c>
      <c r="L952" s="5" t="s">
        <v>9114</v>
      </c>
      <c r="M952" s="6" t="s">
        <v>91</v>
      </c>
      <c r="N952" s="6" t="s">
        <v>92</v>
      </c>
      <c r="O952" s="6" t="s">
        <v>93</v>
      </c>
      <c r="P952" s="3" t="s">
        <v>673</v>
      </c>
      <c r="Q952" s="6">
        <v>796</v>
      </c>
      <c r="R952" s="6" t="s">
        <v>118</v>
      </c>
      <c r="S952" s="9">
        <v>295</v>
      </c>
      <c r="T952" s="9">
        <v>299</v>
      </c>
      <c r="U952" s="9">
        <f t="shared" ref="U952" si="599">T952*S952</f>
        <v>88205</v>
      </c>
      <c r="V952" s="9">
        <f t="shared" ref="V952" si="600">U952*1.12</f>
        <v>98789.6</v>
      </c>
      <c r="W952" s="7"/>
      <c r="X952" s="2">
        <v>2016</v>
      </c>
      <c r="Y952" s="6"/>
    </row>
    <row r="953" spans="1:25" s="36" customFormat="1" ht="89.25" customHeight="1" outlineLevel="1" x14ac:dyDescent="0.2">
      <c r="A953" s="25"/>
      <c r="B953" s="2" t="s">
        <v>5986</v>
      </c>
      <c r="C953" s="6" t="s">
        <v>83</v>
      </c>
      <c r="D953" s="6" t="s">
        <v>2547</v>
      </c>
      <c r="E953" s="6" t="s">
        <v>2535</v>
      </c>
      <c r="F953" s="6" t="s">
        <v>2548</v>
      </c>
      <c r="G953" s="13" t="s">
        <v>2550</v>
      </c>
      <c r="H953" s="2" t="s">
        <v>88</v>
      </c>
      <c r="I953" s="4">
        <v>0.4</v>
      </c>
      <c r="J953" s="6">
        <v>710000000</v>
      </c>
      <c r="K953" s="6" t="s">
        <v>89</v>
      </c>
      <c r="L953" s="2" t="s">
        <v>754</v>
      </c>
      <c r="M953" s="6" t="s">
        <v>91</v>
      </c>
      <c r="N953" s="6" t="s">
        <v>92</v>
      </c>
      <c r="O953" s="6" t="s">
        <v>93</v>
      </c>
      <c r="P953" s="3" t="s">
        <v>94</v>
      </c>
      <c r="Q953" s="6">
        <v>778</v>
      </c>
      <c r="R953" s="6" t="s">
        <v>523</v>
      </c>
      <c r="S953" s="9">
        <v>2</v>
      </c>
      <c r="T953" s="9">
        <v>2205</v>
      </c>
      <c r="U953" s="9">
        <v>0</v>
      </c>
      <c r="V953" s="9">
        <f t="shared" si="588"/>
        <v>0</v>
      </c>
      <c r="W953" s="7" t="s">
        <v>97</v>
      </c>
      <c r="X953" s="2">
        <v>2016</v>
      </c>
      <c r="Y953" s="2" t="s">
        <v>7793</v>
      </c>
    </row>
    <row r="954" spans="1:25" s="36" customFormat="1" ht="89.25" customHeight="1" outlineLevel="1" x14ac:dyDescent="0.2">
      <c r="A954" s="25"/>
      <c r="B954" s="2" t="s">
        <v>7884</v>
      </c>
      <c r="C954" s="6" t="s">
        <v>83</v>
      </c>
      <c r="D954" s="6" t="s">
        <v>2547</v>
      </c>
      <c r="E954" s="6" t="s">
        <v>2535</v>
      </c>
      <c r="F954" s="6" t="s">
        <v>2548</v>
      </c>
      <c r="G954" s="13" t="s">
        <v>2550</v>
      </c>
      <c r="H954" s="2" t="s">
        <v>88</v>
      </c>
      <c r="I954" s="4">
        <v>0</v>
      </c>
      <c r="J954" s="6">
        <v>710000000</v>
      </c>
      <c r="K954" s="6" t="s">
        <v>89</v>
      </c>
      <c r="L954" s="2" t="s">
        <v>754</v>
      </c>
      <c r="M954" s="6" t="s">
        <v>91</v>
      </c>
      <c r="N954" s="6" t="s">
        <v>92</v>
      </c>
      <c r="O954" s="6" t="s">
        <v>93</v>
      </c>
      <c r="P954" s="3" t="s">
        <v>673</v>
      </c>
      <c r="Q954" s="6">
        <v>778</v>
      </c>
      <c r="R954" s="6" t="s">
        <v>523</v>
      </c>
      <c r="S954" s="9">
        <v>2</v>
      </c>
      <c r="T954" s="9">
        <v>2205</v>
      </c>
      <c r="U954" s="9">
        <v>0</v>
      </c>
      <c r="V954" s="9">
        <f t="shared" ref="V954" si="601">U954*1.12</f>
        <v>0</v>
      </c>
      <c r="W954" s="7"/>
      <c r="X954" s="2">
        <v>2016</v>
      </c>
      <c r="Y954" s="6">
        <v>11</v>
      </c>
    </row>
    <row r="955" spans="1:25" s="36" customFormat="1" ht="89.25" customHeight="1" outlineLevel="1" x14ac:dyDescent="0.25">
      <c r="A955" s="1"/>
      <c r="B955" s="2" t="s">
        <v>9180</v>
      </c>
      <c r="C955" s="6" t="s">
        <v>83</v>
      </c>
      <c r="D955" s="6" t="s">
        <v>2547</v>
      </c>
      <c r="E955" s="6" t="s">
        <v>2535</v>
      </c>
      <c r="F955" s="6" t="s">
        <v>2548</v>
      </c>
      <c r="G955" s="13" t="s">
        <v>2550</v>
      </c>
      <c r="H955" s="2" t="s">
        <v>88</v>
      </c>
      <c r="I955" s="4">
        <v>0</v>
      </c>
      <c r="J955" s="6">
        <v>710000000</v>
      </c>
      <c r="K955" s="6" t="s">
        <v>89</v>
      </c>
      <c r="L955" s="5" t="s">
        <v>9114</v>
      </c>
      <c r="M955" s="6" t="s">
        <v>91</v>
      </c>
      <c r="N955" s="6" t="s">
        <v>92</v>
      </c>
      <c r="O955" s="6" t="s">
        <v>93</v>
      </c>
      <c r="P955" s="3" t="s">
        <v>673</v>
      </c>
      <c r="Q955" s="6">
        <v>778</v>
      </c>
      <c r="R955" s="6" t="s">
        <v>523</v>
      </c>
      <c r="S955" s="9">
        <v>2</v>
      </c>
      <c r="T955" s="9">
        <v>2205</v>
      </c>
      <c r="U955" s="9">
        <f t="shared" ref="U955" si="602">T955*S955</f>
        <v>4410</v>
      </c>
      <c r="V955" s="9">
        <f t="shared" ref="V955" si="603">U955*1.12</f>
        <v>4939.2000000000007</v>
      </c>
      <c r="W955" s="7"/>
      <c r="X955" s="2">
        <v>2016</v>
      </c>
      <c r="Y955" s="6"/>
    </row>
    <row r="956" spans="1:25" s="36" customFormat="1" ht="89.25" customHeight="1" outlineLevel="1" x14ac:dyDescent="0.2">
      <c r="A956" s="25"/>
      <c r="B956" s="2" t="s">
        <v>5987</v>
      </c>
      <c r="C956" s="3" t="s">
        <v>83</v>
      </c>
      <c r="D956" s="19" t="s">
        <v>2479</v>
      </c>
      <c r="E956" s="19" t="s">
        <v>2480</v>
      </c>
      <c r="F956" s="19" t="s">
        <v>2481</v>
      </c>
      <c r="G956" s="19" t="s">
        <v>2551</v>
      </c>
      <c r="H956" s="2" t="s">
        <v>88</v>
      </c>
      <c r="I956" s="4">
        <v>0.4</v>
      </c>
      <c r="J956" s="5">
        <v>710000000</v>
      </c>
      <c r="K956" s="5" t="s">
        <v>89</v>
      </c>
      <c r="L956" s="2" t="s">
        <v>754</v>
      </c>
      <c r="M956" s="6" t="s">
        <v>91</v>
      </c>
      <c r="N956" s="7" t="s">
        <v>92</v>
      </c>
      <c r="O956" s="7" t="s">
        <v>93</v>
      </c>
      <c r="P956" s="3" t="s">
        <v>94</v>
      </c>
      <c r="Q956" s="8" t="s">
        <v>861</v>
      </c>
      <c r="R956" s="7" t="s">
        <v>812</v>
      </c>
      <c r="S956" s="9">
        <v>26</v>
      </c>
      <c r="T956" s="9">
        <v>308</v>
      </c>
      <c r="U956" s="9">
        <v>0</v>
      </c>
      <c r="V956" s="9">
        <f t="shared" si="588"/>
        <v>0</v>
      </c>
      <c r="W956" s="7" t="s">
        <v>97</v>
      </c>
      <c r="X956" s="2">
        <v>2016</v>
      </c>
      <c r="Y956" s="2" t="s">
        <v>7793</v>
      </c>
    </row>
    <row r="957" spans="1:25" s="36" customFormat="1" ht="89.25" customHeight="1" outlineLevel="1" x14ac:dyDescent="0.2">
      <c r="A957" s="25"/>
      <c r="B957" s="2" t="s">
        <v>7885</v>
      </c>
      <c r="C957" s="3" t="s">
        <v>83</v>
      </c>
      <c r="D957" s="19" t="s">
        <v>2479</v>
      </c>
      <c r="E957" s="19" t="s">
        <v>2480</v>
      </c>
      <c r="F957" s="19" t="s">
        <v>2481</v>
      </c>
      <c r="G957" s="19" t="s">
        <v>2551</v>
      </c>
      <c r="H957" s="2" t="s">
        <v>88</v>
      </c>
      <c r="I957" s="4">
        <v>0</v>
      </c>
      <c r="J957" s="5">
        <v>710000000</v>
      </c>
      <c r="K957" s="5" t="s">
        <v>89</v>
      </c>
      <c r="L957" s="2" t="s">
        <v>754</v>
      </c>
      <c r="M957" s="6" t="s">
        <v>91</v>
      </c>
      <c r="N957" s="7" t="s">
        <v>92</v>
      </c>
      <c r="O957" s="7" t="s">
        <v>93</v>
      </c>
      <c r="P957" s="3" t="s">
        <v>673</v>
      </c>
      <c r="Q957" s="8" t="s">
        <v>861</v>
      </c>
      <c r="R957" s="7" t="s">
        <v>812</v>
      </c>
      <c r="S957" s="9">
        <v>26</v>
      </c>
      <c r="T957" s="9">
        <v>308</v>
      </c>
      <c r="U957" s="9">
        <v>0</v>
      </c>
      <c r="V957" s="9">
        <f t="shared" ref="V957" si="604">U957*1.12</f>
        <v>0</v>
      </c>
      <c r="W957" s="7"/>
      <c r="X957" s="2">
        <v>2016</v>
      </c>
      <c r="Y957" s="2">
        <v>11</v>
      </c>
    </row>
    <row r="958" spans="1:25" s="36" customFormat="1" ht="89.25" customHeight="1" outlineLevel="1" x14ac:dyDescent="0.25">
      <c r="A958" s="1"/>
      <c r="B958" s="2" t="s">
        <v>9181</v>
      </c>
      <c r="C958" s="3" t="s">
        <v>83</v>
      </c>
      <c r="D958" s="19" t="s">
        <v>2479</v>
      </c>
      <c r="E958" s="19" t="s">
        <v>2480</v>
      </c>
      <c r="F958" s="19" t="s">
        <v>2481</v>
      </c>
      <c r="G958" s="19" t="s">
        <v>2551</v>
      </c>
      <c r="H958" s="2" t="s">
        <v>88</v>
      </c>
      <c r="I958" s="4">
        <v>0</v>
      </c>
      <c r="J958" s="5">
        <v>710000000</v>
      </c>
      <c r="K958" s="5" t="s">
        <v>89</v>
      </c>
      <c r="L958" s="5" t="s">
        <v>9114</v>
      </c>
      <c r="M958" s="6" t="s">
        <v>91</v>
      </c>
      <c r="N958" s="7" t="s">
        <v>92</v>
      </c>
      <c r="O958" s="7" t="s">
        <v>93</v>
      </c>
      <c r="P958" s="3" t="s">
        <v>673</v>
      </c>
      <c r="Q958" s="8" t="s">
        <v>861</v>
      </c>
      <c r="R958" s="7" t="s">
        <v>812</v>
      </c>
      <c r="S958" s="9">
        <v>26</v>
      </c>
      <c r="T958" s="9">
        <v>308</v>
      </c>
      <c r="U958" s="9">
        <f t="shared" ref="U958" si="605">T958*S958</f>
        <v>8008</v>
      </c>
      <c r="V958" s="9">
        <f t="shared" ref="V958" si="606">U958*1.12</f>
        <v>8968.9600000000009</v>
      </c>
      <c r="W958" s="7"/>
      <c r="X958" s="2">
        <v>2016</v>
      </c>
      <c r="Y958" s="2"/>
    </row>
    <row r="959" spans="1:25" s="11" customFormat="1" ht="89.25" customHeight="1" outlineLevel="1" x14ac:dyDescent="0.2">
      <c r="A959" s="25"/>
      <c r="B959" s="2" t="s">
        <v>5988</v>
      </c>
      <c r="C959" s="3" t="s">
        <v>83</v>
      </c>
      <c r="D959" s="19" t="s">
        <v>2450</v>
      </c>
      <c r="E959" s="19" t="s">
        <v>2451</v>
      </c>
      <c r="F959" s="19" t="s">
        <v>2452</v>
      </c>
      <c r="G959" s="19" t="s">
        <v>2552</v>
      </c>
      <c r="H959" s="2" t="s">
        <v>88</v>
      </c>
      <c r="I959" s="4">
        <v>0.4</v>
      </c>
      <c r="J959" s="5">
        <v>710000000</v>
      </c>
      <c r="K959" s="5" t="s">
        <v>89</v>
      </c>
      <c r="L959" s="2" t="s">
        <v>754</v>
      </c>
      <c r="M959" s="6" t="s">
        <v>91</v>
      </c>
      <c r="N959" s="7" t="s">
        <v>92</v>
      </c>
      <c r="O959" s="7" t="s">
        <v>93</v>
      </c>
      <c r="P959" s="3" t="s">
        <v>94</v>
      </c>
      <c r="Q959" s="8">
        <v>796</v>
      </c>
      <c r="R959" s="7" t="s">
        <v>118</v>
      </c>
      <c r="S959" s="9">
        <v>15</v>
      </c>
      <c r="T959" s="9">
        <v>339</v>
      </c>
      <c r="U959" s="9">
        <v>0</v>
      </c>
      <c r="V959" s="9">
        <f t="shared" si="588"/>
        <v>0</v>
      </c>
      <c r="W959" s="7" t="s">
        <v>97</v>
      </c>
      <c r="X959" s="2">
        <v>2016</v>
      </c>
      <c r="Y959" s="2" t="s">
        <v>7793</v>
      </c>
    </row>
    <row r="960" spans="1:25" s="11" customFormat="1" ht="89.25" customHeight="1" outlineLevel="1" x14ac:dyDescent="0.2">
      <c r="A960" s="25"/>
      <c r="B960" s="2" t="s">
        <v>7886</v>
      </c>
      <c r="C960" s="3" t="s">
        <v>83</v>
      </c>
      <c r="D960" s="19" t="s">
        <v>2450</v>
      </c>
      <c r="E960" s="19" t="s">
        <v>2451</v>
      </c>
      <c r="F960" s="19" t="s">
        <v>2452</v>
      </c>
      <c r="G960" s="19" t="s">
        <v>2552</v>
      </c>
      <c r="H960" s="2" t="s">
        <v>88</v>
      </c>
      <c r="I960" s="4">
        <v>0</v>
      </c>
      <c r="J960" s="5">
        <v>710000000</v>
      </c>
      <c r="K960" s="5" t="s">
        <v>89</v>
      </c>
      <c r="L960" s="2" t="s">
        <v>754</v>
      </c>
      <c r="M960" s="6" t="s">
        <v>91</v>
      </c>
      <c r="N960" s="7" t="s">
        <v>92</v>
      </c>
      <c r="O960" s="7" t="s">
        <v>93</v>
      </c>
      <c r="P960" s="3" t="s">
        <v>673</v>
      </c>
      <c r="Q960" s="8">
        <v>796</v>
      </c>
      <c r="R960" s="7" t="s">
        <v>118</v>
      </c>
      <c r="S960" s="9">
        <v>15</v>
      </c>
      <c r="T960" s="9">
        <v>339</v>
      </c>
      <c r="U960" s="9">
        <v>0</v>
      </c>
      <c r="V960" s="9">
        <f t="shared" ref="V960" si="607">U960*1.12</f>
        <v>0</v>
      </c>
      <c r="W960" s="7"/>
      <c r="X960" s="2">
        <v>2016</v>
      </c>
      <c r="Y960" s="2">
        <v>11</v>
      </c>
    </row>
    <row r="961" spans="1:25" s="11" customFormat="1" ht="89.25" customHeight="1" outlineLevel="1" x14ac:dyDescent="0.25">
      <c r="A961" s="1"/>
      <c r="B961" s="2" t="s">
        <v>7886</v>
      </c>
      <c r="C961" s="3" t="s">
        <v>83</v>
      </c>
      <c r="D961" s="19" t="s">
        <v>2450</v>
      </c>
      <c r="E961" s="19" t="s">
        <v>2451</v>
      </c>
      <c r="F961" s="19" t="s">
        <v>2452</v>
      </c>
      <c r="G961" s="19" t="s">
        <v>2552</v>
      </c>
      <c r="H961" s="2" t="s">
        <v>88</v>
      </c>
      <c r="I961" s="4">
        <v>0</v>
      </c>
      <c r="J961" s="5">
        <v>710000000</v>
      </c>
      <c r="K961" s="5" t="s">
        <v>89</v>
      </c>
      <c r="L961" s="5" t="s">
        <v>9114</v>
      </c>
      <c r="M961" s="6" t="s">
        <v>91</v>
      </c>
      <c r="N961" s="7" t="s">
        <v>92</v>
      </c>
      <c r="O961" s="7" t="s">
        <v>93</v>
      </c>
      <c r="P961" s="3" t="s">
        <v>673</v>
      </c>
      <c r="Q961" s="8">
        <v>796</v>
      </c>
      <c r="R961" s="7" t="s">
        <v>118</v>
      </c>
      <c r="S961" s="9">
        <v>15</v>
      </c>
      <c r="T961" s="9">
        <v>339</v>
      </c>
      <c r="U961" s="9">
        <f t="shared" ref="U961" si="608">T961*S961</f>
        <v>5085</v>
      </c>
      <c r="V961" s="9">
        <f t="shared" ref="V961" si="609">U961*1.12</f>
        <v>5695.2000000000007</v>
      </c>
      <c r="W961" s="7"/>
      <c r="X961" s="2">
        <v>2016</v>
      </c>
      <c r="Y961" s="2"/>
    </row>
    <row r="962" spans="1:25" s="11" customFormat="1" ht="89.25" customHeight="1" outlineLevel="1" x14ac:dyDescent="0.2">
      <c r="A962" s="25"/>
      <c r="B962" s="2" t="s">
        <v>5989</v>
      </c>
      <c r="C962" s="3" t="s">
        <v>83</v>
      </c>
      <c r="D962" s="19" t="s">
        <v>2463</v>
      </c>
      <c r="E962" s="19" t="s">
        <v>2464</v>
      </c>
      <c r="F962" s="19" t="s">
        <v>2465</v>
      </c>
      <c r="G962" s="19" t="s">
        <v>2553</v>
      </c>
      <c r="H962" s="2" t="s">
        <v>88</v>
      </c>
      <c r="I962" s="4">
        <v>0.4</v>
      </c>
      <c r="J962" s="5">
        <v>710000000</v>
      </c>
      <c r="K962" s="5" t="s">
        <v>89</v>
      </c>
      <c r="L962" s="2" t="s">
        <v>754</v>
      </c>
      <c r="M962" s="6" t="s">
        <v>91</v>
      </c>
      <c r="N962" s="7" t="s">
        <v>92</v>
      </c>
      <c r="O962" s="7" t="s">
        <v>93</v>
      </c>
      <c r="P962" s="3" t="s">
        <v>94</v>
      </c>
      <c r="Q962" s="8">
        <v>796</v>
      </c>
      <c r="R962" s="7" t="s">
        <v>118</v>
      </c>
      <c r="S962" s="9">
        <v>14</v>
      </c>
      <c r="T962" s="9">
        <v>1304</v>
      </c>
      <c r="U962" s="9">
        <v>0</v>
      </c>
      <c r="V962" s="9">
        <f t="shared" si="588"/>
        <v>0</v>
      </c>
      <c r="W962" s="7" t="s">
        <v>97</v>
      </c>
      <c r="X962" s="2">
        <v>2016</v>
      </c>
      <c r="Y962" s="2" t="s">
        <v>7793</v>
      </c>
    </row>
    <row r="963" spans="1:25" s="11" customFormat="1" ht="89.25" customHeight="1" outlineLevel="1" x14ac:dyDescent="0.2">
      <c r="A963" s="25"/>
      <c r="B963" s="2" t="s">
        <v>7887</v>
      </c>
      <c r="C963" s="3" t="s">
        <v>83</v>
      </c>
      <c r="D963" s="19" t="s">
        <v>2463</v>
      </c>
      <c r="E963" s="19" t="s">
        <v>2464</v>
      </c>
      <c r="F963" s="19" t="s">
        <v>2465</v>
      </c>
      <c r="G963" s="19" t="s">
        <v>2553</v>
      </c>
      <c r="H963" s="2" t="s">
        <v>88</v>
      </c>
      <c r="I963" s="4">
        <v>0</v>
      </c>
      <c r="J963" s="5">
        <v>710000000</v>
      </c>
      <c r="K963" s="5" t="s">
        <v>89</v>
      </c>
      <c r="L963" s="2" t="s">
        <v>754</v>
      </c>
      <c r="M963" s="6" t="s">
        <v>91</v>
      </c>
      <c r="N963" s="7" t="s">
        <v>92</v>
      </c>
      <c r="O963" s="7" t="s">
        <v>93</v>
      </c>
      <c r="P963" s="3" t="s">
        <v>673</v>
      </c>
      <c r="Q963" s="8">
        <v>796</v>
      </c>
      <c r="R963" s="7" t="s">
        <v>118</v>
      </c>
      <c r="S963" s="9">
        <v>14</v>
      </c>
      <c r="T963" s="9">
        <v>1304</v>
      </c>
      <c r="U963" s="9">
        <v>0</v>
      </c>
      <c r="V963" s="9">
        <f t="shared" ref="V963" si="610">U963*1.12</f>
        <v>0</v>
      </c>
      <c r="W963" s="7"/>
      <c r="X963" s="2">
        <v>2016</v>
      </c>
      <c r="Y963" s="2">
        <v>11</v>
      </c>
    </row>
    <row r="964" spans="1:25" s="11" customFormat="1" ht="89.25" customHeight="1" outlineLevel="1" x14ac:dyDescent="0.25">
      <c r="A964" s="1"/>
      <c r="B964" s="2" t="s">
        <v>9182</v>
      </c>
      <c r="C964" s="3" t="s">
        <v>83</v>
      </c>
      <c r="D964" s="19" t="s">
        <v>2463</v>
      </c>
      <c r="E964" s="19" t="s">
        <v>2464</v>
      </c>
      <c r="F964" s="19" t="s">
        <v>2465</v>
      </c>
      <c r="G964" s="19" t="s">
        <v>2553</v>
      </c>
      <c r="H964" s="2" t="s">
        <v>88</v>
      </c>
      <c r="I964" s="4">
        <v>0</v>
      </c>
      <c r="J964" s="5">
        <v>710000000</v>
      </c>
      <c r="K964" s="5" t="s">
        <v>89</v>
      </c>
      <c r="L964" s="5" t="s">
        <v>9114</v>
      </c>
      <c r="M964" s="6" t="s">
        <v>91</v>
      </c>
      <c r="N964" s="7" t="s">
        <v>92</v>
      </c>
      <c r="O964" s="7" t="s">
        <v>93</v>
      </c>
      <c r="P964" s="3" t="s">
        <v>673</v>
      </c>
      <c r="Q964" s="8">
        <v>796</v>
      </c>
      <c r="R964" s="7" t="s">
        <v>118</v>
      </c>
      <c r="S964" s="9">
        <v>14</v>
      </c>
      <c r="T964" s="9">
        <v>1304</v>
      </c>
      <c r="U964" s="9">
        <f t="shared" ref="U964" si="611">T964*S964</f>
        <v>18256</v>
      </c>
      <c r="V964" s="9">
        <f t="shared" ref="V964" si="612">U964*1.12</f>
        <v>20446.72</v>
      </c>
      <c r="W964" s="7"/>
      <c r="X964" s="2">
        <v>2016</v>
      </c>
      <c r="Y964" s="2"/>
    </row>
    <row r="965" spans="1:25" s="11" customFormat="1" ht="89.25" customHeight="1" outlineLevel="1" x14ac:dyDescent="0.2">
      <c r="A965" s="25"/>
      <c r="B965" s="2" t="s">
        <v>5990</v>
      </c>
      <c r="C965" s="3" t="s">
        <v>83</v>
      </c>
      <c r="D965" s="19" t="s">
        <v>2417</v>
      </c>
      <c r="E965" s="19" t="s">
        <v>2418</v>
      </c>
      <c r="F965" s="19" t="s">
        <v>2419</v>
      </c>
      <c r="G965" s="19" t="s">
        <v>2554</v>
      </c>
      <c r="H965" s="2" t="s">
        <v>88</v>
      </c>
      <c r="I965" s="4">
        <v>0.4</v>
      </c>
      <c r="J965" s="5">
        <v>710000000</v>
      </c>
      <c r="K965" s="5" t="s">
        <v>89</v>
      </c>
      <c r="L965" s="2" t="s">
        <v>754</v>
      </c>
      <c r="M965" s="6" t="s">
        <v>91</v>
      </c>
      <c r="N965" s="7" t="s">
        <v>92</v>
      </c>
      <c r="O965" s="7" t="s">
        <v>93</v>
      </c>
      <c r="P965" s="3" t="s">
        <v>94</v>
      </c>
      <c r="Q965" s="3">
        <v>796</v>
      </c>
      <c r="R965" s="3" t="s">
        <v>118</v>
      </c>
      <c r="S965" s="9">
        <v>12</v>
      </c>
      <c r="T965" s="9">
        <v>580</v>
      </c>
      <c r="U965" s="9">
        <v>0</v>
      </c>
      <c r="V965" s="9">
        <f t="shared" si="588"/>
        <v>0</v>
      </c>
      <c r="W965" s="7" t="s">
        <v>97</v>
      </c>
      <c r="X965" s="2">
        <v>2016</v>
      </c>
      <c r="Y965" s="2" t="s">
        <v>7793</v>
      </c>
    </row>
    <row r="966" spans="1:25" s="11" customFormat="1" ht="89.25" customHeight="1" outlineLevel="1" x14ac:dyDescent="0.2">
      <c r="A966" s="25"/>
      <c r="B966" s="2" t="s">
        <v>7888</v>
      </c>
      <c r="C966" s="3" t="s">
        <v>83</v>
      </c>
      <c r="D966" s="19" t="s">
        <v>2417</v>
      </c>
      <c r="E966" s="19" t="s">
        <v>2418</v>
      </c>
      <c r="F966" s="19" t="s">
        <v>2419</v>
      </c>
      <c r="G966" s="19" t="s">
        <v>2554</v>
      </c>
      <c r="H966" s="2" t="s">
        <v>88</v>
      </c>
      <c r="I966" s="4">
        <v>0</v>
      </c>
      <c r="J966" s="5">
        <v>710000000</v>
      </c>
      <c r="K966" s="5" t="s">
        <v>89</v>
      </c>
      <c r="L966" s="2" t="s">
        <v>754</v>
      </c>
      <c r="M966" s="6" t="s">
        <v>91</v>
      </c>
      <c r="N966" s="7" t="s">
        <v>92</v>
      </c>
      <c r="O966" s="7" t="s">
        <v>93</v>
      </c>
      <c r="P966" s="3" t="s">
        <v>673</v>
      </c>
      <c r="Q966" s="3">
        <v>796</v>
      </c>
      <c r="R966" s="3" t="s">
        <v>118</v>
      </c>
      <c r="S966" s="9">
        <v>12</v>
      </c>
      <c r="T966" s="9">
        <v>580</v>
      </c>
      <c r="U966" s="9">
        <v>0</v>
      </c>
      <c r="V966" s="9">
        <f t="shared" ref="V966" si="613">U966*1.12</f>
        <v>0</v>
      </c>
      <c r="W966" s="7"/>
      <c r="X966" s="2">
        <v>2016</v>
      </c>
      <c r="Y966" s="2">
        <v>11</v>
      </c>
    </row>
    <row r="967" spans="1:25" s="11" customFormat="1" ht="89.25" customHeight="1" outlineLevel="1" x14ac:dyDescent="0.25">
      <c r="A967" s="1"/>
      <c r="B967" s="2" t="s">
        <v>9183</v>
      </c>
      <c r="C967" s="3" t="s">
        <v>83</v>
      </c>
      <c r="D967" s="19" t="s">
        <v>2417</v>
      </c>
      <c r="E967" s="19" t="s">
        <v>2418</v>
      </c>
      <c r="F967" s="19" t="s">
        <v>2419</v>
      </c>
      <c r="G967" s="19" t="s">
        <v>2554</v>
      </c>
      <c r="H967" s="2" t="s">
        <v>88</v>
      </c>
      <c r="I967" s="4">
        <v>0</v>
      </c>
      <c r="J967" s="5">
        <v>710000000</v>
      </c>
      <c r="K967" s="5" t="s">
        <v>89</v>
      </c>
      <c r="L967" s="5" t="s">
        <v>9114</v>
      </c>
      <c r="M967" s="6" t="s">
        <v>91</v>
      </c>
      <c r="N967" s="7" t="s">
        <v>92</v>
      </c>
      <c r="O967" s="7" t="s">
        <v>93</v>
      </c>
      <c r="P967" s="3" t="s">
        <v>673</v>
      </c>
      <c r="Q967" s="3">
        <v>796</v>
      </c>
      <c r="R967" s="3" t="s">
        <v>118</v>
      </c>
      <c r="S967" s="9">
        <v>12</v>
      </c>
      <c r="T967" s="9">
        <v>580</v>
      </c>
      <c r="U967" s="9">
        <f t="shared" ref="U967" si="614">T967*S967</f>
        <v>6960</v>
      </c>
      <c r="V967" s="9">
        <f t="shared" ref="V967" si="615">U967*1.12</f>
        <v>7795.2000000000007</v>
      </c>
      <c r="W967" s="7"/>
      <c r="X967" s="2">
        <v>2016</v>
      </c>
      <c r="Y967" s="2"/>
    </row>
    <row r="968" spans="1:25" s="11" customFormat="1" ht="89.25" customHeight="1" outlineLevel="1" x14ac:dyDescent="0.2">
      <c r="A968" s="25"/>
      <c r="B968" s="2" t="s">
        <v>5991</v>
      </c>
      <c r="C968" s="3" t="s">
        <v>83</v>
      </c>
      <c r="D968" s="19" t="s">
        <v>2417</v>
      </c>
      <c r="E968" s="19" t="s">
        <v>2418</v>
      </c>
      <c r="F968" s="19" t="s">
        <v>2419</v>
      </c>
      <c r="G968" s="19" t="s">
        <v>2555</v>
      </c>
      <c r="H968" s="2" t="s">
        <v>88</v>
      </c>
      <c r="I968" s="4">
        <v>0.4</v>
      </c>
      <c r="J968" s="5">
        <v>710000000</v>
      </c>
      <c r="K968" s="5" t="s">
        <v>89</v>
      </c>
      <c r="L968" s="2" t="s">
        <v>754</v>
      </c>
      <c r="M968" s="6" t="s">
        <v>91</v>
      </c>
      <c r="N968" s="7" t="s">
        <v>92</v>
      </c>
      <c r="O968" s="7" t="s">
        <v>93</v>
      </c>
      <c r="P968" s="3" t="s">
        <v>94</v>
      </c>
      <c r="Q968" s="3">
        <v>796</v>
      </c>
      <c r="R968" s="3" t="s">
        <v>118</v>
      </c>
      <c r="S968" s="9">
        <v>1</v>
      </c>
      <c r="T968" s="9">
        <v>2054</v>
      </c>
      <c r="U968" s="9">
        <v>0</v>
      </c>
      <c r="V968" s="9">
        <f t="shared" si="588"/>
        <v>0</v>
      </c>
      <c r="W968" s="7" t="s">
        <v>97</v>
      </c>
      <c r="X968" s="2">
        <v>2016</v>
      </c>
      <c r="Y968" s="2" t="s">
        <v>7793</v>
      </c>
    </row>
    <row r="969" spans="1:25" s="11" customFormat="1" ht="89.25" customHeight="1" outlineLevel="1" x14ac:dyDescent="0.2">
      <c r="A969" s="25"/>
      <c r="B969" s="2" t="s">
        <v>7889</v>
      </c>
      <c r="C969" s="3" t="s">
        <v>83</v>
      </c>
      <c r="D969" s="19" t="s">
        <v>2417</v>
      </c>
      <c r="E969" s="19" t="s">
        <v>2418</v>
      </c>
      <c r="F969" s="19" t="s">
        <v>2419</v>
      </c>
      <c r="G969" s="19" t="s">
        <v>2555</v>
      </c>
      <c r="H969" s="2" t="s">
        <v>88</v>
      </c>
      <c r="I969" s="4">
        <v>0</v>
      </c>
      <c r="J969" s="5">
        <v>710000000</v>
      </c>
      <c r="K969" s="5" t="s">
        <v>89</v>
      </c>
      <c r="L969" s="2" t="s">
        <v>754</v>
      </c>
      <c r="M969" s="6" t="s">
        <v>91</v>
      </c>
      <c r="N969" s="7" t="s">
        <v>92</v>
      </c>
      <c r="O969" s="7" t="s">
        <v>93</v>
      </c>
      <c r="P969" s="3" t="s">
        <v>673</v>
      </c>
      <c r="Q969" s="3">
        <v>796</v>
      </c>
      <c r="R969" s="3" t="s">
        <v>118</v>
      </c>
      <c r="S969" s="9">
        <v>1</v>
      </c>
      <c r="T969" s="9">
        <v>2054</v>
      </c>
      <c r="U969" s="9">
        <v>0</v>
      </c>
      <c r="V969" s="9">
        <f t="shared" ref="V969" si="616">U969*1.12</f>
        <v>0</v>
      </c>
      <c r="W969" s="7"/>
      <c r="X969" s="2">
        <v>2016</v>
      </c>
      <c r="Y969" s="2">
        <v>11</v>
      </c>
    </row>
    <row r="970" spans="1:25" s="11" customFormat="1" ht="89.25" customHeight="1" outlineLevel="1" x14ac:dyDescent="0.25">
      <c r="A970" s="1"/>
      <c r="B970" s="2" t="s">
        <v>9184</v>
      </c>
      <c r="C970" s="3" t="s">
        <v>83</v>
      </c>
      <c r="D970" s="19" t="s">
        <v>2417</v>
      </c>
      <c r="E970" s="19" t="s">
        <v>2418</v>
      </c>
      <c r="F970" s="19" t="s">
        <v>2419</v>
      </c>
      <c r="G970" s="19" t="s">
        <v>2555</v>
      </c>
      <c r="H970" s="2" t="s">
        <v>88</v>
      </c>
      <c r="I970" s="4">
        <v>0</v>
      </c>
      <c r="J970" s="5">
        <v>710000000</v>
      </c>
      <c r="K970" s="5" t="s">
        <v>89</v>
      </c>
      <c r="L970" s="5" t="s">
        <v>9114</v>
      </c>
      <c r="M970" s="6" t="s">
        <v>91</v>
      </c>
      <c r="N970" s="7" t="s">
        <v>92</v>
      </c>
      <c r="O970" s="7" t="s">
        <v>93</v>
      </c>
      <c r="P970" s="3" t="s">
        <v>673</v>
      </c>
      <c r="Q970" s="3">
        <v>796</v>
      </c>
      <c r="R970" s="3" t="s">
        <v>118</v>
      </c>
      <c r="S970" s="9">
        <v>1</v>
      </c>
      <c r="T970" s="9">
        <v>2054</v>
      </c>
      <c r="U970" s="9">
        <f t="shared" ref="U970" si="617">T970*S970</f>
        <v>2054</v>
      </c>
      <c r="V970" s="9">
        <f t="shared" ref="V970" si="618">U970*1.12</f>
        <v>2300.48</v>
      </c>
      <c r="W970" s="7"/>
      <c r="X970" s="2">
        <v>2016</v>
      </c>
      <c r="Y970" s="2"/>
    </row>
    <row r="971" spans="1:25" s="11" customFormat="1" ht="89.25" customHeight="1" outlineLevel="1" x14ac:dyDescent="0.2">
      <c r="A971" s="25"/>
      <c r="B971" s="2" t="s">
        <v>5992</v>
      </c>
      <c r="C971" s="3" t="s">
        <v>83</v>
      </c>
      <c r="D971" s="19" t="s">
        <v>2485</v>
      </c>
      <c r="E971" s="19" t="s">
        <v>858</v>
      </c>
      <c r="F971" s="19" t="s">
        <v>2486</v>
      </c>
      <c r="G971" s="19" t="s">
        <v>2556</v>
      </c>
      <c r="H971" s="2" t="s">
        <v>88</v>
      </c>
      <c r="I971" s="4">
        <v>0.4</v>
      </c>
      <c r="J971" s="5">
        <v>710000000</v>
      </c>
      <c r="K971" s="5" t="s">
        <v>89</v>
      </c>
      <c r="L971" s="2" t="s">
        <v>754</v>
      </c>
      <c r="M971" s="6" t="s">
        <v>91</v>
      </c>
      <c r="N971" s="7" t="s">
        <v>92</v>
      </c>
      <c r="O971" s="7" t="s">
        <v>93</v>
      </c>
      <c r="P971" s="3" t="s">
        <v>94</v>
      </c>
      <c r="Q971" s="8">
        <v>796</v>
      </c>
      <c r="R971" s="7" t="s">
        <v>118</v>
      </c>
      <c r="S971" s="9">
        <v>45</v>
      </c>
      <c r="T971" s="9">
        <v>250</v>
      </c>
      <c r="U971" s="9">
        <v>0</v>
      </c>
      <c r="V971" s="9">
        <f t="shared" si="588"/>
        <v>0</v>
      </c>
      <c r="W971" s="7" t="s">
        <v>97</v>
      </c>
      <c r="X971" s="2">
        <v>2016</v>
      </c>
      <c r="Y971" s="2" t="s">
        <v>7793</v>
      </c>
    </row>
    <row r="972" spans="1:25" s="11" customFormat="1" ht="89.25" customHeight="1" outlineLevel="1" x14ac:dyDescent="0.2">
      <c r="A972" s="25"/>
      <c r="B972" s="2" t="s">
        <v>7890</v>
      </c>
      <c r="C972" s="3" t="s">
        <v>83</v>
      </c>
      <c r="D972" s="19" t="s">
        <v>2485</v>
      </c>
      <c r="E972" s="19" t="s">
        <v>858</v>
      </c>
      <c r="F972" s="19" t="s">
        <v>2486</v>
      </c>
      <c r="G972" s="19" t="s">
        <v>2556</v>
      </c>
      <c r="H972" s="2" t="s">
        <v>88</v>
      </c>
      <c r="I972" s="4">
        <v>0</v>
      </c>
      <c r="J972" s="5">
        <v>710000000</v>
      </c>
      <c r="K972" s="5" t="s">
        <v>89</v>
      </c>
      <c r="L972" s="2" t="s">
        <v>754</v>
      </c>
      <c r="M972" s="6" t="s">
        <v>91</v>
      </c>
      <c r="N972" s="7" t="s">
        <v>92</v>
      </c>
      <c r="O972" s="7" t="s">
        <v>93</v>
      </c>
      <c r="P972" s="3" t="s">
        <v>673</v>
      </c>
      <c r="Q972" s="8">
        <v>796</v>
      </c>
      <c r="R972" s="7" t="s">
        <v>118</v>
      </c>
      <c r="S972" s="9">
        <v>45</v>
      </c>
      <c r="T972" s="9">
        <v>250</v>
      </c>
      <c r="U972" s="9">
        <v>0</v>
      </c>
      <c r="V972" s="9">
        <f t="shared" ref="V972" si="619">U972*1.12</f>
        <v>0</v>
      </c>
      <c r="W972" s="7"/>
      <c r="X972" s="2">
        <v>2016</v>
      </c>
      <c r="Y972" s="2">
        <v>11</v>
      </c>
    </row>
    <row r="973" spans="1:25" s="11" customFormat="1" ht="89.25" customHeight="1" outlineLevel="1" x14ac:dyDescent="0.25">
      <c r="A973" s="1"/>
      <c r="B973" s="2" t="s">
        <v>9185</v>
      </c>
      <c r="C973" s="3" t="s">
        <v>83</v>
      </c>
      <c r="D973" s="19" t="s">
        <v>2485</v>
      </c>
      <c r="E973" s="19" t="s">
        <v>858</v>
      </c>
      <c r="F973" s="19" t="s">
        <v>2486</v>
      </c>
      <c r="G973" s="19" t="s">
        <v>2556</v>
      </c>
      <c r="H973" s="2" t="s">
        <v>88</v>
      </c>
      <c r="I973" s="4">
        <v>0</v>
      </c>
      <c r="J973" s="5">
        <v>710000000</v>
      </c>
      <c r="K973" s="5" t="s">
        <v>89</v>
      </c>
      <c r="L973" s="5" t="s">
        <v>9114</v>
      </c>
      <c r="M973" s="6" t="s">
        <v>91</v>
      </c>
      <c r="N973" s="7" t="s">
        <v>92</v>
      </c>
      <c r="O973" s="7" t="s">
        <v>93</v>
      </c>
      <c r="P973" s="3" t="s">
        <v>673</v>
      </c>
      <c r="Q973" s="8">
        <v>796</v>
      </c>
      <c r="R973" s="7" t="s">
        <v>118</v>
      </c>
      <c r="S973" s="9">
        <v>45</v>
      </c>
      <c r="T973" s="9">
        <v>250</v>
      </c>
      <c r="U973" s="9">
        <f t="shared" ref="U973" si="620">T973*S973</f>
        <v>11250</v>
      </c>
      <c r="V973" s="9">
        <f t="shared" ref="V973" si="621">U973*1.12</f>
        <v>12600.000000000002</v>
      </c>
      <c r="W973" s="7"/>
      <c r="X973" s="2">
        <v>2016</v>
      </c>
      <c r="Y973" s="2"/>
    </row>
    <row r="974" spans="1:25" s="11" customFormat="1" ht="89.25" customHeight="1" outlineLevel="1" x14ac:dyDescent="0.2">
      <c r="A974" s="25"/>
      <c r="B974" s="2" t="s">
        <v>5993</v>
      </c>
      <c r="C974" s="6" t="s">
        <v>83</v>
      </c>
      <c r="D974" s="13" t="s">
        <v>2557</v>
      </c>
      <c r="E974" s="13" t="s">
        <v>2426</v>
      </c>
      <c r="F974" s="13" t="s">
        <v>2558</v>
      </c>
      <c r="G974" s="13" t="s">
        <v>2559</v>
      </c>
      <c r="H974" s="2" t="s">
        <v>88</v>
      </c>
      <c r="I974" s="4">
        <v>0.4</v>
      </c>
      <c r="J974" s="6">
        <v>710000000</v>
      </c>
      <c r="K974" s="6" t="s">
        <v>89</v>
      </c>
      <c r="L974" s="2" t="s">
        <v>754</v>
      </c>
      <c r="M974" s="6" t="s">
        <v>91</v>
      </c>
      <c r="N974" s="6" t="s">
        <v>92</v>
      </c>
      <c r="O974" s="6" t="s">
        <v>93</v>
      </c>
      <c r="P974" s="3" t="s">
        <v>94</v>
      </c>
      <c r="Q974" s="6">
        <v>796</v>
      </c>
      <c r="R974" s="6" t="s">
        <v>118</v>
      </c>
      <c r="S974" s="9">
        <v>1089</v>
      </c>
      <c r="T974" s="9">
        <v>85</v>
      </c>
      <c r="U974" s="9">
        <v>0</v>
      </c>
      <c r="V974" s="9">
        <f t="shared" si="588"/>
        <v>0</v>
      </c>
      <c r="W974" s="7" t="s">
        <v>97</v>
      </c>
      <c r="X974" s="2">
        <v>2016</v>
      </c>
      <c r="Y974" s="2" t="s">
        <v>7793</v>
      </c>
    </row>
    <row r="975" spans="1:25" s="11" customFormat="1" ht="89.25" customHeight="1" outlineLevel="1" x14ac:dyDescent="0.2">
      <c r="A975" s="25"/>
      <c r="B975" s="2" t="s">
        <v>7891</v>
      </c>
      <c r="C975" s="6" t="s">
        <v>83</v>
      </c>
      <c r="D975" s="13" t="s">
        <v>2557</v>
      </c>
      <c r="E975" s="13" t="s">
        <v>2426</v>
      </c>
      <c r="F975" s="13" t="s">
        <v>2558</v>
      </c>
      <c r="G975" s="13" t="s">
        <v>2559</v>
      </c>
      <c r="H975" s="2" t="s">
        <v>88</v>
      </c>
      <c r="I975" s="4">
        <v>0</v>
      </c>
      <c r="J975" s="6">
        <v>710000000</v>
      </c>
      <c r="K975" s="6" t="s">
        <v>89</v>
      </c>
      <c r="L975" s="2" t="s">
        <v>754</v>
      </c>
      <c r="M975" s="6" t="s">
        <v>91</v>
      </c>
      <c r="N975" s="6" t="s">
        <v>92</v>
      </c>
      <c r="O975" s="6" t="s">
        <v>93</v>
      </c>
      <c r="P975" s="3" t="s">
        <v>673</v>
      </c>
      <c r="Q975" s="6">
        <v>796</v>
      </c>
      <c r="R975" s="6" t="s">
        <v>118</v>
      </c>
      <c r="S975" s="9">
        <v>1089</v>
      </c>
      <c r="T975" s="9">
        <v>85</v>
      </c>
      <c r="U975" s="9">
        <v>0</v>
      </c>
      <c r="V975" s="9">
        <f t="shared" ref="V975" si="622">U975*1.12</f>
        <v>0</v>
      </c>
      <c r="W975" s="7"/>
      <c r="X975" s="2">
        <v>2016</v>
      </c>
      <c r="Y975" s="6">
        <v>11</v>
      </c>
    </row>
    <row r="976" spans="1:25" s="11" customFormat="1" ht="89.25" customHeight="1" outlineLevel="1" x14ac:dyDescent="0.25">
      <c r="A976" s="1"/>
      <c r="B976" s="2" t="s">
        <v>9186</v>
      </c>
      <c r="C976" s="6" t="s">
        <v>83</v>
      </c>
      <c r="D976" s="13" t="s">
        <v>2557</v>
      </c>
      <c r="E976" s="13" t="s">
        <v>2426</v>
      </c>
      <c r="F976" s="13" t="s">
        <v>2558</v>
      </c>
      <c r="G976" s="13" t="s">
        <v>2559</v>
      </c>
      <c r="H976" s="2" t="s">
        <v>88</v>
      </c>
      <c r="I976" s="4">
        <v>0</v>
      </c>
      <c r="J976" s="6">
        <v>710000000</v>
      </c>
      <c r="K976" s="6" t="s">
        <v>89</v>
      </c>
      <c r="L976" s="5" t="s">
        <v>9114</v>
      </c>
      <c r="M976" s="6" t="s">
        <v>91</v>
      </c>
      <c r="N976" s="6" t="s">
        <v>92</v>
      </c>
      <c r="O976" s="6" t="s">
        <v>93</v>
      </c>
      <c r="P976" s="3" t="s">
        <v>673</v>
      </c>
      <c r="Q976" s="6">
        <v>796</v>
      </c>
      <c r="R976" s="6" t="s">
        <v>118</v>
      </c>
      <c r="S976" s="9">
        <v>1089</v>
      </c>
      <c r="T976" s="9">
        <v>85</v>
      </c>
      <c r="U976" s="9">
        <f t="shared" ref="U976" si="623">T976*S976</f>
        <v>92565</v>
      </c>
      <c r="V976" s="9">
        <f t="shared" ref="V976" si="624">U976*1.12</f>
        <v>103672.8</v>
      </c>
      <c r="W976" s="7"/>
      <c r="X976" s="2">
        <v>2016</v>
      </c>
      <c r="Y976" s="6"/>
    </row>
    <row r="977" spans="1:25" s="36" customFormat="1" ht="89.25" customHeight="1" outlineLevel="1" x14ac:dyDescent="0.2">
      <c r="A977" s="25"/>
      <c r="B977" s="2" t="s">
        <v>5994</v>
      </c>
      <c r="C977" s="6" t="s">
        <v>83</v>
      </c>
      <c r="D977" s="13" t="s">
        <v>2425</v>
      </c>
      <c r="E977" s="13" t="s">
        <v>2426</v>
      </c>
      <c r="F977" s="13" t="s">
        <v>2427</v>
      </c>
      <c r="G977" s="13" t="s">
        <v>2560</v>
      </c>
      <c r="H977" s="2" t="s">
        <v>88</v>
      </c>
      <c r="I977" s="4">
        <v>0.4</v>
      </c>
      <c r="J977" s="6">
        <v>710000000</v>
      </c>
      <c r="K977" s="6" t="s">
        <v>89</v>
      </c>
      <c r="L977" s="2" t="s">
        <v>754</v>
      </c>
      <c r="M977" s="6" t="s">
        <v>91</v>
      </c>
      <c r="N977" s="6" t="s">
        <v>92</v>
      </c>
      <c r="O977" s="6" t="s">
        <v>93</v>
      </c>
      <c r="P977" s="3" t="s">
        <v>94</v>
      </c>
      <c r="Q977" s="6">
        <v>778</v>
      </c>
      <c r="R977" s="6" t="s">
        <v>523</v>
      </c>
      <c r="S977" s="9">
        <v>4</v>
      </c>
      <c r="T977" s="9">
        <v>295</v>
      </c>
      <c r="U977" s="9">
        <v>0</v>
      </c>
      <c r="V977" s="9">
        <f t="shared" si="588"/>
        <v>0</v>
      </c>
      <c r="W977" s="7" t="s">
        <v>97</v>
      </c>
      <c r="X977" s="2">
        <v>2016</v>
      </c>
      <c r="Y977" s="2" t="s">
        <v>7793</v>
      </c>
    </row>
    <row r="978" spans="1:25" s="36" customFormat="1" ht="89.25" customHeight="1" outlineLevel="1" x14ac:dyDescent="0.2">
      <c r="A978" s="25"/>
      <c r="B978" s="2" t="s">
        <v>7892</v>
      </c>
      <c r="C978" s="6" t="s">
        <v>83</v>
      </c>
      <c r="D978" s="13" t="s">
        <v>2425</v>
      </c>
      <c r="E978" s="13" t="s">
        <v>2426</v>
      </c>
      <c r="F978" s="13" t="s">
        <v>2427</v>
      </c>
      <c r="G978" s="13" t="s">
        <v>2560</v>
      </c>
      <c r="H978" s="2" t="s">
        <v>88</v>
      </c>
      <c r="I978" s="4">
        <v>0</v>
      </c>
      <c r="J978" s="6">
        <v>710000000</v>
      </c>
      <c r="K978" s="6" t="s">
        <v>89</v>
      </c>
      <c r="L978" s="2" t="s">
        <v>754</v>
      </c>
      <c r="M978" s="6" t="s">
        <v>91</v>
      </c>
      <c r="N978" s="6" t="s">
        <v>92</v>
      </c>
      <c r="O978" s="6" t="s">
        <v>93</v>
      </c>
      <c r="P978" s="3" t="s">
        <v>673</v>
      </c>
      <c r="Q978" s="6">
        <v>778</v>
      </c>
      <c r="R978" s="6" t="s">
        <v>523</v>
      </c>
      <c r="S978" s="9">
        <v>4</v>
      </c>
      <c r="T978" s="9">
        <v>295</v>
      </c>
      <c r="U978" s="9">
        <v>0</v>
      </c>
      <c r="V978" s="9">
        <f t="shared" ref="V978" si="625">U978*1.12</f>
        <v>0</v>
      </c>
      <c r="W978" s="7"/>
      <c r="X978" s="2">
        <v>2016</v>
      </c>
      <c r="Y978" s="6">
        <v>11</v>
      </c>
    </row>
    <row r="979" spans="1:25" s="36" customFormat="1" ht="89.25" customHeight="1" outlineLevel="1" x14ac:dyDescent="0.25">
      <c r="A979" s="1"/>
      <c r="B979" s="2" t="s">
        <v>9187</v>
      </c>
      <c r="C979" s="6" t="s">
        <v>83</v>
      </c>
      <c r="D979" s="13" t="s">
        <v>2425</v>
      </c>
      <c r="E979" s="13" t="s">
        <v>2426</v>
      </c>
      <c r="F979" s="13" t="s">
        <v>2427</v>
      </c>
      <c r="G979" s="13" t="s">
        <v>2560</v>
      </c>
      <c r="H979" s="2" t="s">
        <v>88</v>
      </c>
      <c r="I979" s="4">
        <v>0</v>
      </c>
      <c r="J979" s="6">
        <v>710000000</v>
      </c>
      <c r="K979" s="6" t="s">
        <v>89</v>
      </c>
      <c r="L979" s="5" t="s">
        <v>9114</v>
      </c>
      <c r="M979" s="6" t="s">
        <v>91</v>
      </c>
      <c r="N979" s="6" t="s">
        <v>92</v>
      </c>
      <c r="O979" s="6" t="s">
        <v>93</v>
      </c>
      <c r="P979" s="3" t="s">
        <v>673</v>
      </c>
      <c r="Q979" s="6">
        <v>778</v>
      </c>
      <c r="R979" s="6" t="s">
        <v>523</v>
      </c>
      <c r="S979" s="9">
        <v>4</v>
      </c>
      <c r="T979" s="9">
        <v>295</v>
      </c>
      <c r="U979" s="9">
        <f t="shared" ref="U979" si="626">T979*S979</f>
        <v>1180</v>
      </c>
      <c r="V979" s="9">
        <f t="shared" ref="V979" si="627">U979*1.12</f>
        <v>1321.6000000000001</v>
      </c>
      <c r="W979" s="7"/>
      <c r="X979" s="2">
        <v>2016</v>
      </c>
      <c r="Y979" s="6"/>
    </row>
    <row r="980" spans="1:25" s="36" customFormat="1" ht="89.25" customHeight="1" outlineLevel="1" x14ac:dyDescent="0.2">
      <c r="A980" s="25"/>
      <c r="B980" s="2" t="s">
        <v>5995</v>
      </c>
      <c r="C980" s="6" t="s">
        <v>83</v>
      </c>
      <c r="D980" s="13" t="s">
        <v>2425</v>
      </c>
      <c r="E980" s="13" t="s">
        <v>2426</v>
      </c>
      <c r="F980" s="13" t="s">
        <v>2427</v>
      </c>
      <c r="G980" s="13" t="s">
        <v>2561</v>
      </c>
      <c r="H980" s="2" t="s">
        <v>88</v>
      </c>
      <c r="I980" s="4">
        <v>0.4</v>
      </c>
      <c r="J980" s="6">
        <v>710000000</v>
      </c>
      <c r="K980" s="6" t="s">
        <v>89</v>
      </c>
      <c r="L980" s="2" t="s">
        <v>754</v>
      </c>
      <c r="M980" s="6" t="s">
        <v>91</v>
      </c>
      <c r="N980" s="6" t="s">
        <v>92</v>
      </c>
      <c r="O980" s="6" t="s">
        <v>93</v>
      </c>
      <c r="P980" s="3" t="s">
        <v>94</v>
      </c>
      <c r="Q980" s="6">
        <v>778</v>
      </c>
      <c r="R980" s="6" t="s">
        <v>523</v>
      </c>
      <c r="S980" s="9">
        <v>4</v>
      </c>
      <c r="T980" s="9">
        <v>155</v>
      </c>
      <c r="U980" s="9">
        <v>0</v>
      </c>
      <c r="V980" s="9">
        <f t="shared" si="588"/>
        <v>0</v>
      </c>
      <c r="W980" s="7" t="s">
        <v>97</v>
      </c>
      <c r="X980" s="2">
        <v>2016</v>
      </c>
      <c r="Y980" s="2" t="s">
        <v>7793</v>
      </c>
    </row>
    <row r="981" spans="1:25" s="36" customFormat="1" ht="89.25" customHeight="1" outlineLevel="1" x14ac:dyDescent="0.2">
      <c r="A981" s="25"/>
      <c r="B981" s="2" t="s">
        <v>7893</v>
      </c>
      <c r="C981" s="6" t="s">
        <v>83</v>
      </c>
      <c r="D981" s="13" t="s">
        <v>2425</v>
      </c>
      <c r="E981" s="13" t="s">
        <v>2426</v>
      </c>
      <c r="F981" s="13" t="s">
        <v>2427</v>
      </c>
      <c r="G981" s="13" t="s">
        <v>2561</v>
      </c>
      <c r="H981" s="2" t="s">
        <v>88</v>
      </c>
      <c r="I981" s="4">
        <v>0</v>
      </c>
      <c r="J981" s="6">
        <v>710000000</v>
      </c>
      <c r="K981" s="6" t="s">
        <v>89</v>
      </c>
      <c r="L981" s="2" t="s">
        <v>754</v>
      </c>
      <c r="M981" s="6" t="s">
        <v>91</v>
      </c>
      <c r="N981" s="6" t="s">
        <v>92</v>
      </c>
      <c r="O981" s="6" t="s">
        <v>93</v>
      </c>
      <c r="P981" s="3" t="s">
        <v>673</v>
      </c>
      <c r="Q981" s="6">
        <v>778</v>
      </c>
      <c r="R981" s="6" t="s">
        <v>523</v>
      </c>
      <c r="S981" s="9">
        <v>4</v>
      </c>
      <c r="T981" s="9">
        <v>155</v>
      </c>
      <c r="U981" s="9">
        <v>0</v>
      </c>
      <c r="V981" s="9">
        <f t="shared" si="588"/>
        <v>0</v>
      </c>
      <c r="W981" s="7"/>
      <c r="X981" s="2">
        <v>2016</v>
      </c>
      <c r="Y981" s="6">
        <v>11</v>
      </c>
    </row>
    <row r="982" spans="1:25" s="36" customFormat="1" ht="89.25" customHeight="1" outlineLevel="1" x14ac:dyDescent="0.25">
      <c r="A982" s="1"/>
      <c r="B982" s="2" t="s">
        <v>9188</v>
      </c>
      <c r="C982" s="6" t="s">
        <v>83</v>
      </c>
      <c r="D982" s="13" t="s">
        <v>2425</v>
      </c>
      <c r="E982" s="13" t="s">
        <v>2426</v>
      </c>
      <c r="F982" s="13" t="s">
        <v>2427</v>
      </c>
      <c r="G982" s="13" t="s">
        <v>2561</v>
      </c>
      <c r="H982" s="2" t="s">
        <v>88</v>
      </c>
      <c r="I982" s="4">
        <v>0</v>
      </c>
      <c r="J982" s="6">
        <v>710000000</v>
      </c>
      <c r="K982" s="6" t="s">
        <v>89</v>
      </c>
      <c r="L982" s="5" t="s">
        <v>9114</v>
      </c>
      <c r="M982" s="6" t="s">
        <v>91</v>
      </c>
      <c r="N982" s="6" t="s">
        <v>92</v>
      </c>
      <c r="O982" s="6" t="s">
        <v>93</v>
      </c>
      <c r="P982" s="3" t="s">
        <v>673</v>
      </c>
      <c r="Q982" s="6">
        <v>778</v>
      </c>
      <c r="R982" s="6" t="s">
        <v>523</v>
      </c>
      <c r="S982" s="9">
        <v>4</v>
      </c>
      <c r="T982" s="9">
        <v>155</v>
      </c>
      <c r="U982" s="9">
        <f t="shared" ref="U982" si="628">T982*S982</f>
        <v>620</v>
      </c>
      <c r="V982" s="9">
        <f t="shared" ref="V982" si="629">U982*1.12</f>
        <v>694.40000000000009</v>
      </c>
      <c r="W982" s="7"/>
      <c r="X982" s="2">
        <v>2016</v>
      </c>
      <c r="Y982" s="6"/>
    </row>
    <row r="983" spans="1:25" s="36" customFormat="1" ht="89.25" customHeight="1" outlineLevel="1" x14ac:dyDescent="0.2">
      <c r="A983" s="25"/>
      <c r="B983" s="2" t="s">
        <v>5996</v>
      </c>
      <c r="C983" s="6" t="s">
        <v>83</v>
      </c>
      <c r="D983" s="13" t="s">
        <v>2562</v>
      </c>
      <c r="E983" s="13" t="s">
        <v>2436</v>
      </c>
      <c r="F983" s="13" t="s">
        <v>2563</v>
      </c>
      <c r="G983" s="13" t="s">
        <v>2564</v>
      </c>
      <c r="H983" s="2" t="s">
        <v>88</v>
      </c>
      <c r="I983" s="4">
        <v>0.4</v>
      </c>
      <c r="J983" s="6">
        <v>710000000</v>
      </c>
      <c r="K983" s="6" t="s">
        <v>89</v>
      </c>
      <c r="L983" s="2" t="s">
        <v>754</v>
      </c>
      <c r="M983" s="6" t="s">
        <v>91</v>
      </c>
      <c r="N983" s="6" t="s">
        <v>92</v>
      </c>
      <c r="O983" s="6" t="s">
        <v>93</v>
      </c>
      <c r="P983" s="3" t="s">
        <v>94</v>
      </c>
      <c r="Q983" s="6" t="s">
        <v>2433</v>
      </c>
      <c r="R983" s="13" t="s">
        <v>2434</v>
      </c>
      <c r="S983" s="9">
        <v>228</v>
      </c>
      <c r="T983" s="9">
        <v>122</v>
      </c>
      <c r="U983" s="9">
        <v>0</v>
      </c>
      <c r="V983" s="9">
        <f t="shared" si="588"/>
        <v>0</v>
      </c>
      <c r="W983" s="7" t="s">
        <v>97</v>
      </c>
      <c r="X983" s="2">
        <v>2016</v>
      </c>
      <c r="Y983" s="2" t="s">
        <v>7793</v>
      </c>
    </row>
    <row r="984" spans="1:25" s="36" customFormat="1" ht="89.25" customHeight="1" outlineLevel="1" x14ac:dyDescent="0.2">
      <c r="A984" s="25"/>
      <c r="B984" s="2" t="s">
        <v>7894</v>
      </c>
      <c r="C984" s="6" t="s">
        <v>83</v>
      </c>
      <c r="D984" s="13" t="s">
        <v>2562</v>
      </c>
      <c r="E984" s="13" t="s">
        <v>2436</v>
      </c>
      <c r="F984" s="13" t="s">
        <v>2563</v>
      </c>
      <c r="G984" s="13" t="s">
        <v>2564</v>
      </c>
      <c r="H984" s="2" t="s">
        <v>88</v>
      </c>
      <c r="I984" s="4">
        <v>0</v>
      </c>
      <c r="J984" s="6">
        <v>710000000</v>
      </c>
      <c r="K984" s="6" t="s">
        <v>89</v>
      </c>
      <c r="L984" s="2" t="s">
        <v>754</v>
      </c>
      <c r="M984" s="6" t="s">
        <v>91</v>
      </c>
      <c r="N984" s="6" t="s">
        <v>92</v>
      </c>
      <c r="O984" s="6" t="s">
        <v>93</v>
      </c>
      <c r="P984" s="3" t="s">
        <v>673</v>
      </c>
      <c r="Q984" s="6" t="s">
        <v>2433</v>
      </c>
      <c r="R984" s="13" t="s">
        <v>2434</v>
      </c>
      <c r="S984" s="9">
        <v>228</v>
      </c>
      <c r="T984" s="9">
        <v>122</v>
      </c>
      <c r="U984" s="9">
        <v>0</v>
      </c>
      <c r="V984" s="9">
        <f t="shared" ref="V984" si="630">U984*1.12</f>
        <v>0</v>
      </c>
      <c r="W984" s="7"/>
      <c r="X984" s="2">
        <v>2016</v>
      </c>
      <c r="Y984" s="6">
        <v>11</v>
      </c>
    </row>
    <row r="985" spans="1:25" s="36" customFormat="1" ht="89.25" customHeight="1" outlineLevel="1" x14ac:dyDescent="0.25">
      <c r="A985" s="1"/>
      <c r="B985" s="2" t="s">
        <v>9189</v>
      </c>
      <c r="C985" s="6" t="s">
        <v>83</v>
      </c>
      <c r="D985" s="13" t="s">
        <v>2562</v>
      </c>
      <c r="E985" s="13" t="s">
        <v>2436</v>
      </c>
      <c r="F985" s="13" t="s">
        <v>2563</v>
      </c>
      <c r="G985" s="13" t="s">
        <v>2564</v>
      </c>
      <c r="H985" s="2" t="s">
        <v>88</v>
      </c>
      <c r="I985" s="4">
        <v>0</v>
      </c>
      <c r="J985" s="6">
        <v>710000000</v>
      </c>
      <c r="K985" s="6" t="s">
        <v>89</v>
      </c>
      <c r="L985" s="5" t="s">
        <v>9114</v>
      </c>
      <c r="M985" s="6" t="s">
        <v>91</v>
      </c>
      <c r="N985" s="6" t="s">
        <v>92</v>
      </c>
      <c r="O985" s="6" t="s">
        <v>93</v>
      </c>
      <c r="P985" s="3" t="s">
        <v>673</v>
      </c>
      <c r="Q985" s="6" t="s">
        <v>2433</v>
      </c>
      <c r="R985" s="13" t="s">
        <v>2434</v>
      </c>
      <c r="S985" s="9">
        <v>228</v>
      </c>
      <c r="T985" s="9">
        <v>122</v>
      </c>
      <c r="U985" s="9">
        <f t="shared" ref="U985" si="631">T985*S985</f>
        <v>27816</v>
      </c>
      <c r="V985" s="9">
        <f t="shared" ref="V985" si="632">U985*1.12</f>
        <v>31153.920000000002</v>
      </c>
      <c r="W985" s="7"/>
      <c r="X985" s="2">
        <v>2016</v>
      </c>
      <c r="Y985" s="6"/>
    </row>
    <row r="986" spans="1:25" s="36" customFormat="1" ht="89.25" customHeight="1" outlineLevel="1" x14ac:dyDescent="0.2">
      <c r="A986" s="25"/>
      <c r="B986" s="2" t="s">
        <v>5997</v>
      </c>
      <c r="C986" s="6" t="s">
        <v>83</v>
      </c>
      <c r="D986" s="13" t="s">
        <v>2565</v>
      </c>
      <c r="E986" s="13" t="s">
        <v>2414</v>
      </c>
      <c r="F986" s="13" t="s">
        <v>2566</v>
      </c>
      <c r="G986" s="13" t="s">
        <v>2567</v>
      </c>
      <c r="H986" s="2" t="s">
        <v>88</v>
      </c>
      <c r="I986" s="4">
        <v>0.4</v>
      </c>
      <c r="J986" s="6">
        <v>710000000</v>
      </c>
      <c r="K986" s="6" t="s">
        <v>89</v>
      </c>
      <c r="L986" s="2" t="s">
        <v>754</v>
      </c>
      <c r="M986" s="6" t="s">
        <v>91</v>
      </c>
      <c r="N986" s="6" t="s">
        <v>92</v>
      </c>
      <c r="O986" s="6" t="s">
        <v>93</v>
      </c>
      <c r="P986" s="3" t="s">
        <v>94</v>
      </c>
      <c r="Q986" s="6">
        <v>736</v>
      </c>
      <c r="R986" s="6" t="s">
        <v>2412</v>
      </c>
      <c r="S986" s="9">
        <v>224</v>
      </c>
      <c r="T986" s="9">
        <v>563</v>
      </c>
      <c r="U986" s="9">
        <v>0</v>
      </c>
      <c r="V986" s="9">
        <f t="shared" si="588"/>
        <v>0</v>
      </c>
      <c r="W986" s="7" t="s">
        <v>97</v>
      </c>
      <c r="X986" s="2">
        <v>2016</v>
      </c>
      <c r="Y986" s="2" t="s">
        <v>7793</v>
      </c>
    </row>
    <row r="987" spans="1:25" s="36" customFormat="1" ht="89.25" customHeight="1" outlineLevel="1" x14ac:dyDescent="0.2">
      <c r="A987" s="25"/>
      <c r="B987" s="2" t="s">
        <v>7895</v>
      </c>
      <c r="C987" s="6" t="s">
        <v>83</v>
      </c>
      <c r="D987" s="13" t="s">
        <v>2565</v>
      </c>
      <c r="E987" s="13" t="s">
        <v>2414</v>
      </c>
      <c r="F987" s="13" t="s">
        <v>2566</v>
      </c>
      <c r="G987" s="13" t="s">
        <v>2567</v>
      </c>
      <c r="H987" s="2" t="s">
        <v>88</v>
      </c>
      <c r="I987" s="4">
        <v>0</v>
      </c>
      <c r="J987" s="6">
        <v>710000000</v>
      </c>
      <c r="K987" s="6" t="s">
        <v>89</v>
      </c>
      <c r="L987" s="2" t="s">
        <v>754</v>
      </c>
      <c r="M987" s="6" t="s">
        <v>91</v>
      </c>
      <c r="N987" s="6" t="s">
        <v>92</v>
      </c>
      <c r="O987" s="6" t="s">
        <v>93</v>
      </c>
      <c r="P987" s="3" t="s">
        <v>673</v>
      </c>
      <c r="Q987" s="6">
        <v>736</v>
      </c>
      <c r="R987" s="6" t="s">
        <v>2412</v>
      </c>
      <c r="S987" s="9">
        <v>224</v>
      </c>
      <c r="T987" s="9">
        <v>563</v>
      </c>
      <c r="U987" s="9">
        <v>0</v>
      </c>
      <c r="V987" s="9">
        <f t="shared" ref="V987" si="633">U987*1.12</f>
        <v>0</v>
      </c>
      <c r="W987" s="7"/>
      <c r="X987" s="2">
        <v>2016</v>
      </c>
      <c r="Y987" s="6">
        <v>11</v>
      </c>
    </row>
    <row r="988" spans="1:25" s="36" customFormat="1" ht="89.25" customHeight="1" outlineLevel="1" x14ac:dyDescent="0.25">
      <c r="A988" s="1"/>
      <c r="B988" s="2" t="s">
        <v>9190</v>
      </c>
      <c r="C988" s="6" t="s">
        <v>83</v>
      </c>
      <c r="D988" s="13" t="s">
        <v>2565</v>
      </c>
      <c r="E988" s="13" t="s">
        <v>2414</v>
      </c>
      <c r="F988" s="13" t="s">
        <v>2566</v>
      </c>
      <c r="G988" s="13" t="s">
        <v>2567</v>
      </c>
      <c r="H988" s="2" t="s">
        <v>88</v>
      </c>
      <c r="I988" s="4">
        <v>0</v>
      </c>
      <c r="J988" s="6">
        <v>710000000</v>
      </c>
      <c r="K988" s="6" t="s">
        <v>89</v>
      </c>
      <c r="L988" s="5" t="s">
        <v>9114</v>
      </c>
      <c r="M988" s="6" t="s">
        <v>91</v>
      </c>
      <c r="N988" s="6" t="s">
        <v>92</v>
      </c>
      <c r="O988" s="6" t="s">
        <v>93</v>
      </c>
      <c r="P988" s="3" t="s">
        <v>673</v>
      </c>
      <c r="Q988" s="6">
        <v>736</v>
      </c>
      <c r="R988" s="6" t="s">
        <v>2412</v>
      </c>
      <c r="S988" s="9">
        <v>224</v>
      </c>
      <c r="T988" s="9">
        <v>563</v>
      </c>
      <c r="U988" s="9">
        <f t="shared" ref="U988" si="634">T988*S988</f>
        <v>126112</v>
      </c>
      <c r="V988" s="9">
        <f t="shared" ref="V988" si="635">U988*1.12</f>
        <v>141245.44</v>
      </c>
      <c r="W988" s="7"/>
      <c r="X988" s="2">
        <v>2016</v>
      </c>
      <c r="Y988" s="6"/>
    </row>
    <row r="989" spans="1:25" s="36" customFormat="1" ht="89.25" customHeight="1" outlineLevel="1" x14ac:dyDescent="0.2">
      <c r="A989" s="25"/>
      <c r="B989" s="2" t="s">
        <v>5998</v>
      </c>
      <c r="C989" s="6" t="s">
        <v>83</v>
      </c>
      <c r="D989" s="13" t="s">
        <v>2568</v>
      </c>
      <c r="E989" s="13" t="s">
        <v>2569</v>
      </c>
      <c r="F989" s="13" t="s">
        <v>2570</v>
      </c>
      <c r="G989" s="13" t="s">
        <v>2571</v>
      </c>
      <c r="H989" s="2" t="s">
        <v>88</v>
      </c>
      <c r="I989" s="4">
        <v>0.4</v>
      </c>
      <c r="J989" s="6">
        <v>710000000</v>
      </c>
      <c r="K989" s="6" t="s">
        <v>89</v>
      </c>
      <c r="L989" s="2" t="s">
        <v>754</v>
      </c>
      <c r="M989" s="6" t="s">
        <v>91</v>
      </c>
      <c r="N989" s="6" t="s">
        <v>92</v>
      </c>
      <c r="O989" s="6" t="s">
        <v>93</v>
      </c>
      <c r="P989" s="3" t="s">
        <v>94</v>
      </c>
      <c r="Q989" s="6">
        <v>736</v>
      </c>
      <c r="R989" s="6" t="s">
        <v>2412</v>
      </c>
      <c r="S989" s="9">
        <v>126</v>
      </c>
      <c r="T989" s="9">
        <v>295</v>
      </c>
      <c r="U989" s="9">
        <v>0</v>
      </c>
      <c r="V989" s="9">
        <f t="shared" si="588"/>
        <v>0</v>
      </c>
      <c r="W989" s="7" t="s">
        <v>97</v>
      </c>
      <c r="X989" s="2">
        <v>2016</v>
      </c>
      <c r="Y989" s="2" t="s">
        <v>7793</v>
      </c>
    </row>
    <row r="990" spans="1:25" s="36" customFormat="1" ht="89.25" customHeight="1" outlineLevel="1" x14ac:dyDescent="0.2">
      <c r="A990" s="25"/>
      <c r="B990" s="2" t="s">
        <v>7896</v>
      </c>
      <c r="C990" s="6" t="s">
        <v>83</v>
      </c>
      <c r="D990" s="13" t="s">
        <v>2568</v>
      </c>
      <c r="E990" s="13" t="s">
        <v>2569</v>
      </c>
      <c r="F990" s="13" t="s">
        <v>2570</v>
      </c>
      <c r="G990" s="13" t="s">
        <v>2571</v>
      </c>
      <c r="H990" s="2" t="s">
        <v>88</v>
      </c>
      <c r="I990" s="4">
        <v>0</v>
      </c>
      <c r="J990" s="6">
        <v>710000000</v>
      </c>
      <c r="K990" s="6" t="s">
        <v>89</v>
      </c>
      <c r="L990" s="2" t="s">
        <v>754</v>
      </c>
      <c r="M990" s="6" t="s">
        <v>91</v>
      </c>
      <c r="N990" s="6" t="s">
        <v>92</v>
      </c>
      <c r="O990" s="6" t="s">
        <v>93</v>
      </c>
      <c r="P990" s="3" t="s">
        <v>673</v>
      </c>
      <c r="Q990" s="6">
        <v>736</v>
      </c>
      <c r="R990" s="6" t="s">
        <v>2412</v>
      </c>
      <c r="S990" s="9">
        <v>126</v>
      </c>
      <c r="T990" s="9">
        <v>295</v>
      </c>
      <c r="U990" s="9">
        <v>0</v>
      </c>
      <c r="V990" s="9">
        <f t="shared" ref="V990" si="636">U990*1.12</f>
        <v>0</v>
      </c>
      <c r="W990" s="7"/>
      <c r="X990" s="2">
        <v>2016</v>
      </c>
      <c r="Y990" s="6">
        <v>11</v>
      </c>
    </row>
    <row r="991" spans="1:25" s="36" customFormat="1" ht="89.25" customHeight="1" outlineLevel="1" x14ac:dyDescent="0.25">
      <c r="A991" s="1"/>
      <c r="B991" s="2" t="s">
        <v>9191</v>
      </c>
      <c r="C991" s="6" t="s">
        <v>83</v>
      </c>
      <c r="D991" s="13" t="s">
        <v>2568</v>
      </c>
      <c r="E991" s="13" t="s">
        <v>2569</v>
      </c>
      <c r="F991" s="13" t="s">
        <v>2570</v>
      </c>
      <c r="G991" s="13" t="s">
        <v>2571</v>
      </c>
      <c r="H991" s="2" t="s">
        <v>88</v>
      </c>
      <c r="I991" s="4">
        <v>0</v>
      </c>
      <c r="J991" s="6">
        <v>710000000</v>
      </c>
      <c r="K991" s="6" t="s">
        <v>89</v>
      </c>
      <c r="L991" s="5" t="s">
        <v>9114</v>
      </c>
      <c r="M991" s="6" t="s">
        <v>91</v>
      </c>
      <c r="N991" s="6" t="s">
        <v>92</v>
      </c>
      <c r="O991" s="6" t="s">
        <v>93</v>
      </c>
      <c r="P991" s="3" t="s">
        <v>673</v>
      </c>
      <c r="Q991" s="6">
        <v>736</v>
      </c>
      <c r="R991" s="6" t="s">
        <v>2412</v>
      </c>
      <c r="S991" s="9">
        <v>126</v>
      </c>
      <c r="T991" s="9">
        <v>295</v>
      </c>
      <c r="U991" s="9">
        <f t="shared" ref="U991" si="637">T991*S991</f>
        <v>37170</v>
      </c>
      <c r="V991" s="9">
        <f t="shared" ref="V991:V993" si="638">U991*1.12</f>
        <v>41630.400000000001</v>
      </c>
      <c r="W991" s="7"/>
      <c r="X991" s="2">
        <v>2016</v>
      </c>
      <c r="Y991" s="6"/>
    </row>
    <row r="992" spans="1:25" s="36" customFormat="1" ht="89.25" customHeight="1" outlineLevel="1" x14ac:dyDescent="0.2">
      <c r="A992" s="25"/>
      <c r="B992" s="2" t="s">
        <v>5999</v>
      </c>
      <c r="C992" s="6" t="s">
        <v>83</v>
      </c>
      <c r="D992" s="13" t="s">
        <v>2572</v>
      </c>
      <c r="E992" s="13" t="s">
        <v>2573</v>
      </c>
      <c r="F992" s="13" t="s">
        <v>2574</v>
      </c>
      <c r="G992" s="13" t="s">
        <v>2575</v>
      </c>
      <c r="H992" s="2" t="s">
        <v>88</v>
      </c>
      <c r="I992" s="4">
        <v>0.4</v>
      </c>
      <c r="J992" s="6">
        <v>710000000</v>
      </c>
      <c r="K992" s="6" t="s">
        <v>89</v>
      </c>
      <c r="L992" s="2" t="s">
        <v>754</v>
      </c>
      <c r="M992" s="6" t="s">
        <v>91</v>
      </c>
      <c r="N992" s="6" t="s">
        <v>92</v>
      </c>
      <c r="O992" s="6" t="s">
        <v>93</v>
      </c>
      <c r="P992" s="3" t="s">
        <v>94</v>
      </c>
      <c r="Q992" s="6">
        <v>736</v>
      </c>
      <c r="R992" s="6" t="s">
        <v>2412</v>
      </c>
      <c r="S992" s="9">
        <v>37</v>
      </c>
      <c r="T992" s="9">
        <v>433</v>
      </c>
      <c r="U992" s="9">
        <v>0</v>
      </c>
      <c r="V992" s="9">
        <f t="shared" si="588"/>
        <v>0</v>
      </c>
      <c r="W992" s="7" t="s">
        <v>97</v>
      </c>
      <c r="X992" s="2">
        <v>2016</v>
      </c>
      <c r="Y992" s="2" t="s">
        <v>7793</v>
      </c>
    </row>
    <row r="993" spans="1:25" s="36" customFormat="1" ht="89.25" customHeight="1" outlineLevel="1" x14ac:dyDescent="0.2">
      <c r="A993" s="25"/>
      <c r="B993" s="2" t="s">
        <v>7897</v>
      </c>
      <c r="C993" s="6" t="s">
        <v>83</v>
      </c>
      <c r="D993" s="13" t="s">
        <v>2572</v>
      </c>
      <c r="E993" s="13" t="s">
        <v>2573</v>
      </c>
      <c r="F993" s="13" t="s">
        <v>2574</v>
      </c>
      <c r="G993" s="13" t="s">
        <v>2575</v>
      </c>
      <c r="H993" s="2" t="s">
        <v>88</v>
      </c>
      <c r="I993" s="4">
        <v>0</v>
      </c>
      <c r="J993" s="6">
        <v>710000000</v>
      </c>
      <c r="K993" s="6" t="s">
        <v>89</v>
      </c>
      <c r="L993" s="2" t="s">
        <v>754</v>
      </c>
      <c r="M993" s="6" t="s">
        <v>91</v>
      </c>
      <c r="N993" s="6" t="s">
        <v>92</v>
      </c>
      <c r="O993" s="6" t="s">
        <v>93</v>
      </c>
      <c r="P993" s="3" t="s">
        <v>673</v>
      </c>
      <c r="Q993" s="6">
        <v>736</v>
      </c>
      <c r="R993" s="6" t="s">
        <v>2412</v>
      </c>
      <c r="S993" s="9">
        <v>37</v>
      </c>
      <c r="T993" s="9">
        <v>433</v>
      </c>
      <c r="U993" s="9">
        <v>0</v>
      </c>
      <c r="V993" s="9">
        <f t="shared" si="638"/>
        <v>0</v>
      </c>
      <c r="W993" s="7"/>
      <c r="X993" s="2">
        <v>2016</v>
      </c>
      <c r="Y993" s="6">
        <v>11</v>
      </c>
    </row>
    <row r="994" spans="1:25" s="36" customFormat="1" ht="89.25" customHeight="1" outlineLevel="1" x14ac:dyDescent="0.25">
      <c r="A994" s="1"/>
      <c r="B994" s="2" t="s">
        <v>9192</v>
      </c>
      <c r="C994" s="6" t="s">
        <v>83</v>
      </c>
      <c r="D994" s="13" t="s">
        <v>2572</v>
      </c>
      <c r="E994" s="13" t="s">
        <v>2573</v>
      </c>
      <c r="F994" s="13" t="s">
        <v>2574</v>
      </c>
      <c r="G994" s="13" t="s">
        <v>2575</v>
      </c>
      <c r="H994" s="2" t="s">
        <v>88</v>
      </c>
      <c r="I994" s="4">
        <v>0</v>
      </c>
      <c r="J994" s="6">
        <v>710000000</v>
      </c>
      <c r="K994" s="6" t="s">
        <v>89</v>
      </c>
      <c r="L994" s="5" t="s">
        <v>9114</v>
      </c>
      <c r="M994" s="6" t="s">
        <v>91</v>
      </c>
      <c r="N994" s="6" t="s">
        <v>92</v>
      </c>
      <c r="O994" s="6" t="s">
        <v>93</v>
      </c>
      <c r="P994" s="3" t="s">
        <v>673</v>
      </c>
      <c r="Q994" s="6">
        <v>736</v>
      </c>
      <c r="R994" s="6" t="s">
        <v>2412</v>
      </c>
      <c r="S994" s="9">
        <v>37</v>
      </c>
      <c r="T994" s="9">
        <v>433</v>
      </c>
      <c r="U994" s="9">
        <f t="shared" ref="U994" si="639">T994*S994</f>
        <v>16021</v>
      </c>
      <c r="V994" s="9">
        <f t="shared" ref="V994" si="640">U994*1.12</f>
        <v>17943.52</v>
      </c>
      <c r="W994" s="7"/>
      <c r="X994" s="2">
        <v>2016</v>
      </c>
      <c r="Y994" s="6"/>
    </row>
    <row r="995" spans="1:25" s="36" customFormat="1" ht="89.25" customHeight="1" outlineLevel="1" x14ac:dyDescent="0.2">
      <c r="A995" s="25"/>
      <c r="B995" s="2" t="s">
        <v>6000</v>
      </c>
      <c r="C995" s="6" t="s">
        <v>83</v>
      </c>
      <c r="D995" s="13" t="s">
        <v>2576</v>
      </c>
      <c r="E995" s="13" t="s">
        <v>2577</v>
      </c>
      <c r="F995" s="13" t="s">
        <v>2578</v>
      </c>
      <c r="G995" s="13" t="s">
        <v>2579</v>
      </c>
      <c r="H995" s="2" t="s">
        <v>88</v>
      </c>
      <c r="I995" s="4">
        <v>0.4</v>
      </c>
      <c r="J995" s="6">
        <v>710000000</v>
      </c>
      <c r="K995" s="6" t="s">
        <v>89</v>
      </c>
      <c r="L995" s="2" t="s">
        <v>754</v>
      </c>
      <c r="M995" s="6" t="s">
        <v>91</v>
      </c>
      <c r="N995" s="6" t="s">
        <v>92</v>
      </c>
      <c r="O995" s="6" t="s">
        <v>93</v>
      </c>
      <c r="P995" s="3" t="s">
        <v>94</v>
      </c>
      <c r="Q995" s="6">
        <v>796</v>
      </c>
      <c r="R995" s="6" t="s">
        <v>118</v>
      </c>
      <c r="S995" s="9">
        <v>5</v>
      </c>
      <c r="T995" s="9">
        <v>1096</v>
      </c>
      <c r="U995" s="9">
        <v>0</v>
      </c>
      <c r="V995" s="9">
        <f t="shared" si="588"/>
        <v>0</v>
      </c>
      <c r="W995" s="7" t="s">
        <v>97</v>
      </c>
      <c r="X995" s="2">
        <v>2016</v>
      </c>
      <c r="Y995" s="2" t="s">
        <v>7793</v>
      </c>
    </row>
    <row r="996" spans="1:25" s="36" customFormat="1" ht="89.25" customHeight="1" outlineLevel="1" x14ac:dyDescent="0.2">
      <c r="A996" s="25"/>
      <c r="B996" s="2" t="s">
        <v>7898</v>
      </c>
      <c r="C996" s="6" t="s">
        <v>83</v>
      </c>
      <c r="D996" s="13" t="s">
        <v>2576</v>
      </c>
      <c r="E996" s="13" t="s">
        <v>2577</v>
      </c>
      <c r="F996" s="13" t="s">
        <v>2578</v>
      </c>
      <c r="G996" s="13" t="s">
        <v>2579</v>
      </c>
      <c r="H996" s="2" t="s">
        <v>88</v>
      </c>
      <c r="I996" s="4">
        <v>0</v>
      </c>
      <c r="J996" s="6">
        <v>710000000</v>
      </c>
      <c r="K996" s="6" t="s">
        <v>89</v>
      </c>
      <c r="L996" s="2" t="s">
        <v>754</v>
      </c>
      <c r="M996" s="6" t="s">
        <v>91</v>
      </c>
      <c r="N996" s="6" t="s">
        <v>92</v>
      </c>
      <c r="O996" s="6" t="s">
        <v>93</v>
      </c>
      <c r="P996" s="3" t="s">
        <v>673</v>
      </c>
      <c r="Q996" s="6">
        <v>796</v>
      </c>
      <c r="R996" s="6" t="s">
        <v>118</v>
      </c>
      <c r="S996" s="9">
        <v>5</v>
      </c>
      <c r="T996" s="9">
        <v>1096</v>
      </c>
      <c r="U996" s="9">
        <v>0</v>
      </c>
      <c r="V996" s="9">
        <f t="shared" ref="V996" si="641">U996*1.12</f>
        <v>0</v>
      </c>
      <c r="W996" s="7"/>
      <c r="X996" s="2">
        <v>2016</v>
      </c>
      <c r="Y996" s="6">
        <v>11</v>
      </c>
    </row>
    <row r="997" spans="1:25" s="36" customFormat="1" ht="89.25" customHeight="1" outlineLevel="1" x14ac:dyDescent="0.25">
      <c r="A997" s="1"/>
      <c r="B997" s="2" t="s">
        <v>9193</v>
      </c>
      <c r="C997" s="6" t="s">
        <v>83</v>
      </c>
      <c r="D997" s="13" t="s">
        <v>2576</v>
      </c>
      <c r="E997" s="13" t="s">
        <v>2577</v>
      </c>
      <c r="F997" s="13" t="s">
        <v>2578</v>
      </c>
      <c r="G997" s="13" t="s">
        <v>2579</v>
      </c>
      <c r="H997" s="2" t="s">
        <v>88</v>
      </c>
      <c r="I997" s="4">
        <v>0</v>
      </c>
      <c r="J997" s="6">
        <v>710000000</v>
      </c>
      <c r="K997" s="6" t="s">
        <v>89</v>
      </c>
      <c r="L997" s="5" t="s">
        <v>9114</v>
      </c>
      <c r="M997" s="6" t="s">
        <v>91</v>
      </c>
      <c r="N997" s="6" t="s">
        <v>92</v>
      </c>
      <c r="O997" s="6" t="s">
        <v>93</v>
      </c>
      <c r="P997" s="3" t="s">
        <v>673</v>
      </c>
      <c r="Q997" s="6">
        <v>796</v>
      </c>
      <c r="R997" s="6" t="s">
        <v>118</v>
      </c>
      <c r="S997" s="9">
        <v>5</v>
      </c>
      <c r="T997" s="9">
        <v>1096</v>
      </c>
      <c r="U997" s="9">
        <f t="shared" ref="U997" si="642">T997*S997</f>
        <v>5480</v>
      </c>
      <c r="V997" s="9">
        <f t="shared" ref="V997" si="643">U997*1.12</f>
        <v>6137.6</v>
      </c>
      <c r="W997" s="7"/>
      <c r="X997" s="2">
        <v>2016</v>
      </c>
      <c r="Y997" s="6"/>
    </row>
    <row r="998" spans="1:25" s="36" customFormat="1" ht="89.25" customHeight="1" outlineLevel="1" x14ac:dyDescent="0.2">
      <c r="A998" s="25"/>
      <c r="B998" s="2" t="s">
        <v>6001</v>
      </c>
      <c r="C998" s="6" t="s">
        <v>83</v>
      </c>
      <c r="D998" s="13" t="s">
        <v>2529</v>
      </c>
      <c r="E998" s="13" t="s">
        <v>2530</v>
      </c>
      <c r="F998" s="13" t="s">
        <v>2531</v>
      </c>
      <c r="G998" s="13" t="s">
        <v>2580</v>
      </c>
      <c r="H998" s="2" t="s">
        <v>88</v>
      </c>
      <c r="I998" s="4">
        <v>0.4</v>
      </c>
      <c r="J998" s="6">
        <v>710000000</v>
      </c>
      <c r="K998" s="6" t="s">
        <v>89</v>
      </c>
      <c r="L998" s="2" t="s">
        <v>754</v>
      </c>
      <c r="M998" s="6" t="s">
        <v>91</v>
      </c>
      <c r="N998" s="6" t="s">
        <v>92</v>
      </c>
      <c r="O998" s="6" t="s">
        <v>93</v>
      </c>
      <c r="P998" s="3" t="s">
        <v>94</v>
      </c>
      <c r="Q998" s="6">
        <v>778</v>
      </c>
      <c r="R998" s="6" t="s">
        <v>523</v>
      </c>
      <c r="S998" s="9">
        <v>35</v>
      </c>
      <c r="T998" s="9">
        <v>125</v>
      </c>
      <c r="U998" s="9">
        <v>0</v>
      </c>
      <c r="V998" s="9">
        <f t="shared" si="588"/>
        <v>0</v>
      </c>
      <c r="W998" s="7" t="s">
        <v>97</v>
      </c>
      <c r="X998" s="2">
        <v>2016</v>
      </c>
      <c r="Y998" s="2" t="s">
        <v>7793</v>
      </c>
    </row>
    <row r="999" spans="1:25" s="36" customFormat="1" ht="89.25" customHeight="1" outlineLevel="1" x14ac:dyDescent="0.2">
      <c r="A999" s="25"/>
      <c r="B999" s="2" t="s">
        <v>7899</v>
      </c>
      <c r="C999" s="6" t="s">
        <v>83</v>
      </c>
      <c r="D999" s="13" t="s">
        <v>2529</v>
      </c>
      <c r="E999" s="13" t="s">
        <v>2530</v>
      </c>
      <c r="F999" s="13" t="s">
        <v>2531</v>
      </c>
      <c r="G999" s="13" t="s">
        <v>2580</v>
      </c>
      <c r="H999" s="2" t="s">
        <v>88</v>
      </c>
      <c r="I999" s="4">
        <v>0</v>
      </c>
      <c r="J999" s="6">
        <v>710000000</v>
      </c>
      <c r="K999" s="6" t="s">
        <v>89</v>
      </c>
      <c r="L999" s="2" t="s">
        <v>754</v>
      </c>
      <c r="M999" s="6" t="s">
        <v>91</v>
      </c>
      <c r="N999" s="6" t="s">
        <v>92</v>
      </c>
      <c r="O999" s="6" t="s">
        <v>93</v>
      </c>
      <c r="P999" s="3" t="s">
        <v>673</v>
      </c>
      <c r="Q999" s="6">
        <v>778</v>
      </c>
      <c r="R999" s="6" t="s">
        <v>523</v>
      </c>
      <c r="S999" s="9">
        <v>35</v>
      </c>
      <c r="T999" s="9">
        <v>125</v>
      </c>
      <c r="U999" s="9">
        <v>0</v>
      </c>
      <c r="V999" s="9">
        <f t="shared" ref="V999" si="644">U999*1.12</f>
        <v>0</v>
      </c>
      <c r="W999" s="7"/>
      <c r="X999" s="2">
        <v>2016</v>
      </c>
      <c r="Y999" s="6">
        <v>11</v>
      </c>
    </row>
    <row r="1000" spans="1:25" s="36" customFormat="1" ht="89.25" customHeight="1" outlineLevel="1" x14ac:dyDescent="0.25">
      <c r="A1000" s="1"/>
      <c r="B1000" s="2" t="s">
        <v>9194</v>
      </c>
      <c r="C1000" s="6" t="s">
        <v>83</v>
      </c>
      <c r="D1000" s="13" t="s">
        <v>2529</v>
      </c>
      <c r="E1000" s="13" t="s">
        <v>2530</v>
      </c>
      <c r="F1000" s="13" t="s">
        <v>2531</v>
      </c>
      <c r="G1000" s="13" t="s">
        <v>2580</v>
      </c>
      <c r="H1000" s="2" t="s">
        <v>88</v>
      </c>
      <c r="I1000" s="4">
        <v>0</v>
      </c>
      <c r="J1000" s="6">
        <v>710000000</v>
      </c>
      <c r="K1000" s="6" t="s">
        <v>89</v>
      </c>
      <c r="L1000" s="5" t="s">
        <v>9114</v>
      </c>
      <c r="M1000" s="6" t="s">
        <v>91</v>
      </c>
      <c r="N1000" s="6" t="s">
        <v>92</v>
      </c>
      <c r="O1000" s="6" t="s">
        <v>93</v>
      </c>
      <c r="P1000" s="3" t="s">
        <v>673</v>
      </c>
      <c r="Q1000" s="6">
        <v>778</v>
      </c>
      <c r="R1000" s="6" t="s">
        <v>523</v>
      </c>
      <c r="S1000" s="9">
        <v>35</v>
      </c>
      <c r="T1000" s="9">
        <v>125</v>
      </c>
      <c r="U1000" s="9">
        <f t="shared" ref="U1000" si="645">T1000*S1000</f>
        <v>4375</v>
      </c>
      <c r="V1000" s="9">
        <f t="shared" ref="V1000" si="646">U1000*1.12</f>
        <v>4900.0000000000009</v>
      </c>
      <c r="W1000" s="7"/>
      <c r="X1000" s="2">
        <v>2016</v>
      </c>
      <c r="Y1000" s="6"/>
    </row>
    <row r="1001" spans="1:25" s="36" customFormat="1" ht="89.25" customHeight="1" outlineLevel="1" x14ac:dyDescent="0.2">
      <c r="A1001" s="25"/>
      <c r="B1001" s="2" t="s">
        <v>6002</v>
      </c>
      <c r="C1001" s="42" t="s">
        <v>83</v>
      </c>
      <c r="D1001" s="48" t="s">
        <v>2581</v>
      </c>
      <c r="E1001" s="48" t="s">
        <v>818</v>
      </c>
      <c r="F1001" s="48" t="s">
        <v>2582</v>
      </c>
      <c r="G1001" s="48" t="s">
        <v>2583</v>
      </c>
      <c r="H1001" s="47" t="s">
        <v>88</v>
      </c>
      <c r="I1001" s="4">
        <v>0.4</v>
      </c>
      <c r="J1001" s="42">
        <v>710000000</v>
      </c>
      <c r="K1001" s="42" t="s">
        <v>89</v>
      </c>
      <c r="L1001" s="2" t="s">
        <v>754</v>
      </c>
      <c r="M1001" s="42" t="s">
        <v>91</v>
      </c>
      <c r="N1001" s="42" t="s">
        <v>92</v>
      </c>
      <c r="O1001" s="42" t="s">
        <v>93</v>
      </c>
      <c r="P1001" s="41" t="s">
        <v>94</v>
      </c>
      <c r="Q1001" s="42">
        <v>796</v>
      </c>
      <c r="R1001" s="42" t="s">
        <v>118</v>
      </c>
      <c r="S1001" s="46">
        <v>10</v>
      </c>
      <c r="T1001" s="46">
        <v>88</v>
      </c>
      <c r="U1001" s="46">
        <v>0</v>
      </c>
      <c r="V1001" s="46">
        <f t="shared" si="588"/>
        <v>0</v>
      </c>
      <c r="W1001" s="44" t="s">
        <v>97</v>
      </c>
      <c r="X1001" s="2">
        <v>2016</v>
      </c>
      <c r="Y1001" s="2" t="s">
        <v>7793</v>
      </c>
    </row>
    <row r="1002" spans="1:25" s="36" customFormat="1" ht="89.25" customHeight="1" outlineLevel="1" x14ac:dyDescent="0.2">
      <c r="A1002" s="25"/>
      <c r="B1002" s="2" t="s">
        <v>7900</v>
      </c>
      <c r="C1002" s="42" t="s">
        <v>83</v>
      </c>
      <c r="D1002" s="48" t="s">
        <v>2581</v>
      </c>
      <c r="E1002" s="48" t="s">
        <v>818</v>
      </c>
      <c r="F1002" s="48" t="s">
        <v>2582</v>
      </c>
      <c r="G1002" s="48" t="s">
        <v>2583</v>
      </c>
      <c r="H1002" s="47" t="s">
        <v>88</v>
      </c>
      <c r="I1002" s="4">
        <v>0</v>
      </c>
      <c r="J1002" s="42">
        <v>710000000</v>
      </c>
      <c r="K1002" s="42" t="s">
        <v>89</v>
      </c>
      <c r="L1002" s="2" t="s">
        <v>754</v>
      </c>
      <c r="M1002" s="42" t="s">
        <v>91</v>
      </c>
      <c r="N1002" s="42" t="s">
        <v>92</v>
      </c>
      <c r="O1002" s="42" t="s">
        <v>93</v>
      </c>
      <c r="P1002" s="41" t="s">
        <v>673</v>
      </c>
      <c r="Q1002" s="42">
        <v>796</v>
      </c>
      <c r="R1002" s="42" t="s">
        <v>118</v>
      </c>
      <c r="S1002" s="46">
        <v>10</v>
      </c>
      <c r="T1002" s="46">
        <v>88</v>
      </c>
      <c r="U1002" s="46">
        <v>0</v>
      </c>
      <c r="V1002" s="46">
        <f t="shared" ref="V1002" si="647">U1002*1.12</f>
        <v>0</v>
      </c>
      <c r="W1002" s="44"/>
      <c r="X1002" s="2">
        <v>2016</v>
      </c>
      <c r="Y1002" s="42">
        <v>11</v>
      </c>
    </row>
    <row r="1003" spans="1:25" s="36" customFormat="1" ht="89.25" customHeight="1" outlineLevel="1" x14ac:dyDescent="0.25">
      <c r="A1003" s="1"/>
      <c r="B1003" s="2" t="s">
        <v>9195</v>
      </c>
      <c r="C1003" s="42" t="s">
        <v>83</v>
      </c>
      <c r="D1003" s="48" t="s">
        <v>2581</v>
      </c>
      <c r="E1003" s="48" t="s">
        <v>818</v>
      </c>
      <c r="F1003" s="48" t="s">
        <v>2582</v>
      </c>
      <c r="G1003" s="48" t="s">
        <v>2583</v>
      </c>
      <c r="H1003" s="47" t="s">
        <v>88</v>
      </c>
      <c r="I1003" s="4">
        <v>0</v>
      </c>
      <c r="J1003" s="42">
        <v>710000000</v>
      </c>
      <c r="K1003" s="42" t="s">
        <v>89</v>
      </c>
      <c r="L1003" s="5" t="s">
        <v>9114</v>
      </c>
      <c r="M1003" s="42" t="s">
        <v>91</v>
      </c>
      <c r="N1003" s="42" t="s">
        <v>92</v>
      </c>
      <c r="O1003" s="42" t="s">
        <v>93</v>
      </c>
      <c r="P1003" s="41" t="s">
        <v>673</v>
      </c>
      <c r="Q1003" s="42">
        <v>796</v>
      </c>
      <c r="R1003" s="42" t="s">
        <v>118</v>
      </c>
      <c r="S1003" s="46">
        <v>10</v>
      </c>
      <c r="T1003" s="46">
        <v>88</v>
      </c>
      <c r="U1003" s="46">
        <f t="shared" ref="U1003" si="648">T1003*S1003</f>
        <v>880</v>
      </c>
      <c r="V1003" s="46">
        <f t="shared" ref="V1003" si="649">U1003*1.12</f>
        <v>985.60000000000014</v>
      </c>
      <c r="W1003" s="44"/>
      <c r="X1003" s="2">
        <v>2016</v>
      </c>
      <c r="Y1003" s="42"/>
    </row>
    <row r="1004" spans="1:25" s="36" customFormat="1" ht="89.25" customHeight="1" outlineLevel="1" x14ac:dyDescent="0.2">
      <c r="A1004" s="25"/>
      <c r="B1004" s="2" t="s">
        <v>6003</v>
      </c>
      <c r="C1004" s="6" t="s">
        <v>83</v>
      </c>
      <c r="D1004" s="6" t="s">
        <v>2584</v>
      </c>
      <c r="E1004" s="6" t="s">
        <v>2585</v>
      </c>
      <c r="F1004" s="6" t="s">
        <v>2586</v>
      </c>
      <c r="G1004" s="6" t="s">
        <v>2587</v>
      </c>
      <c r="H1004" s="2" t="s">
        <v>88</v>
      </c>
      <c r="I1004" s="4">
        <v>0.4</v>
      </c>
      <c r="J1004" s="6">
        <v>710000000</v>
      </c>
      <c r="K1004" s="6" t="s">
        <v>89</v>
      </c>
      <c r="L1004" s="2" t="s">
        <v>754</v>
      </c>
      <c r="M1004" s="6" t="s">
        <v>91</v>
      </c>
      <c r="N1004" s="6" t="s">
        <v>92</v>
      </c>
      <c r="O1004" s="6" t="s">
        <v>93</v>
      </c>
      <c r="P1004" s="3" t="s">
        <v>94</v>
      </c>
      <c r="Q1004" s="6">
        <v>796</v>
      </c>
      <c r="R1004" s="6" t="s">
        <v>118</v>
      </c>
      <c r="S1004" s="9">
        <v>38</v>
      </c>
      <c r="T1004" s="9">
        <v>1723</v>
      </c>
      <c r="U1004" s="9">
        <v>0</v>
      </c>
      <c r="V1004" s="9">
        <f t="shared" si="588"/>
        <v>0</v>
      </c>
      <c r="W1004" s="7" t="s">
        <v>97</v>
      </c>
      <c r="X1004" s="2">
        <v>2016</v>
      </c>
      <c r="Y1004" s="2" t="s">
        <v>7793</v>
      </c>
    </row>
    <row r="1005" spans="1:25" s="36" customFormat="1" ht="89.25" customHeight="1" outlineLevel="1" x14ac:dyDescent="0.2">
      <c r="A1005" s="25"/>
      <c r="B1005" s="2" t="s">
        <v>7901</v>
      </c>
      <c r="C1005" s="6" t="s">
        <v>83</v>
      </c>
      <c r="D1005" s="6" t="s">
        <v>2584</v>
      </c>
      <c r="E1005" s="6" t="s">
        <v>2585</v>
      </c>
      <c r="F1005" s="6" t="s">
        <v>2586</v>
      </c>
      <c r="G1005" s="6" t="s">
        <v>2587</v>
      </c>
      <c r="H1005" s="2" t="s">
        <v>88</v>
      </c>
      <c r="I1005" s="4">
        <v>0</v>
      </c>
      <c r="J1005" s="6">
        <v>710000000</v>
      </c>
      <c r="K1005" s="6" t="s">
        <v>89</v>
      </c>
      <c r="L1005" s="2" t="s">
        <v>754</v>
      </c>
      <c r="M1005" s="6" t="s">
        <v>91</v>
      </c>
      <c r="N1005" s="6" t="s">
        <v>92</v>
      </c>
      <c r="O1005" s="6" t="s">
        <v>93</v>
      </c>
      <c r="P1005" s="3" t="s">
        <v>673</v>
      </c>
      <c r="Q1005" s="6">
        <v>796</v>
      </c>
      <c r="R1005" s="6" t="s">
        <v>118</v>
      </c>
      <c r="S1005" s="9">
        <v>38</v>
      </c>
      <c r="T1005" s="9">
        <v>1723</v>
      </c>
      <c r="U1005" s="9">
        <v>0</v>
      </c>
      <c r="V1005" s="9">
        <f t="shared" ref="V1005" si="650">U1005*1.12</f>
        <v>0</v>
      </c>
      <c r="W1005" s="7"/>
      <c r="X1005" s="2">
        <v>2016</v>
      </c>
      <c r="Y1005" s="42">
        <v>11</v>
      </c>
    </row>
    <row r="1006" spans="1:25" s="36" customFormat="1" ht="89.25" customHeight="1" outlineLevel="1" x14ac:dyDescent="0.25">
      <c r="A1006" s="1"/>
      <c r="B1006" s="2" t="s">
        <v>9196</v>
      </c>
      <c r="C1006" s="6" t="s">
        <v>83</v>
      </c>
      <c r="D1006" s="6" t="s">
        <v>2584</v>
      </c>
      <c r="E1006" s="6" t="s">
        <v>2585</v>
      </c>
      <c r="F1006" s="6" t="s">
        <v>2586</v>
      </c>
      <c r="G1006" s="6" t="s">
        <v>2587</v>
      </c>
      <c r="H1006" s="2" t="s">
        <v>88</v>
      </c>
      <c r="I1006" s="4">
        <v>0</v>
      </c>
      <c r="J1006" s="6">
        <v>710000000</v>
      </c>
      <c r="K1006" s="6" t="s">
        <v>89</v>
      </c>
      <c r="L1006" s="5" t="s">
        <v>9114</v>
      </c>
      <c r="M1006" s="6" t="s">
        <v>91</v>
      </c>
      <c r="N1006" s="6" t="s">
        <v>92</v>
      </c>
      <c r="O1006" s="6" t="s">
        <v>93</v>
      </c>
      <c r="P1006" s="3" t="s">
        <v>673</v>
      </c>
      <c r="Q1006" s="6">
        <v>796</v>
      </c>
      <c r="R1006" s="6" t="s">
        <v>118</v>
      </c>
      <c r="S1006" s="9">
        <v>38</v>
      </c>
      <c r="T1006" s="9">
        <v>1723</v>
      </c>
      <c r="U1006" s="9">
        <f t="shared" ref="U1006" si="651">T1006*S1006</f>
        <v>65474</v>
      </c>
      <c r="V1006" s="9">
        <f t="shared" ref="V1006" si="652">U1006*1.12</f>
        <v>73330.880000000005</v>
      </c>
      <c r="W1006" s="7"/>
      <c r="X1006" s="2">
        <v>2016</v>
      </c>
      <c r="Y1006" s="9"/>
    </row>
    <row r="1007" spans="1:25" s="36" customFormat="1" ht="89.25" customHeight="1" outlineLevel="1" x14ac:dyDescent="0.2">
      <c r="A1007" s="25"/>
      <c r="B1007" s="2" t="s">
        <v>6004</v>
      </c>
      <c r="C1007" s="6" t="s">
        <v>83</v>
      </c>
      <c r="D1007" s="6" t="s">
        <v>2588</v>
      </c>
      <c r="E1007" s="6" t="s">
        <v>2589</v>
      </c>
      <c r="F1007" s="6" t="s">
        <v>2590</v>
      </c>
      <c r="G1007" s="6" t="s">
        <v>2591</v>
      </c>
      <c r="H1007" s="2" t="s">
        <v>88</v>
      </c>
      <c r="I1007" s="4">
        <v>0.4</v>
      </c>
      <c r="J1007" s="6">
        <v>710000000</v>
      </c>
      <c r="K1007" s="6" t="s">
        <v>89</v>
      </c>
      <c r="L1007" s="2" t="s">
        <v>754</v>
      </c>
      <c r="M1007" s="6" t="s">
        <v>91</v>
      </c>
      <c r="N1007" s="6" t="s">
        <v>92</v>
      </c>
      <c r="O1007" s="6" t="s">
        <v>93</v>
      </c>
      <c r="P1007" s="3" t="s">
        <v>94</v>
      </c>
      <c r="Q1007" s="6">
        <v>778</v>
      </c>
      <c r="R1007" s="6" t="s">
        <v>523</v>
      </c>
      <c r="S1007" s="9">
        <v>55</v>
      </c>
      <c r="T1007" s="9">
        <v>936.27</v>
      </c>
      <c r="U1007" s="9">
        <v>0</v>
      </c>
      <c r="V1007" s="9">
        <f t="shared" si="588"/>
        <v>0</v>
      </c>
      <c r="W1007" s="7" t="s">
        <v>97</v>
      </c>
      <c r="X1007" s="2">
        <v>2016</v>
      </c>
      <c r="Y1007" s="2" t="s">
        <v>7793</v>
      </c>
    </row>
    <row r="1008" spans="1:25" s="36" customFormat="1" ht="89.25" customHeight="1" outlineLevel="1" x14ac:dyDescent="0.2">
      <c r="A1008" s="25"/>
      <c r="B1008" s="2" t="s">
        <v>7902</v>
      </c>
      <c r="C1008" s="6" t="s">
        <v>83</v>
      </c>
      <c r="D1008" s="6" t="s">
        <v>2588</v>
      </c>
      <c r="E1008" s="6" t="s">
        <v>2589</v>
      </c>
      <c r="F1008" s="6" t="s">
        <v>2590</v>
      </c>
      <c r="G1008" s="6" t="s">
        <v>2591</v>
      </c>
      <c r="H1008" s="2" t="s">
        <v>88</v>
      </c>
      <c r="I1008" s="4">
        <v>0</v>
      </c>
      <c r="J1008" s="6">
        <v>710000000</v>
      </c>
      <c r="K1008" s="6" t="s">
        <v>89</v>
      </c>
      <c r="L1008" s="2" t="s">
        <v>754</v>
      </c>
      <c r="M1008" s="6" t="s">
        <v>91</v>
      </c>
      <c r="N1008" s="6" t="s">
        <v>92</v>
      </c>
      <c r="O1008" s="6" t="s">
        <v>93</v>
      </c>
      <c r="P1008" s="3" t="s">
        <v>673</v>
      </c>
      <c r="Q1008" s="6">
        <v>778</v>
      </c>
      <c r="R1008" s="6" t="s">
        <v>523</v>
      </c>
      <c r="S1008" s="9">
        <v>55</v>
      </c>
      <c r="T1008" s="9">
        <v>936.27</v>
      </c>
      <c r="U1008" s="9">
        <v>0</v>
      </c>
      <c r="V1008" s="9">
        <f t="shared" ref="V1008" si="653">U1008*1.12</f>
        <v>0</v>
      </c>
      <c r="W1008" s="7"/>
      <c r="X1008" s="2">
        <v>2016</v>
      </c>
      <c r="Y1008" s="42">
        <v>11</v>
      </c>
    </row>
    <row r="1009" spans="1:25" s="36" customFormat="1" ht="89.25" customHeight="1" outlineLevel="1" x14ac:dyDescent="0.25">
      <c r="A1009" s="1"/>
      <c r="B1009" s="2" t="s">
        <v>9197</v>
      </c>
      <c r="C1009" s="6" t="s">
        <v>83</v>
      </c>
      <c r="D1009" s="6" t="s">
        <v>2588</v>
      </c>
      <c r="E1009" s="6" t="s">
        <v>2589</v>
      </c>
      <c r="F1009" s="6" t="s">
        <v>2590</v>
      </c>
      <c r="G1009" s="6" t="s">
        <v>2591</v>
      </c>
      <c r="H1009" s="2" t="s">
        <v>88</v>
      </c>
      <c r="I1009" s="4">
        <v>0</v>
      </c>
      <c r="J1009" s="6">
        <v>710000000</v>
      </c>
      <c r="K1009" s="6" t="s">
        <v>89</v>
      </c>
      <c r="L1009" s="5" t="s">
        <v>9114</v>
      </c>
      <c r="M1009" s="6" t="s">
        <v>91</v>
      </c>
      <c r="N1009" s="6" t="s">
        <v>92</v>
      </c>
      <c r="O1009" s="6" t="s">
        <v>93</v>
      </c>
      <c r="P1009" s="3" t="s">
        <v>673</v>
      </c>
      <c r="Q1009" s="6">
        <v>778</v>
      </c>
      <c r="R1009" s="6" t="s">
        <v>523</v>
      </c>
      <c r="S1009" s="9">
        <v>55</v>
      </c>
      <c r="T1009" s="9">
        <v>936.27</v>
      </c>
      <c r="U1009" s="9">
        <f t="shared" ref="U1009" si="654">T1009*S1009</f>
        <v>51494.85</v>
      </c>
      <c r="V1009" s="9">
        <f t="shared" ref="V1009" si="655">U1009*1.12</f>
        <v>57674.232000000004</v>
      </c>
      <c r="W1009" s="7"/>
      <c r="X1009" s="2">
        <v>2016</v>
      </c>
      <c r="Y1009" s="9"/>
    </row>
    <row r="1010" spans="1:25" s="36" customFormat="1" ht="127.5" customHeight="1" outlineLevel="1" x14ac:dyDescent="0.2">
      <c r="A1010" s="25"/>
      <c r="B1010" s="2" t="s">
        <v>6005</v>
      </c>
      <c r="C1010" s="6" t="s">
        <v>83</v>
      </c>
      <c r="D1010" s="6" t="s">
        <v>2592</v>
      </c>
      <c r="E1010" s="6" t="s">
        <v>2593</v>
      </c>
      <c r="F1010" s="6" t="s">
        <v>2594</v>
      </c>
      <c r="G1010" s="6" t="s">
        <v>2595</v>
      </c>
      <c r="H1010" s="2" t="s">
        <v>88</v>
      </c>
      <c r="I1010" s="4">
        <v>0.4</v>
      </c>
      <c r="J1010" s="6">
        <v>710000000</v>
      </c>
      <c r="K1010" s="6" t="s">
        <v>89</v>
      </c>
      <c r="L1010" s="2" t="s">
        <v>754</v>
      </c>
      <c r="M1010" s="6" t="s">
        <v>91</v>
      </c>
      <c r="N1010" s="6" t="s">
        <v>92</v>
      </c>
      <c r="O1010" s="6" t="s">
        <v>93</v>
      </c>
      <c r="P1010" s="3" t="s">
        <v>94</v>
      </c>
      <c r="Q1010" s="6">
        <v>778</v>
      </c>
      <c r="R1010" s="6" t="s">
        <v>523</v>
      </c>
      <c r="S1010" s="9">
        <v>46</v>
      </c>
      <c r="T1010" s="9">
        <v>1241</v>
      </c>
      <c r="U1010" s="9">
        <v>0</v>
      </c>
      <c r="V1010" s="9">
        <f t="shared" si="588"/>
        <v>0</v>
      </c>
      <c r="W1010" s="7" t="s">
        <v>97</v>
      </c>
      <c r="X1010" s="2">
        <v>2016</v>
      </c>
      <c r="Y1010" s="2" t="s">
        <v>7793</v>
      </c>
    </row>
    <row r="1011" spans="1:25" s="36" customFormat="1" ht="127.5" customHeight="1" outlineLevel="1" x14ac:dyDescent="0.2">
      <c r="A1011" s="25"/>
      <c r="B1011" s="2" t="s">
        <v>7903</v>
      </c>
      <c r="C1011" s="6" t="s">
        <v>83</v>
      </c>
      <c r="D1011" s="6" t="s">
        <v>2592</v>
      </c>
      <c r="E1011" s="6" t="s">
        <v>2593</v>
      </c>
      <c r="F1011" s="6" t="s">
        <v>2594</v>
      </c>
      <c r="G1011" s="6" t="s">
        <v>2595</v>
      </c>
      <c r="H1011" s="2" t="s">
        <v>88</v>
      </c>
      <c r="I1011" s="4">
        <v>0</v>
      </c>
      <c r="J1011" s="6">
        <v>710000000</v>
      </c>
      <c r="K1011" s="6" t="s">
        <v>89</v>
      </c>
      <c r="L1011" s="2" t="s">
        <v>754</v>
      </c>
      <c r="M1011" s="6" t="s">
        <v>91</v>
      </c>
      <c r="N1011" s="6" t="s">
        <v>92</v>
      </c>
      <c r="O1011" s="6" t="s">
        <v>93</v>
      </c>
      <c r="P1011" s="3" t="s">
        <v>673</v>
      </c>
      <c r="Q1011" s="6">
        <v>778</v>
      </c>
      <c r="R1011" s="6" t="s">
        <v>523</v>
      </c>
      <c r="S1011" s="9">
        <v>46</v>
      </c>
      <c r="T1011" s="9">
        <v>1241</v>
      </c>
      <c r="U1011" s="9">
        <v>0</v>
      </c>
      <c r="V1011" s="9">
        <f t="shared" si="588"/>
        <v>0</v>
      </c>
      <c r="W1011" s="7"/>
      <c r="X1011" s="2">
        <v>2016</v>
      </c>
      <c r="Y1011" s="42">
        <v>11</v>
      </c>
    </row>
    <row r="1012" spans="1:25" s="36" customFormat="1" ht="127.5" customHeight="1" outlineLevel="1" x14ac:dyDescent="0.25">
      <c r="A1012" s="1"/>
      <c r="B1012" s="2" t="s">
        <v>9198</v>
      </c>
      <c r="C1012" s="6" t="s">
        <v>83</v>
      </c>
      <c r="D1012" s="6" t="s">
        <v>2592</v>
      </c>
      <c r="E1012" s="6" t="s">
        <v>2593</v>
      </c>
      <c r="F1012" s="6" t="s">
        <v>2594</v>
      </c>
      <c r="G1012" s="6" t="s">
        <v>2595</v>
      </c>
      <c r="H1012" s="2" t="s">
        <v>88</v>
      </c>
      <c r="I1012" s="4">
        <v>0</v>
      </c>
      <c r="J1012" s="6">
        <v>710000000</v>
      </c>
      <c r="K1012" s="6" t="s">
        <v>89</v>
      </c>
      <c r="L1012" s="5" t="s">
        <v>9114</v>
      </c>
      <c r="M1012" s="6" t="s">
        <v>91</v>
      </c>
      <c r="N1012" s="6" t="s">
        <v>92</v>
      </c>
      <c r="O1012" s="6" t="s">
        <v>93</v>
      </c>
      <c r="P1012" s="3" t="s">
        <v>673</v>
      </c>
      <c r="Q1012" s="6">
        <v>778</v>
      </c>
      <c r="R1012" s="6" t="s">
        <v>523</v>
      </c>
      <c r="S1012" s="9">
        <v>46</v>
      </c>
      <c r="T1012" s="9">
        <v>1241</v>
      </c>
      <c r="U1012" s="9">
        <f t="shared" ref="U1012" si="656">T1012*S1012</f>
        <v>57086</v>
      </c>
      <c r="V1012" s="9">
        <f t="shared" ref="V1012" si="657">U1012*1.12</f>
        <v>63936.320000000007</v>
      </c>
      <c r="W1012" s="7"/>
      <c r="X1012" s="2">
        <v>2016</v>
      </c>
      <c r="Y1012" s="9"/>
    </row>
    <row r="1013" spans="1:25" s="36" customFormat="1" ht="89.25" customHeight="1" outlineLevel="1" x14ac:dyDescent="0.2">
      <c r="A1013" s="25"/>
      <c r="B1013" s="2" t="s">
        <v>6006</v>
      </c>
      <c r="C1013" s="49" t="s">
        <v>83</v>
      </c>
      <c r="D1013" s="49" t="s">
        <v>2596</v>
      </c>
      <c r="E1013" s="49" t="s">
        <v>2585</v>
      </c>
      <c r="F1013" s="49" t="s">
        <v>2597</v>
      </c>
      <c r="G1013" s="49" t="s">
        <v>2598</v>
      </c>
      <c r="H1013" s="50" t="s">
        <v>88</v>
      </c>
      <c r="I1013" s="4">
        <v>0.4</v>
      </c>
      <c r="J1013" s="49">
        <v>710000000</v>
      </c>
      <c r="K1013" s="49" t="s">
        <v>89</v>
      </c>
      <c r="L1013" s="2" t="s">
        <v>754</v>
      </c>
      <c r="M1013" s="49" t="s">
        <v>91</v>
      </c>
      <c r="N1013" s="49" t="s">
        <v>92</v>
      </c>
      <c r="O1013" s="49" t="s">
        <v>93</v>
      </c>
      <c r="P1013" s="51" t="s">
        <v>94</v>
      </c>
      <c r="Q1013" s="49">
        <v>796</v>
      </c>
      <c r="R1013" s="49" t="s">
        <v>118</v>
      </c>
      <c r="S1013" s="52">
        <v>241</v>
      </c>
      <c r="T1013" s="52">
        <v>67</v>
      </c>
      <c r="U1013" s="52">
        <v>0</v>
      </c>
      <c r="V1013" s="52">
        <f t="shared" si="588"/>
        <v>0</v>
      </c>
      <c r="W1013" s="53" t="s">
        <v>97</v>
      </c>
      <c r="X1013" s="2">
        <v>2016</v>
      </c>
      <c r="Y1013" s="2" t="s">
        <v>7793</v>
      </c>
    </row>
    <row r="1014" spans="1:25" s="36" customFormat="1" ht="89.25" customHeight="1" outlineLevel="1" x14ac:dyDescent="0.2">
      <c r="A1014" s="25"/>
      <c r="B1014" s="2" t="s">
        <v>7904</v>
      </c>
      <c r="C1014" s="49" t="s">
        <v>83</v>
      </c>
      <c r="D1014" s="49" t="s">
        <v>2596</v>
      </c>
      <c r="E1014" s="49" t="s">
        <v>2585</v>
      </c>
      <c r="F1014" s="49" t="s">
        <v>2597</v>
      </c>
      <c r="G1014" s="49" t="s">
        <v>2598</v>
      </c>
      <c r="H1014" s="50" t="s">
        <v>88</v>
      </c>
      <c r="I1014" s="4">
        <v>0</v>
      </c>
      <c r="J1014" s="49">
        <v>710000000</v>
      </c>
      <c r="K1014" s="49" t="s">
        <v>89</v>
      </c>
      <c r="L1014" s="2" t="s">
        <v>754</v>
      </c>
      <c r="M1014" s="49" t="s">
        <v>91</v>
      </c>
      <c r="N1014" s="49" t="s">
        <v>92</v>
      </c>
      <c r="O1014" s="49" t="s">
        <v>93</v>
      </c>
      <c r="P1014" s="51" t="s">
        <v>673</v>
      </c>
      <c r="Q1014" s="49">
        <v>796</v>
      </c>
      <c r="R1014" s="49" t="s">
        <v>118</v>
      </c>
      <c r="S1014" s="52">
        <v>241</v>
      </c>
      <c r="T1014" s="52">
        <v>67</v>
      </c>
      <c r="U1014" s="52">
        <v>0</v>
      </c>
      <c r="V1014" s="52">
        <f t="shared" ref="V1014" si="658">U1014*1.12</f>
        <v>0</v>
      </c>
      <c r="W1014" s="53"/>
      <c r="X1014" s="2">
        <v>2016</v>
      </c>
      <c r="Y1014" s="42">
        <v>11</v>
      </c>
    </row>
    <row r="1015" spans="1:25" s="36" customFormat="1" ht="89.25" customHeight="1" outlineLevel="1" x14ac:dyDescent="0.25">
      <c r="A1015" s="1"/>
      <c r="B1015" s="2" t="s">
        <v>9199</v>
      </c>
      <c r="C1015" s="49" t="s">
        <v>83</v>
      </c>
      <c r="D1015" s="49" t="s">
        <v>2596</v>
      </c>
      <c r="E1015" s="49" t="s">
        <v>2585</v>
      </c>
      <c r="F1015" s="49" t="s">
        <v>2597</v>
      </c>
      <c r="G1015" s="49" t="s">
        <v>2598</v>
      </c>
      <c r="H1015" s="50" t="s">
        <v>88</v>
      </c>
      <c r="I1015" s="4">
        <v>0</v>
      </c>
      <c r="J1015" s="49">
        <v>710000000</v>
      </c>
      <c r="K1015" s="49" t="s">
        <v>89</v>
      </c>
      <c r="L1015" s="5" t="s">
        <v>9114</v>
      </c>
      <c r="M1015" s="49" t="s">
        <v>91</v>
      </c>
      <c r="N1015" s="49" t="s">
        <v>92</v>
      </c>
      <c r="O1015" s="49" t="s">
        <v>93</v>
      </c>
      <c r="P1015" s="51" t="s">
        <v>673</v>
      </c>
      <c r="Q1015" s="49">
        <v>796</v>
      </c>
      <c r="R1015" s="49" t="s">
        <v>118</v>
      </c>
      <c r="S1015" s="52">
        <v>241</v>
      </c>
      <c r="T1015" s="52">
        <v>67</v>
      </c>
      <c r="U1015" s="52">
        <f t="shared" ref="U1015" si="659">T1015*S1015</f>
        <v>16147</v>
      </c>
      <c r="V1015" s="52">
        <f t="shared" ref="V1015" si="660">U1015*1.12</f>
        <v>18084.640000000003</v>
      </c>
      <c r="W1015" s="53"/>
      <c r="X1015" s="2">
        <v>2016</v>
      </c>
      <c r="Y1015" s="52"/>
    </row>
    <row r="1016" spans="1:25" s="36" customFormat="1" ht="89.25" customHeight="1" outlineLevel="1" x14ac:dyDescent="0.2">
      <c r="A1016" s="25"/>
      <c r="B1016" s="2" t="s">
        <v>6007</v>
      </c>
      <c r="C1016" s="6" t="s">
        <v>83</v>
      </c>
      <c r="D1016" s="6" t="s">
        <v>2599</v>
      </c>
      <c r="E1016" s="6" t="s">
        <v>858</v>
      </c>
      <c r="F1016" s="6" t="s">
        <v>2600</v>
      </c>
      <c r="G1016" s="6"/>
      <c r="H1016" s="2" t="s">
        <v>88</v>
      </c>
      <c r="I1016" s="4">
        <v>0.4</v>
      </c>
      <c r="J1016" s="6">
        <v>710000000</v>
      </c>
      <c r="K1016" s="6" t="s">
        <v>89</v>
      </c>
      <c r="L1016" s="2" t="s">
        <v>754</v>
      </c>
      <c r="M1016" s="6" t="s">
        <v>91</v>
      </c>
      <c r="N1016" s="6" t="s">
        <v>92</v>
      </c>
      <c r="O1016" s="6" t="s">
        <v>93</v>
      </c>
      <c r="P1016" s="3" t="s">
        <v>94</v>
      </c>
      <c r="Q1016" s="6">
        <v>796</v>
      </c>
      <c r="R1016" s="6" t="s">
        <v>118</v>
      </c>
      <c r="S1016" s="9">
        <v>100</v>
      </c>
      <c r="T1016" s="9">
        <v>103</v>
      </c>
      <c r="U1016" s="9">
        <v>0</v>
      </c>
      <c r="V1016" s="9">
        <f t="shared" si="588"/>
        <v>0</v>
      </c>
      <c r="W1016" s="7" t="s">
        <v>97</v>
      </c>
      <c r="X1016" s="2">
        <v>2016</v>
      </c>
      <c r="Y1016" s="2" t="s">
        <v>7793</v>
      </c>
    </row>
    <row r="1017" spans="1:25" s="36" customFormat="1" ht="89.25" customHeight="1" outlineLevel="1" x14ac:dyDescent="0.2">
      <c r="A1017" s="25"/>
      <c r="B1017" s="2" t="s">
        <v>7905</v>
      </c>
      <c r="C1017" s="6" t="s">
        <v>83</v>
      </c>
      <c r="D1017" s="6" t="s">
        <v>2599</v>
      </c>
      <c r="E1017" s="6" t="s">
        <v>858</v>
      </c>
      <c r="F1017" s="6" t="s">
        <v>2600</v>
      </c>
      <c r="G1017" s="6"/>
      <c r="H1017" s="2" t="s">
        <v>88</v>
      </c>
      <c r="I1017" s="4">
        <v>0</v>
      </c>
      <c r="J1017" s="6">
        <v>710000000</v>
      </c>
      <c r="K1017" s="6" t="s">
        <v>89</v>
      </c>
      <c r="L1017" s="2" t="s">
        <v>754</v>
      </c>
      <c r="M1017" s="6" t="s">
        <v>91</v>
      </c>
      <c r="N1017" s="6" t="s">
        <v>92</v>
      </c>
      <c r="O1017" s="6" t="s">
        <v>93</v>
      </c>
      <c r="P1017" s="3" t="s">
        <v>673</v>
      </c>
      <c r="Q1017" s="6">
        <v>796</v>
      </c>
      <c r="R1017" s="6" t="s">
        <v>118</v>
      </c>
      <c r="S1017" s="9">
        <v>100</v>
      </c>
      <c r="T1017" s="9">
        <v>103</v>
      </c>
      <c r="U1017" s="9">
        <v>0</v>
      </c>
      <c r="V1017" s="9">
        <f t="shared" ref="V1017" si="661">U1017*1.12</f>
        <v>0</v>
      </c>
      <c r="W1017" s="7"/>
      <c r="X1017" s="2">
        <v>2016</v>
      </c>
      <c r="Y1017" s="42">
        <v>11</v>
      </c>
    </row>
    <row r="1018" spans="1:25" s="36" customFormat="1" ht="89.25" customHeight="1" outlineLevel="1" x14ac:dyDescent="0.25">
      <c r="A1018" s="1"/>
      <c r="B1018" s="2" t="s">
        <v>9200</v>
      </c>
      <c r="C1018" s="6" t="s">
        <v>83</v>
      </c>
      <c r="D1018" s="6" t="s">
        <v>2599</v>
      </c>
      <c r="E1018" s="6" t="s">
        <v>858</v>
      </c>
      <c r="F1018" s="6" t="s">
        <v>2600</v>
      </c>
      <c r="G1018" s="6"/>
      <c r="H1018" s="2" t="s">
        <v>88</v>
      </c>
      <c r="I1018" s="4">
        <v>0</v>
      </c>
      <c r="J1018" s="6">
        <v>710000000</v>
      </c>
      <c r="K1018" s="6" t="s">
        <v>89</v>
      </c>
      <c r="L1018" s="5" t="s">
        <v>9114</v>
      </c>
      <c r="M1018" s="6" t="s">
        <v>91</v>
      </c>
      <c r="N1018" s="6" t="s">
        <v>92</v>
      </c>
      <c r="O1018" s="6" t="s">
        <v>93</v>
      </c>
      <c r="P1018" s="3" t="s">
        <v>673</v>
      </c>
      <c r="Q1018" s="6">
        <v>796</v>
      </c>
      <c r="R1018" s="6" t="s">
        <v>118</v>
      </c>
      <c r="S1018" s="9">
        <v>100</v>
      </c>
      <c r="T1018" s="9">
        <v>103</v>
      </c>
      <c r="U1018" s="9">
        <f t="shared" ref="U1018" si="662">T1018*S1018</f>
        <v>10300</v>
      </c>
      <c r="V1018" s="9">
        <f t="shared" ref="V1018" si="663">U1018*1.12</f>
        <v>11536.000000000002</v>
      </c>
      <c r="W1018" s="7"/>
      <c r="X1018" s="2">
        <v>2016</v>
      </c>
      <c r="Y1018" s="9"/>
    </row>
    <row r="1019" spans="1:25" s="36" customFormat="1" ht="89.25" customHeight="1" outlineLevel="1" x14ac:dyDescent="0.2">
      <c r="A1019" s="25"/>
      <c r="B1019" s="2" t="s">
        <v>6008</v>
      </c>
      <c r="C1019" s="6" t="s">
        <v>83</v>
      </c>
      <c r="D1019" s="6" t="s">
        <v>2601</v>
      </c>
      <c r="E1019" s="6" t="s">
        <v>2602</v>
      </c>
      <c r="F1019" s="6" t="s">
        <v>2603</v>
      </c>
      <c r="G1019" s="6" t="s">
        <v>2604</v>
      </c>
      <c r="H1019" s="2" t="s">
        <v>88</v>
      </c>
      <c r="I1019" s="4">
        <v>0.4</v>
      </c>
      <c r="J1019" s="6">
        <v>710000000</v>
      </c>
      <c r="K1019" s="6" t="s">
        <v>89</v>
      </c>
      <c r="L1019" s="2" t="s">
        <v>754</v>
      </c>
      <c r="M1019" s="6" t="s">
        <v>91</v>
      </c>
      <c r="N1019" s="6" t="s">
        <v>92</v>
      </c>
      <c r="O1019" s="6" t="s">
        <v>93</v>
      </c>
      <c r="P1019" s="3" t="s">
        <v>94</v>
      </c>
      <c r="Q1019" s="6">
        <v>704</v>
      </c>
      <c r="R1019" s="6" t="s">
        <v>2605</v>
      </c>
      <c r="S1019" s="9">
        <v>391</v>
      </c>
      <c r="T1019" s="9">
        <v>42</v>
      </c>
      <c r="U1019" s="9">
        <v>0</v>
      </c>
      <c r="V1019" s="9">
        <f t="shared" si="588"/>
        <v>0</v>
      </c>
      <c r="W1019" s="7" t="s">
        <v>97</v>
      </c>
      <c r="X1019" s="2">
        <v>2016</v>
      </c>
      <c r="Y1019" s="2" t="s">
        <v>7793</v>
      </c>
    </row>
    <row r="1020" spans="1:25" s="36" customFormat="1" ht="89.25" customHeight="1" outlineLevel="1" x14ac:dyDescent="0.2">
      <c r="A1020" s="25"/>
      <c r="B1020" s="2" t="s">
        <v>7906</v>
      </c>
      <c r="C1020" s="6" t="s">
        <v>83</v>
      </c>
      <c r="D1020" s="6" t="s">
        <v>2601</v>
      </c>
      <c r="E1020" s="6" t="s">
        <v>2602</v>
      </c>
      <c r="F1020" s="6" t="s">
        <v>2603</v>
      </c>
      <c r="G1020" s="6" t="s">
        <v>2604</v>
      </c>
      <c r="H1020" s="2" t="s">
        <v>88</v>
      </c>
      <c r="I1020" s="4">
        <v>0</v>
      </c>
      <c r="J1020" s="6">
        <v>710000000</v>
      </c>
      <c r="K1020" s="6" t="s">
        <v>89</v>
      </c>
      <c r="L1020" s="2" t="s">
        <v>754</v>
      </c>
      <c r="M1020" s="6" t="s">
        <v>91</v>
      </c>
      <c r="N1020" s="6" t="s">
        <v>92</v>
      </c>
      <c r="O1020" s="6" t="s">
        <v>93</v>
      </c>
      <c r="P1020" s="3" t="s">
        <v>673</v>
      </c>
      <c r="Q1020" s="6">
        <v>704</v>
      </c>
      <c r="R1020" s="6" t="s">
        <v>2605</v>
      </c>
      <c r="S1020" s="9">
        <v>391</v>
      </c>
      <c r="T1020" s="9">
        <v>42</v>
      </c>
      <c r="U1020" s="9">
        <v>0</v>
      </c>
      <c r="V1020" s="9">
        <f t="shared" ref="V1020" si="664">U1020*1.12</f>
        <v>0</v>
      </c>
      <c r="W1020" s="7"/>
      <c r="X1020" s="2">
        <v>2016</v>
      </c>
      <c r="Y1020" s="42">
        <v>11</v>
      </c>
    </row>
    <row r="1021" spans="1:25" s="36" customFormat="1" ht="89.25" customHeight="1" outlineLevel="1" x14ac:dyDescent="0.25">
      <c r="A1021" s="1"/>
      <c r="B1021" s="2" t="s">
        <v>9201</v>
      </c>
      <c r="C1021" s="6" t="s">
        <v>83</v>
      </c>
      <c r="D1021" s="6" t="s">
        <v>2601</v>
      </c>
      <c r="E1021" s="6" t="s">
        <v>2602</v>
      </c>
      <c r="F1021" s="6" t="s">
        <v>2603</v>
      </c>
      <c r="G1021" s="6" t="s">
        <v>2604</v>
      </c>
      <c r="H1021" s="2" t="s">
        <v>88</v>
      </c>
      <c r="I1021" s="4">
        <v>0</v>
      </c>
      <c r="J1021" s="6">
        <v>710000000</v>
      </c>
      <c r="K1021" s="6" t="s">
        <v>89</v>
      </c>
      <c r="L1021" s="5" t="s">
        <v>9114</v>
      </c>
      <c r="M1021" s="6" t="s">
        <v>91</v>
      </c>
      <c r="N1021" s="6" t="s">
        <v>92</v>
      </c>
      <c r="O1021" s="6" t="s">
        <v>93</v>
      </c>
      <c r="P1021" s="3" t="s">
        <v>673</v>
      </c>
      <c r="Q1021" s="6">
        <v>704</v>
      </c>
      <c r="R1021" s="6" t="s">
        <v>2605</v>
      </c>
      <c r="S1021" s="9">
        <v>391</v>
      </c>
      <c r="T1021" s="9">
        <v>42</v>
      </c>
      <c r="U1021" s="9">
        <f t="shared" ref="U1021" si="665">T1021*S1021</f>
        <v>16422</v>
      </c>
      <c r="V1021" s="9">
        <f t="shared" ref="V1021" si="666">U1021*1.12</f>
        <v>18392.640000000003</v>
      </c>
      <c r="W1021" s="7"/>
      <c r="X1021" s="2">
        <v>2016</v>
      </c>
      <c r="Y1021" s="9"/>
    </row>
    <row r="1022" spans="1:25" s="36" customFormat="1" ht="89.25" customHeight="1" outlineLevel="1" x14ac:dyDescent="0.2">
      <c r="A1022" s="25"/>
      <c r="B1022" s="2" t="s">
        <v>6009</v>
      </c>
      <c r="C1022" s="6" t="s">
        <v>83</v>
      </c>
      <c r="D1022" s="6" t="s">
        <v>2606</v>
      </c>
      <c r="E1022" s="6" t="s">
        <v>2607</v>
      </c>
      <c r="F1022" s="6" t="s">
        <v>2608</v>
      </c>
      <c r="G1022" s="6" t="s">
        <v>2609</v>
      </c>
      <c r="H1022" s="2" t="s">
        <v>88</v>
      </c>
      <c r="I1022" s="4">
        <v>0.4</v>
      </c>
      <c r="J1022" s="6">
        <v>710000000</v>
      </c>
      <c r="K1022" s="6" t="s">
        <v>89</v>
      </c>
      <c r="L1022" s="2" t="s">
        <v>754</v>
      </c>
      <c r="M1022" s="6" t="s">
        <v>91</v>
      </c>
      <c r="N1022" s="6" t="s">
        <v>92</v>
      </c>
      <c r="O1022" s="6" t="s">
        <v>93</v>
      </c>
      <c r="P1022" s="3" t="s">
        <v>94</v>
      </c>
      <c r="Q1022" s="6">
        <v>778</v>
      </c>
      <c r="R1022" s="6" t="s">
        <v>523</v>
      </c>
      <c r="S1022" s="9">
        <v>66</v>
      </c>
      <c r="T1022" s="9">
        <v>313</v>
      </c>
      <c r="U1022" s="9">
        <v>0</v>
      </c>
      <c r="V1022" s="9">
        <f t="shared" si="588"/>
        <v>0</v>
      </c>
      <c r="W1022" s="7" t="s">
        <v>97</v>
      </c>
      <c r="X1022" s="2">
        <v>2016</v>
      </c>
      <c r="Y1022" s="2" t="s">
        <v>7793</v>
      </c>
    </row>
    <row r="1023" spans="1:25" s="36" customFormat="1" ht="89.25" customHeight="1" outlineLevel="1" x14ac:dyDescent="0.2">
      <c r="A1023" s="25"/>
      <c r="B1023" s="2" t="s">
        <v>7907</v>
      </c>
      <c r="C1023" s="6" t="s">
        <v>83</v>
      </c>
      <c r="D1023" s="6" t="s">
        <v>2606</v>
      </c>
      <c r="E1023" s="6" t="s">
        <v>2607</v>
      </c>
      <c r="F1023" s="6" t="s">
        <v>2608</v>
      </c>
      <c r="G1023" s="6" t="s">
        <v>2609</v>
      </c>
      <c r="H1023" s="2" t="s">
        <v>88</v>
      </c>
      <c r="I1023" s="4">
        <v>0</v>
      </c>
      <c r="J1023" s="6">
        <v>710000000</v>
      </c>
      <c r="K1023" s="6" t="s">
        <v>89</v>
      </c>
      <c r="L1023" s="2" t="s">
        <v>754</v>
      </c>
      <c r="M1023" s="6" t="s">
        <v>91</v>
      </c>
      <c r="N1023" s="6" t="s">
        <v>92</v>
      </c>
      <c r="O1023" s="6" t="s">
        <v>93</v>
      </c>
      <c r="P1023" s="3" t="s">
        <v>673</v>
      </c>
      <c r="Q1023" s="6">
        <v>778</v>
      </c>
      <c r="R1023" s="6" t="s">
        <v>523</v>
      </c>
      <c r="S1023" s="9">
        <v>66</v>
      </c>
      <c r="T1023" s="9">
        <v>313</v>
      </c>
      <c r="U1023" s="9">
        <v>0</v>
      </c>
      <c r="V1023" s="9">
        <f t="shared" ref="V1023" si="667">U1023*1.12</f>
        <v>0</v>
      </c>
      <c r="W1023" s="7"/>
      <c r="X1023" s="2">
        <v>2016</v>
      </c>
      <c r="Y1023" s="42">
        <v>11</v>
      </c>
    </row>
    <row r="1024" spans="1:25" s="36" customFormat="1" ht="89.25" customHeight="1" outlineLevel="1" x14ac:dyDescent="0.25">
      <c r="A1024" s="1"/>
      <c r="B1024" s="2" t="s">
        <v>9202</v>
      </c>
      <c r="C1024" s="6" t="s">
        <v>83</v>
      </c>
      <c r="D1024" s="6" t="s">
        <v>2606</v>
      </c>
      <c r="E1024" s="6" t="s">
        <v>2607</v>
      </c>
      <c r="F1024" s="6" t="s">
        <v>2608</v>
      </c>
      <c r="G1024" s="6" t="s">
        <v>2609</v>
      </c>
      <c r="H1024" s="2" t="s">
        <v>88</v>
      </c>
      <c r="I1024" s="4">
        <v>0</v>
      </c>
      <c r="J1024" s="6">
        <v>710000000</v>
      </c>
      <c r="K1024" s="6" t="s">
        <v>89</v>
      </c>
      <c r="L1024" s="5" t="s">
        <v>9114</v>
      </c>
      <c r="M1024" s="6" t="s">
        <v>91</v>
      </c>
      <c r="N1024" s="6" t="s">
        <v>92</v>
      </c>
      <c r="O1024" s="6" t="s">
        <v>93</v>
      </c>
      <c r="P1024" s="3" t="s">
        <v>673</v>
      </c>
      <c r="Q1024" s="6">
        <v>778</v>
      </c>
      <c r="R1024" s="6" t="s">
        <v>523</v>
      </c>
      <c r="S1024" s="9">
        <v>66</v>
      </c>
      <c r="T1024" s="9">
        <v>313</v>
      </c>
      <c r="U1024" s="9">
        <f t="shared" ref="U1024" si="668">T1024*S1024</f>
        <v>20658</v>
      </c>
      <c r="V1024" s="9">
        <f t="shared" ref="V1024" si="669">U1024*1.12</f>
        <v>23136.960000000003</v>
      </c>
      <c r="W1024" s="7"/>
      <c r="X1024" s="2">
        <v>2016</v>
      </c>
      <c r="Y1024" s="9"/>
    </row>
    <row r="1025" spans="1:25" s="36" customFormat="1" ht="89.25" customHeight="1" outlineLevel="1" x14ac:dyDescent="0.2">
      <c r="A1025" s="25"/>
      <c r="B1025" s="2" t="s">
        <v>6010</v>
      </c>
      <c r="C1025" s="6" t="s">
        <v>83</v>
      </c>
      <c r="D1025" s="6" t="s">
        <v>2610</v>
      </c>
      <c r="E1025" s="6" t="s">
        <v>858</v>
      </c>
      <c r="F1025" s="6" t="s">
        <v>2611</v>
      </c>
      <c r="G1025" s="6" t="s">
        <v>2612</v>
      </c>
      <c r="H1025" s="2" t="s">
        <v>88</v>
      </c>
      <c r="I1025" s="4">
        <v>0.4</v>
      </c>
      <c r="J1025" s="6">
        <v>710000000</v>
      </c>
      <c r="K1025" s="6" t="s">
        <v>89</v>
      </c>
      <c r="L1025" s="2" t="s">
        <v>754</v>
      </c>
      <c r="M1025" s="6" t="s">
        <v>91</v>
      </c>
      <c r="N1025" s="6" t="s">
        <v>92</v>
      </c>
      <c r="O1025" s="6" t="s">
        <v>93</v>
      </c>
      <c r="P1025" s="3" t="s">
        <v>94</v>
      </c>
      <c r="Q1025" s="6">
        <v>796</v>
      </c>
      <c r="R1025" s="6" t="s">
        <v>118</v>
      </c>
      <c r="S1025" s="9">
        <v>126</v>
      </c>
      <c r="T1025" s="9">
        <v>66</v>
      </c>
      <c r="U1025" s="9">
        <v>0</v>
      </c>
      <c r="V1025" s="9">
        <f t="shared" si="588"/>
        <v>0</v>
      </c>
      <c r="W1025" s="7" t="s">
        <v>97</v>
      </c>
      <c r="X1025" s="2">
        <v>2016</v>
      </c>
      <c r="Y1025" s="2" t="s">
        <v>7793</v>
      </c>
    </row>
    <row r="1026" spans="1:25" s="36" customFormat="1" ht="89.25" customHeight="1" outlineLevel="1" x14ac:dyDescent="0.2">
      <c r="A1026" s="25"/>
      <c r="B1026" s="2" t="s">
        <v>7908</v>
      </c>
      <c r="C1026" s="6" t="s">
        <v>83</v>
      </c>
      <c r="D1026" s="6" t="s">
        <v>2610</v>
      </c>
      <c r="E1026" s="6" t="s">
        <v>858</v>
      </c>
      <c r="F1026" s="6" t="s">
        <v>2611</v>
      </c>
      <c r="G1026" s="6" t="s">
        <v>2612</v>
      </c>
      <c r="H1026" s="2" t="s">
        <v>88</v>
      </c>
      <c r="I1026" s="4">
        <v>0</v>
      </c>
      <c r="J1026" s="6">
        <v>710000000</v>
      </c>
      <c r="K1026" s="6" t="s">
        <v>89</v>
      </c>
      <c r="L1026" s="2" t="s">
        <v>754</v>
      </c>
      <c r="M1026" s="6" t="s">
        <v>91</v>
      </c>
      <c r="N1026" s="6" t="s">
        <v>92</v>
      </c>
      <c r="O1026" s="6" t="s">
        <v>93</v>
      </c>
      <c r="P1026" s="3" t="s">
        <v>673</v>
      </c>
      <c r="Q1026" s="6">
        <v>796</v>
      </c>
      <c r="R1026" s="6" t="s">
        <v>118</v>
      </c>
      <c r="S1026" s="9">
        <v>126</v>
      </c>
      <c r="T1026" s="9">
        <v>66</v>
      </c>
      <c r="U1026" s="9">
        <v>0</v>
      </c>
      <c r="V1026" s="9">
        <f t="shared" ref="V1026" si="670">U1026*1.12</f>
        <v>0</v>
      </c>
      <c r="W1026" s="7"/>
      <c r="X1026" s="2">
        <v>2016</v>
      </c>
      <c r="Y1026" s="42">
        <v>11</v>
      </c>
    </row>
    <row r="1027" spans="1:25" s="36" customFormat="1" ht="89.25" customHeight="1" outlineLevel="1" x14ac:dyDescent="0.25">
      <c r="A1027" s="1"/>
      <c r="B1027" s="2" t="s">
        <v>9203</v>
      </c>
      <c r="C1027" s="6" t="s">
        <v>83</v>
      </c>
      <c r="D1027" s="6" t="s">
        <v>2610</v>
      </c>
      <c r="E1027" s="6" t="s">
        <v>858</v>
      </c>
      <c r="F1027" s="6" t="s">
        <v>2611</v>
      </c>
      <c r="G1027" s="6" t="s">
        <v>2612</v>
      </c>
      <c r="H1027" s="2" t="s">
        <v>88</v>
      </c>
      <c r="I1027" s="4">
        <v>0</v>
      </c>
      <c r="J1027" s="6">
        <v>710000000</v>
      </c>
      <c r="K1027" s="6" t="s">
        <v>89</v>
      </c>
      <c r="L1027" s="5" t="s">
        <v>9114</v>
      </c>
      <c r="M1027" s="6" t="s">
        <v>91</v>
      </c>
      <c r="N1027" s="6" t="s">
        <v>92</v>
      </c>
      <c r="O1027" s="6" t="s">
        <v>93</v>
      </c>
      <c r="P1027" s="3" t="s">
        <v>673</v>
      </c>
      <c r="Q1027" s="6">
        <v>796</v>
      </c>
      <c r="R1027" s="6" t="s">
        <v>118</v>
      </c>
      <c r="S1027" s="9">
        <v>126</v>
      </c>
      <c r="T1027" s="9">
        <v>66</v>
      </c>
      <c r="U1027" s="9">
        <f t="shared" ref="U1027" si="671">T1027*S1027</f>
        <v>8316</v>
      </c>
      <c r="V1027" s="9">
        <f t="shared" ref="V1027" si="672">U1027*1.12</f>
        <v>9313.92</v>
      </c>
      <c r="W1027" s="7"/>
      <c r="X1027" s="2">
        <v>2016</v>
      </c>
      <c r="Y1027" s="9"/>
    </row>
    <row r="1028" spans="1:25" s="36" customFormat="1" ht="382.5" customHeight="1" outlineLevel="1" x14ac:dyDescent="0.2">
      <c r="A1028" s="25"/>
      <c r="B1028" s="2" t="s">
        <v>6011</v>
      </c>
      <c r="C1028" s="49" t="s">
        <v>83</v>
      </c>
      <c r="D1028" s="49" t="s">
        <v>2344</v>
      </c>
      <c r="E1028" s="49" t="s">
        <v>2341</v>
      </c>
      <c r="F1028" s="49" t="s">
        <v>2345</v>
      </c>
      <c r="G1028" s="49" t="s">
        <v>2613</v>
      </c>
      <c r="H1028" s="50" t="s">
        <v>88</v>
      </c>
      <c r="I1028" s="4">
        <v>0.4</v>
      </c>
      <c r="J1028" s="49">
        <v>710000000</v>
      </c>
      <c r="K1028" s="49" t="s">
        <v>89</v>
      </c>
      <c r="L1028" s="2" t="s">
        <v>754</v>
      </c>
      <c r="M1028" s="6" t="s">
        <v>689</v>
      </c>
      <c r="N1028" s="49" t="s">
        <v>92</v>
      </c>
      <c r="O1028" s="49" t="s">
        <v>93</v>
      </c>
      <c r="P1028" s="51" t="s">
        <v>94</v>
      </c>
      <c r="Q1028" s="49">
        <v>868</v>
      </c>
      <c r="R1028" s="49" t="s">
        <v>585</v>
      </c>
      <c r="S1028" s="52">
        <v>180</v>
      </c>
      <c r="T1028" s="52">
        <v>12500</v>
      </c>
      <c r="U1028" s="52">
        <v>0</v>
      </c>
      <c r="V1028" s="52">
        <f t="shared" si="588"/>
        <v>0</v>
      </c>
      <c r="W1028" s="53" t="s">
        <v>97</v>
      </c>
      <c r="X1028" s="2">
        <v>2016</v>
      </c>
      <c r="Y1028" s="9"/>
    </row>
    <row r="1029" spans="1:25" s="36" customFormat="1" ht="382.5" customHeight="1" outlineLevel="1" x14ac:dyDescent="0.25">
      <c r="A1029" s="1"/>
      <c r="B1029" s="2" t="s">
        <v>7909</v>
      </c>
      <c r="C1029" s="49" t="s">
        <v>83</v>
      </c>
      <c r="D1029" s="49" t="s">
        <v>2344</v>
      </c>
      <c r="E1029" s="49" t="s">
        <v>2341</v>
      </c>
      <c r="F1029" s="49" t="s">
        <v>2345</v>
      </c>
      <c r="G1029" s="49" t="s">
        <v>2613</v>
      </c>
      <c r="H1029" s="50" t="s">
        <v>88</v>
      </c>
      <c r="I1029" s="4">
        <v>0</v>
      </c>
      <c r="J1029" s="49">
        <v>710000000</v>
      </c>
      <c r="K1029" s="49" t="s">
        <v>89</v>
      </c>
      <c r="L1029" s="2" t="s">
        <v>754</v>
      </c>
      <c r="M1029" s="6" t="s">
        <v>689</v>
      </c>
      <c r="N1029" s="49" t="s">
        <v>92</v>
      </c>
      <c r="O1029" s="49" t="s">
        <v>93</v>
      </c>
      <c r="P1029" s="51" t="s">
        <v>673</v>
      </c>
      <c r="Q1029" s="49">
        <v>868</v>
      </c>
      <c r="R1029" s="49" t="s">
        <v>585</v>
      </c>
      <c r="S1029" s="52">
        <v>180</v>
      </c>
      <c r="T1029" s="52">
        <v>12500</v>
      </c>
      <c r="U1029" s="52">
        <f t="shared" ref="U1029" si="673">T1029*S1029</f>
        <v>2250000</v>
      </c>
      <c r="V1029" s="52">
        <f t="shared" ref="V1029" si="674">U1029*1.12</f>
        <v>2520000.0000000005</v>
      </c>
      <c r="W1029" s="53"/>
      <c r="X1029" s="2">
        <v>2016</v>
      </c>
      <c r="Y1029" s="9"/>
    </row>
    <row r="1030" spans="1:25" s="36" customFormat="1" ht="409.5" customHeight="1" outlineLevel="1" x14ac:dyDescent="0.25">
      <c r="A1030" s="1"/>
      <c r="B1030" s="2" t="s">
        <v>6012</v>
      </c>
      <c r="C1030" s="6" t="s">
        <v>83</v>
      </c>
      <c r="D1030" s="6" t="s">
        <v>2363</v>
      </c>
      <c r="E1030" s="6" t="s">
        <v>2341</v>
      </c>
      <c r="F1030" s="6" t="s">
        <v>2364</v>
      </c>
      <c r="G1030" s="6" t="s">
        <v>2614</v>
      </c>
      <c r="H1030" s="2" t="s">
        <v>88</v>
      </c>
      <c r="I1030" s="4">
        <v>0</v>
      </c>
      <c r="J1030" s="6">
        <v>710000000</v>
      </c>
      <c r="K1030" s="6" t="s">
        <v>89</v>
      </c>
      <c r="L1030" s="2" t="s">
        <v>754</v>
      </c>
      <c r="M1030" s="6" t="s">
        <v>689</v>
      </c>
      <c r="N1030" s="6" t="s">
        <v>92</v>
      </c>
      <c r="O1030" s="6" t="s">
        <v>93</v>
      </c>
      <c r="P1030" s="3" t="s">
        <v>673</v>
      </c>
      <c r="Q1030" s="6">
        <v>796</v>
      </c>
      <c r="R1030" s="6" t="s">
        <v>118</v>
      </c>
      <c r="S1030" s="9">
        <v>24</v>
      </c>
      <c r="T1030" s="9">
        <v>16070</v>
      </c>
      <c r="U1030" s="9">
        <v>0</v>
      </c>
      <c r="V1030" s="9">
        <f t="shared" si="588"/>
        <v>0</v>
      </c>
      <c r="W1030" s="7" t="s">
        <v>97</v>
      </c>
      <c r="X1030" s="2">
        <v>2016</v>
      </c>
      <c r="Y1030" s="2" t="s">
        <v>7793</v>
      </c>
    </row>
    <row r="1031" spans="1:25" s="36" customFormat="1" ht="409.5" customHeight="1" outlineLevel="1" x14ac:dyDescent="0.25">
      <c r="A1031" s="1"/>
      <c r="B1031" s="2" t="s">
        <v>7910</v>
      </c>
      <c r="C1031" s="6" t="s">
        <v>83</v>
      </c>
      <c r="D1031" s="6" t="s">
        <v>2363</v>
      </c>
      <c r="E1031" s="6" t="s">
        <v>2341</v>
      </c>
      <c r="F1031" s="6" t="s">
        <v>2364</v>
      </c>
      <c r="G1031" s="6" t="s">
        <v>2614</v>
      </c>
      <c r="H1031" s="2" t="s">
        <v>88</v>
      </c>
      <c r="I1031" s="4">
        <v>0</v>
      </c>
      <c r="J1031" s="6">
        <v>710000000</v>
      </c>
      <c r="K1031" s="6" t="s">
        <v>89</v>
      </c>
      <c r="L1031" s="2" t="s">
        <v>754</v>
      </c>
      <c r="M1031" s="6" t="s">
        <v>689</v>
      </c>
      <c r="N1031" s="6" t="s">
        <v>92</v>
      </c>
      <c r="O1031" s="6" t="s">
        <v>93</v>
      </c>
      <c r="P1031" s="3" t="s">
        <v>673</v>
      </c>
      <c r="Q1031" s="6">
        <v>796</v>
      </c>
      <c r="R1031" s="6" t="s">
        <v>118</v>
      </c>
      <c r="S1031" s="9">
        <v>24</v>
      </c>
      <c r="T1031" s="9">
        <v>16070</v>
      </c>
      <c r="U1031" s="9">
        <f t="shared" ref="U1031" si="675">T1031*S1031</f>
        <v>385680</v>
      </c>
      <c r="V1031" s="9">
        <f t="shared" ref="V1031" si="676">U1031*1.12</f>
        <v>431961.60000000003</v>
      </c>
      <c r="W1031" s="7"/>
      <c r="X1031" s="2">
        <v>2016</v>
      </c>
      <c r="Y1031" s="9"/>
    </row>
    <row r="1032" spans="1:25" s="36" customFormat="1" ht="255" customHeight="1" outlineLevel="1" x14ac:dyDescent="0.25">
      <c r="A1032" s="1"/>
      <c r="B1032" s="2" t="s">
        <v>6013</v>
      </c>
      <c r="C1032" s="6" t="s">
        <v>83</v>
      </c>
      <c r="D1032" s="6" t="s">
        <v>2350</v>
      </c>
      <c r="E1032" s="6" t="s">
        <v>2341</v>
      </c>
      <c r="F1032" s="6" t="s">
        <v>2351</v>
      </c>
      <c r="G1032" s="6" t="s">
        <v>2615</v>
      </c>
      <c r="H1032" s="2" t="s">
        <v>88</v>
      </c>
      <c r="I1032" s="4">
        <v>0.4</v>
      </c>
      <c r="J1032" s="6">
        <v>710000000</v>
      </c>
      <c r="K1032" s="6" t="s">
        <v>89</v>
      </c>
      <c r="L1032" s="2" t="s">
        <v>754</v>
      </c>
      <c r="M1032" s="6" t="s">
        <v>689</v>
      </c>
      <c r="N1032" s="6" t="s">
        <v>92</v>
      </c>
      <c r="O1032" s="6" t="s">
        <v>93</v>
      </c>
      <c r="P1032" s="3" t="s">
        <v>94</v>
      </c>
      <c r="Q1032" s="6">
        <v>796</v>
      </c>
      <c r="R1032" s="6" t="s">
        <v>118</v>
      </c>
      <c r="S1032" s="9">
        <v>45</v>
      </c>
      <c r="T1032" s="9">
        <v>15180</v>
      </c>
      <c r="U1032" s="9">
        <v>0</v>
      </c>
      <c r="V1032" s="9">
        <f t="shared" si="588"/>
        <v>0</v>
      </c>
      <c r="W1032" s="7" t="s">
        <v>97</v>
      </c>
      <c r="X1032" s="2">
        <v>2016</v>
      </c>
      <c r="Y1032" s="9" t="s">
        <v>7793</v>
      </c>
    </row>
    <row r="1033" spans="1:25" s="36" customFormat="1" ht="255" customHeight="1" outlineLevel="1" x14ac:dyDescent="0.25">
      <c r="A1033" s="1"/>
      <c r="B1033" s="2" t="s">
        <v>7911</v>
      </c>
      <c r="C1033" s="6" t="s">
        <v>83</v>
      </c>
      <c r="D1033" s="6" t="s">
        <v>2350</v>
      </c>
      <c r="E1033" s="6" t="s">
        <v>2341</v>
      </c>
      <c r="F1033" s="6" t="s">
        <v>2351</v>
      </c>
      <c r="G1033" s="6" t="s">
        <v>2615</v>
      </c>
      <c r="H1033" s="2" t="s">
        <v>88</v>
      </c>
      <c r="I1033" s="4">
        <v>0</v>
      </c>
      <c r="J1033" s="6">
        <v>710000000</v>
      </c>
      <c r="K1033" s="6" t="s">
        <v>89</v>
      </c>
      <c r="L1033" s="2" t="s">
        <v>754</v>
      </c>
      <c r="M1033" s="6" t="s">
        <v>689</v>
      </c>
      <c r="N1033" s="6" t="s">
        <v>92</v>
      </c>
      <c r="O1033" s="6" t="s">
        <v>93</v>
      </c>
      <c r="P1033" s="3" t="s">
        <v>673</v>
      </c>
      <c r="Q1033" s="6">
        <v>796</v>
      </c>
      <c r="R1033" s="6" t="s">
        <v>118</v>
      </c>
      <c r="S1033" s="9">
        <v>45</v>
      </c>
      <c r="T1033" s="9">
        <v>15180</v>
      </c>
      <c r="U1033" s="9">
        <f t="shared" ref="U1033" si="677">T1033*S1033</f>
        <v>683100</v>
      </c>
      <c r="V1033" s="9">
        <f t="shared" ref="V1033" si="678">U1033*1.12</f>
        <v>765072.00000000012</v>
      </c>
      <c r="W1033" s="7"/>
      <c r="X1033" s="2">
        <v>2016</v>
      </c>
      <c r="Y1033" s="9"/>
    </row>
    <row r="1034" spans="1:25" s="36" customFormat="1" ht="409.5" customHeight="1" outlineLevel="1" x14ac:dyDescent="0.25">
      <c r="A1034" s="1"/>
      <c r="B1034" s="2" t="s">
        <v>6014</v>
      </c>
      <c r="C1034" s="6" t="s">
        <v>83</v>
      </c>
      <c r="D1034" s="6" t="s">
        <v>2340</v>
      </c>
      <c r="E1034" s="6" t="s">
        <v>2341</v>
      </c>
      <c r="F1034" s="6" t="s">
        <v>2342</v>
      </c>
      <c r="G1034" s="6" t="s">
        <v>2616</v>
      </c>
      <c r="H1034" s="2" t="s">
        <v>88</v>
      </c>
      <c r="I1034" s="4">
        <v>0.4</v>
      </c>
      <c r="J1034" s="6">
        <v>710000000</v>
      </c>
      <c r="K1034" s="6" t="s">
        <v>89</v>
      </c>
      <c r="L1034" s="2" t="s">
        <v>754</v>
      </c>
      <c r="M1034" s="6" t="s">
        <v>689</v>
      </c>
      <c r="N1034" s="6" t="s">
        <v>92</v>
      </c>
      <c r="O1034" s="6" t="s">
        <v>93</v>
      </c>
      <c r="P1034" s="3" t="s">
        <v>94</v>
      </c>
      <c r="Q1034" s="6">
        <v>796</v>
      </c>
      <c r="R1034" s="6" t="s">
        <v>118</v>
      </c>
      <c r="S1034" s="9">
        <v>48</v>
      </c>
      <c r="T1034" s="9">
        <v>13395</v>
      </c>
      <c r="U1034" s="9">
        <v>0</v>
      </c>
      <c r="V1034" s="9">
        <f t="shared" si="588"/>
        <v>0</v>
      </c>
      <c r="W1034" s="7" t="s">
        <v>97</v>
      </c>
      <c r="X1034" s="2">
        <v>2016</v>
      </c>
      <c r="Y1034" s="9" t="s">
        <v>7793</v>
      </c>
    </row>
    <row r="1035" spans="1:25" s="36" customFormat="1" ht="409.5" customHeight="1" outlineLevel="1" x14ac:dyDescent="0.25">
      <c r="A1035" s="1"/>
      <c r="B1035" s="2" t="s">
        <v>7912</v>
      </c>
      <c r="C1035" s="6" t="s">
        <v>83</v>
      </c>
      <c r="D1035" s="6" t="s">
        <v>2340</v>
      </c>
      <c r="E1035" s="6" t="s">
        <v>2341</v>
      </c>
      <c r="F1035" s="6" t="s">
        <v>2342</v>
      </c>
      <c r="G1035" s="6" t="s">
        <v>2616</v>
      </c>
      <c r="H1035" s="2" t="s">
        <v>88</v>
      </c>
      <c r="I1035" s="4">
        <v>0</v>
      </c>
      <c r="J1035" s="6">
        <v>710000000</v>
      </c>
      <c r="K1035" s="6" t="s">
        <v>89</v>
      </c>
      <c r="L1035" s="2" t="s">
        <v>754</v>
      </c>
      <c r="M1035" s="6" t="s">
        <v>689</v>
      </c>
      <c r="N1035" s="6" t="s">
        <v>92</v>
      </c>
      <c r="O1035" s="6" t="s">
        <v>93</v>
      </c>
      <c r="P1035" s="3" t="s">
        <v>673</v>
      </c>
      <c r="Q1035" s="6">
        <v>796</v>
      </c>
      <c r="R1035" s="6" t="s">
        <v>118</v>
      </c>
      <c r="S1035" s="9">
        <v>48</v>
      </c>
      <c r="T1035" s="9">
        <v>13395</v>
      </c>
      <c r="U1035" s="9">
        <f t="shared" ref="U1035" si="679">T1035*S1035</f>
        <v>642960</v>
      </c>
      <c r="V1035" s="9">
        <f t="shared" ref="V1035" si="680">U1035*1.12</f>
        <v>720115.20000000007</v>
      </c>
      <c r="W1035" s="7"/>
      <c r="X1035" s="2">
        <v>2016</v>
      </c>
      <c r="Y1035" s="9"/>
    </row>
    <row r="1036" spans="1:25" s="36" customFormat="1" ht="409.5" customHeight="1" outlineLevel="1" x14ac:dyDescent="0.25">
      <c r="A1036" s="1"/>
      <c r="B1036" s="2" t="s">
        <v>6015</v>
      </c>
      <c r="C1036" s="6" t="s">
        <v>83</v>
      </c>
      <c r="D1036" s="6" t="s">
        <v>2617</v>
      </c>
      <c r="E1036" s="6" t="s">
        <v>2358</v>
      </c>
      <c r="F1036" s="6" t="s">
        <v>2618</v>
      </c>
      <c r="G1036" s="6" t="s">
        <v>2619</v>
      </c>
      <c r="H1036" s="2" t="s">
        <v>88</v>
      </c>
      <c r="I1036" s="4">
        <v>0.4</v>
      </c>
      <c r="J1036" s="6">
        <v>710000000</v>
      </c>
      <c r="K1036" s="6" t="s">
        <v>89</v>
      </c>
      <c r="L1036" s="2" t="s">
        <v>754</v>
      </c>
      <c r="M1036" s="6" t="s">
        <v>689</v>
      </c>
      <c r="N1036" s="6" t="s">
        <v>92</v>
      </c>
      <c r="O1036" s="6" t="s">
        <v>93</v>
      </c>
      <c r="P1036" s="3" t="s">
        <v>94</v>
      </c>
      <c r="Q1036" s="6">
        <v>796</v>
      </c>
      <c r="R1036" s="6" t="s">
        <v>118</v>
      </c>
      <c r="S1036" s="9">
        <v>60</v>
      </c>
      <c r="T1036" s="9">
        <v>6700</v>
      </c>
      <c r="U1036" s="9">
        <v>0</v>
      </c>
      <c r="V1036" s="9">
        <f t="shared" si="588"/>
        <v>0</v>
      </c>
      <c r="W1036" s="7" t="s">
        <v>97</v>
      </c>
      <c r="X1036" s="2">
        <v>2016</v>
      </c>
      <c r="Y1036" s="9" t="s">
        <v>7793</v>
      </c>
    </row>
    <row r="1037" spans="1:25" s="36" customFormat="1" ht="409.5" customHeight="1" outlineLevel="1" x14ac:dyDescent="0.25">
      <c r="A1037" s="1"/>
      <c r="B1037" s="2" t="s">
        <v>7913</v>
      </c>
      <c r="C1037" s="6" t="s">
        <v>83</v>
      </c>
      <c r="D1037" s="6" t="s">
        <v>2617</v>
      </c>
      <c r="E1037" s="6" t="s">
        <v>2358</v>
      </c>
      <c r="F1037" s="6" t="s">
        <v>2618</v>
      </c>
      <c r="G1037" s="6" t="s">
        <v>2619</v>
      </c>
      <c r="H1037" s="2" t="s">
        <v>88</v>
      </c>
      <c r="I1037" s="4">
        <v>0</v>
      </c>
      <c r="J1037" s="6">
        <v>710000000</v>
      </c>
      <c r="K1037" s="6" t="s">
        <v>89</v>
      </c>
      <c r="L1037" s="2" t="s">
        <v>754</v>
      </c>
      <c r="M1037" s="6" t="s">
        <v>689</v>
      </c>
      <c r="N1037" s="6" t="s">
        <v>92</v>
      </c>
      <c r="O1037" s="6" t="s">
        <v>93</v>
      </c>
      <c r="P1037" s="3" t="s">
        <v>673</v>
      </c>
      <c r="Q1037" s="6">
        <v>796</v>
      </c>
      <c r="R1037" s="6" t="s">
        <v>118</v>
      </c>
      <c r="S1037" s="9">
        <v>60</v>
      </c>
      <c r="T1037" s="9">
        <v>6700</v>
      </c>
      <c r="U1037" s="9">
        <f t="shared" ref="U1037" si="681">T1037*S1037</f>
        <v>402000</v>
      </c>
      <c r="V1037" s="9">
        <f t="shared" ref="V1037" si="682">U1037*1.12</f>
        <v>450240.00000000006</v>
      </c>
      <c r="W1037" s="7"/>
      <c r="X1037" s="2">
        <v>2016</v>
      </c>
      <c r="Y1037" s="9"/>
    </row>
    <row r="1038" spans="1:25" s="36" customFormat="1" ht="344.25" customHeight="1" outlineLevel="1" x14ac:dyDescent="0.25">
      <c r="A1038" s="1"/>
      <c r="B1038" s="2" t="s">
        <v>6016</v>
      </c>
      <c r="C1038" s="6" t="s">
        <v>83</v>
      </c>
      <c r="D1038" s="6" t="s">
        <v>2620</v>
      </c>
      <c r="E1038" s="6" t="s">
        <v>2367</v>
      </c>
      <c r="F1038" s="6" t="s">
        <v>2368</v>
      </c>
      <c r="G1038" s="6" t="s">
        <v>2621</v>
      </c>
      <c r="H1038" s="2" t="s">
        <v>88</v>
      </c>
      <c r="I1038" s="4">
        <v>0.4</v>
      </c>
      <c r="J1038" s="6">
        <v>710000000</v>
      </c>
      <c r="K1038" s="6" t="s">
        <v>89</v>
      </c>
      <c r="L1038" s="2" t="s">
        <v>754</v>
      </c>
      <c r="M1038" s="6" t="s">
        <v>689</v>
      </c>
      <c r="N1038" s="6" t="s">
        <v>92</v>
      </c>
      <c r="O1038" s="6" t="s">
        <v>93</v>
      </c>
      <c r="P1038" s="3" t="s">
        <v>94</v>
      </c>
      <c r="Q1038" s="6">
        <v>778</v>
      </c>
      <c r="R1038" s="6" t="s">
        <v>523</v>
      </c>
      <c r="S1038" s="9">
        <v>36</v>
      </c>
      <c r="T1038" s="9">
        <v>13395</v>
      </c>
      <c r="U1038" s="9">
        <v>0</v>
      </c>
      <c r="V1038" s="9">
        <f t="shared" si="588"/>
        <v>0</v>
      </c>
      <c r="W1038" s="7" t="s">
        <v>97</v>
      </c>
      <c r="X1038" s="2">
        <v>2016</v>
      </c>
      <c r="Y1038" s="9" t="s">
        <v>7793</v>
      </c>
    </row>
    <row r="1039" spans="1:25" s="36" customFormat="1" ht="344.25" customHeight="1" outlineLevel="1" x14ac:dyDescent="0.25">
      <c r="A1039" s="1"/>
      <c r="B1039" s="2" t="s">
        <v>7914</v>
      </c>
      <c r="C1039" s="6" t="s">
        <v>83</v>
      </c>
      <c r="D1039" s="6" t="s">
        <v>2620</v>
      </c>
      <c r="E1039" s="6" t="s">
        <v>2367</v>
      </c>
      <c r="F1039" s="6" t="s">
        <v>2368</v>
      </c>
      <c r="G1039" s="6" t="s">
        <v>2621</v>
      </c>
      <c r="H1039" s="2" t="s">
        <v>88</v>
      </c>
      <c r="I1039" s="4">
        <v>0</v>
      </c>
      <c r="J1039" s="6">
        <v>710000000</v>
      </c>
      <c r="K1039" s="6" t="s">
        <v>89</v>
      </c>
      <c r="L1039" s="2" t="s">
        <v>754</v>
      </c>
      <c r="M1039" s="6" t="s">
        <v>689</v>
      </c>
      <c r="N1039" s="6" t="s">
        <v>92</v>
      </c>
      <c r="O1039" s="6" t="s">
        <v>93</v>
      </c>
      <c r="P1039" s="3" t="s">
        <v>673</v>
      </c>
      <c r="Q1039" s="6">
        <v>778</v>
      </c>
      <c r="R1039" s="6" t="s">
        <v>523</v>
      </c>
      <c r="S1039" s="9">
        <v>36</v>
      </c>
      <c r="T1039" s="9">
        <v>13395</v>
      </c>
      <c r="U1039" s="9">
        <f t="shared" ref="U1039" si="683">T1039*S1039</f>
        <v>482220</v>
      </c>
      <c r="V1039" s="9">
        <f t="shared" ref="V1039" si="684">U1039*1.12</f>
        <v>540086.4</v>
      </c>
      <c r="W1039" s="7"/>
      <c r="X1039" s="2">
        <v>2016</v>
      </c>
      <c r="Y1039" s="9"/>
    </row>
    <row r="1040" spans="1:25" s="36" customFormat="1" ht="357" customHeight="1" outlineLevel="1" x14ac:dyDescent="0.25">
      <c r="A1040" s="1"/>
      <c r="B1040" s="2" t="s">
        <v>6017</v>
      </c>
      <c r="C1040" s="6" t="s">
        <v>83</v>
      </c>
      <c r="D1040" s="6" t="s">
        <v>2363</v>
      </c>
      <c r="E1040" s="6" t="s">
        <v>2341</v>
      </c>
      <c r="F1040" s="6" t="s">
        <v>2364</v>
      </c>
      <c r="G1040" s="6" t="s">
        <v>2622</v>
      </c>
      <c r="H1040" s="2" t="s">
        <v>88</v>
      </c>
      <c r="I1040" s="4">
        <v>0.4</v>
      </c>
      <c r="J1040" s="6">
        <v>710000000</v>
      </c>
      <c r="K1040" s="6" t="s">
        <v>89</v>
      </c>
      <c r="L1040" s="2" t="s">
        <v>754</v>
      </c>
      <c r="M1040" s="6" t="s">
        <v>689</v>
      </c>
      <c r="N1040" s="6" t="s">
        <v>92</v>
      </c>
      <c r="O1040" s="6" t="s">
        <v>93</v>
      </c>
      <c r="P1040" s="3" t="s">
        <v>94</v>
      </c>
      <c r="Q1040" s="6">
        <v>796</v>
      </c>
      <c r="R1040" s="6" t="s">
        <v>118</v>
      </c>
      <c r="S1040" s="9">
        <v>12</v>
      </c>
      <c r="T1040" s="9">
        <v>15710</v>
      </c>
      <c r="U1040" s="9">
        <v>0</v>
      </c>
      <c r="V1040" s="9">
        <f t="shared" si="588"/>
        <v>0</v>
      </c>
      <c r="W1040" s="7" t="s">
        <v>97</v>
      </c>
      <c r="X1040" s="2">
        <v>2016</v>
      </c>
      <c r="Y1040" s="9" t="s">
        <v>7793</v>
      </c>
    </row>
    <row r="1041" spans="1:25" s="36" customFormat="1" ht="357" customHeight="1" outlineLevel="1" x14ac:dyDescent="0.25">
      <c r="A1041" s="1"/>
      <c r="B1041" s="2" t="s">
        <v>7915</v>
      </c>
      <c r="C1041" s="6" t="s">
        <v>83</v>
      </c>
      <c r="D1041" s="6" t="s">
        <v>2363</v>
      </c>
      <c r="E1041" s="6" t="s">
        <v>2341</v>
      </c>
      <c r="F1041" s="6" t="s">
        <v>2364</v>
      </c>
      <c r="G1041" s="6" t="s">
        <v>2622</v>
      </c>
      <c r="H1041" s="2" t="s">
        <v>88</v>
      </c>
      <c r="I1041" s="4">
        <v>0</v>
      </c>
      <c r="J1041" s="6">
        <v>710000000</v>
      </c>
      <c r="K1041" s="6" t="s">
        <v>89</v>
      </c>
      <c r="L1041" s="2" t="s">
        <v>754</v>
      </c>
      <c r="M1041" s="6" t="s">
        <v>689</v>
      </c>
      <c r="N1041" s="6" t="s">
        <v>92</v>
      </c>
      <c r="O1041" s="6" t="s">
        <v>93</v>
      </c>
      <c r="P1041" s="3" t="s">
        <v>673</v>
      </c>
      <c r="Q1041" s="6">
        <v>796</v>
      </c>
      <c r="R1041" s="6" t="s">
        <v>118</v>
      </c>
      <c r="S1041" s="9">
        <v>12</v>
      </c>
      <c r="T1041" s="9">
        <v>15710</v>
      </c>
      <c r="U1041" s="9">
        <f t="shared" ref="U1041" si="685">T1041*S1041</f>
        <v>188520</v>
      </c>
      <c r="V1041" s="9">
        <f t="shared" ref="V1041" si="686">U1041*1.12</f>
        <v>211142.40000000002</v>
      </c>
      <c r="W1041" s="7"/>
      <c r="X1041" s="2">
        <v>2016</v>
      </c>
      <c r="Y1041" s="9"/>
    </row>
    <row r="1042" spans="1:25" s="36" customFormat="1" ht="408" customHeight="1" outlineLevel="1" x14ac:dyDescent="0.25">
      <c r="A1042" s="1"/>
      <c r="B1042" s="2" t="s">
        <v>6018</v>
      </c>
      <c r="C1042" s="6" t="s">
        <v>83</v>
      </c>
      <c r="D1042" s="6" t="s">
        <v>2363</v>
      </c>
      <c r="E1042" s="6" t="s">
        <v>2341</v>
      </c>
      <c r="F1042" s="6" t="s">
        <v>2364</v>
      </c>
      <c r="G1042" s="6" t="s">
        <v>2623</v>
      </c>
      <c r="H1042" s="2" t="s">
        <v>88</v>
      </c>
      <c r="I1042" s="4">
        <v>0.4</v>
      </c>
      <c r="J1042" s="6">
        <v>710000000</v>
      </c>
      <c r="K1042" s="6" t="s">
        <v>89</v>
      </c>
      <c r="L1042" s="2" t="s">
        <v>754</v>
      </c>
      <c r="M1042" s="6" t="s">
        <v>689</v>
      </c>
      <c r="N1042" s="6" t="s">
        <v>92</v>
      </c>
      <c r="O1042" s="6" t="s">
        <v>93</v>
      </c>
      <c r="P1042" s="3" t="s">
        <v>94</v>
      </c>
      <c r="Q1042" s="6">
        <v>796</v>
      </c>
      <c r="R1042" s="6" t="s">
        <v>118</v>
      </c>
      <c r="S1042" s="9">
        <v>30</v>
      </c>
      <c r="T1042" s="9">
        <v>16517</v>
      </c>
      <c r="U1042" s="9">
        <v>0</v>
      </c>
      <c r="V1042" s="9">
        <f t="shared" si="588"/>
        <v>0</v>
      </c>
      <c r="W1042" s="7" t="s">
        <v>97</v>
      </c>
      <c r="X1042" s="2">
        <v>2016</v>
      </c>
      <c r="Y1042" s="9" t="s">
        <v>7793</v>
      </c>
    </row>
    <row r="1043" spans="1:25" s="36" customFormat="1" ht="408" customHeight="1" outlineLevel="1" x14ac:dyDescent="0.25">
      <c r="A1043" s="1"/>
      <c r="B1043" s="2" t="s">
        <v>7916</v>
      </c>
      <c r="C1043" s="6" t="s">
        <v>83</v>
      </c>
      <c r="D1043" s="6" t="s">
        <v>2363</v>
      </c>
      <c r="E1043" s="6" t="s">
        <v>2341</v>
      </c>
      <c r="F1043" s="6" t="s">
        <v>2364</v>
      </c>
      <c r="G1043" s="6" t="s">
        <v>2623</v>
      </c>
      <c r="H1043" s="2" t="s">
        <v>88</v>
      </c>
      <c r="I1043" s="4">
        <v>0</v>
      </c>
      <c r="J1043" s="6">
        <v>710000000</v>
      </c>
      <c r="K1043" s="6" t="s">
        <v>89</v>
      </c>
      <c r="L1043" s="2" t="s">
        <v>754</v>
      </c>
      <c r="M1043" s="6" t="s">
        <v>689</v>
      </c>
      <c r="N1043" s="6" t="s">
        <v>92</v>
      </c>
      <c r="O1043" s="6" t="s">
        <v>93</v>
      </c>
      <c r="P1043" s="3" t="s">
        <v>673</v>
      </c>
      <c r="Q1043" s="6">
        <v>796</v>
      </c>
      <c r="R1043" s="6" t="s">
        <v>118</v>
      </c>
      <c r="S1043" s="9">
        <v>30</v>
      </c>
      <c r="T1043" s="9">
        <v>16517</v>
      </c>
      <c r="U1043" s="9">
        <f t="shared" ref="U1043" si="687">T1043*S1043</f>
        <v>495510</v>
      </c>
      <c r="V1043" s="9">
        <f t="shared" ref="V1043" si="688">U1043*1.12</f>
        <v>554971.20000000007</v>
      </c>
      <c r="W1043" s="7"/>
      <c r="X1043" s="2">
        <v>2016</v>
      </c>
      <c r="Y1043" s="9"/>
    </row>
    <row r="1044" spans="1:25" s="36" customFormat="1" ht="409.5" customHeight="1" outlineLevel="1" x14ac:dyDescent="0.25">
      <c r="A1044" s="1"/>
      <c r="B1044" s="2" t="s">
        <v>6019</v>
      </c>
      <c r="C1044" s="6" t="s">
        <v>83</v>
      </c>
      <c r="D1044" s="6" t="s">
        <v>2624</v>
      </c>
      <c r="E1044" s="6" t="s">
        <v>2535</v>
      </c>
      <c r="F1044" s="6" t="s">
        <v>2625</v>
      </c>
      <c r="G1044" s="6" t="s">
        <v>2626</v>
      </c>
      <c r="H1044" s="2" t="s">
        <v>88</v>
      </c>
      <c r="I1044" s="4">
        <v>0.4</v>
      </c>
      <c r="J1044" s="6">
        <v>710000000</v>
      </c>
      <c r="K1044" s="6" t="s">
        <v>89</v>
      </c>
      <c r="L1044" s="2" t="s">
        <v>754</v>
      </c>
      <c r="M1044" s="6" t="s">
        <v>689</v>
      </c>
      <c r="N1044" s="6" t="s">
        <v>92</v>
      </c>
      <c r="O1044" s="6" t="s">
        <v>93</v>
      </c>
      <c r="P1044" s="3" t="s">
        <v>94</v>
      </c>
      <c r="Q1044" s="6">
        <v>881</v>
      </c>
      <c r="R1044" s="6" t="s">
        <v>2362</v>
      </c>
      <c r="S1044" s="9">
        <v>5</v>
      </c>
      <c r="T1044" s="9">
        <v>5535</v>
      </c>
      <c r="U1044" s="9">
        <v>0</v>
      </c>
      <c r="V1044" s="9">
        <f t="shared" si="588"/>
        <v>0</v>
      </c>
      <c r="W1044" s="7" t="s">
        <v>97</v>
      </c>
      <c r="X1044" s="2">
        <v>2016</v>
      </c>
      <c r="Y1044" s="9" t="s">
        <v>7793</v>
      </c>
    </row>
    <row r="1045" spans="1:25" s="36" customFormat="1" ht="409.5" customHeight="1" outlineLevel="1" x14ac:dyDescent="0.25">
      <c r="A1045" s="1"/>
      <c r="B1045" s="2" t="s">
        <v>7917</v>
      </c>
      <c r="C1045" s="6" t="s">
        <v>83</v>
      </c>
      <c r="D1045" s="6" t="s">
        <v>2624</v>
      </c>
      <c r="E1045" s="6" t="s">
        <v>2535</v>
      </c>
      <c r="F1045" s="6" t="s">
        <v>2625</v>
      </c>
      <c r="G1045" s="6" t="s">
        <v>2626</v>
      </c>
      <c r="H1045" s="2" t="s">
        <v>88</v>
      </c>
      <c r="I1045" s="4">
        <v>0</v>
      </c>
      <c r="J1045" s="6">
        <v>710000000</v>
      </c>
      <c r="K1045" s="6" t="s">
        <v>89</v>
      </c>
      <c r="L1045" s="2" t="s">
        <v>754</v>
      </c>
      <c r="M1045" s="6" t="s">
        <v>689</v>
      </c>
      <c r="N1045" s="6" t="s">
        <v>92</v>
      </c>
      <c r="O1045" s="6" t="s">
        <v>93</v>
      </c>
      <c r="P1045" s="3" t="s">
        <v>673</v>
      </c>
      <c r="Q1045" s="6">
        <v>881</v>
      </c>
      <c r="R1045" s="6" t="s">
        <v>2362</v>
      </c>
      <c r="S1045" s="9">
        <v>5</v>
      </c>
      <c r="T1045" s="9">
        <v>5535</v>
      </c>
      <c r="U1045" s="9">
        <f t="shared" ref="U1045" si="689">T1045*S1045</f>
        <v>27675</v>
      </c>
      <c r="V1045" s="9">
        <f t="shared" ref="V1045" si="690">U1045*1.12</f>
        <v>30996.000000000004</v>
      </c>
      <c r="W1045" s="7"/>
      <c r="X1045" s="2">
        <v>2016</v>
      </c>
      <c r="Y1045" s="9"/>
    </row>
    <row r="1046" spans="1:25" s="36" customFormat="1" ht="178.5" customHeight="1" outlineLevel="1" x14ac:dyDescent="0.2">
      <c r="A1046" s="25"/>
      <c r="B1046" s="2" t="s">
        <v>6020</v>
      </c>
      <c r="C1046" s="6" t="s">
        <v>83</v>
      </c>
      <c r="D1046" s="6" t="s">
        <v>2627</v>
      </c>
      <c r="E1046" s="6" t="s">
        <v>2426</v>
      </c>
      <c r="F1046" s="6" t="s">
        <v>2628</v>
      </c>
      <c r="G1046" s="6" t="s">
        <v>2629</v>
      </c>
      <c r="H1046" s="2" t="s">
        <v>88</v>
      </c>
      <c r="I1046" s="4">
        <v>0.4</v>
      </c>
      <c r="J1046" s="6">
        <v>710000000</v>
      </c>
      <c r="K1046" s="6" t="s">
        <v>89</v>
      </c>
      <c r="L1046" s="2" t="s">
        <v>754</v>
      </c>
      <c r="M1046" s="6" t="s">
        <v>689</v>
      </c>
      <c r="N1046" s="6" t="s">
        <v>92</v>
      </c>
      <c r="O1046" s="6" t="s">
        <v>93</v>
      </c>
      <c r="P1046" s="3" t="s">
        <v>94</v>
      </c>
      <c r="Q1046" s="6">
        <v>796</v>
      </c>
      <c r="R1046" s="6" t="s">
        <v>118</v>
      </c>
      <c r="S1046" s="9">
        <v>399</v>
      </c>
      <c r="T1046" s="9">
        <v>378</v>
      </c>
      <c r="U1046" s="9">
        <v>0</v>
      </c>
      <c r="V1046" s="9">
        <f t="shared" si="588"/>
        <v>0</v>
      </c>
      <c r="W1046" s="7" t="s">
        <v>97</v>
      </c>
      <c r="X1046" s="2">
        <v>2016</v>
      </c>
      <c r="Y1046" s="9" t="s">
        <v>7793</v>
      </c>
    </row>
    <row r="1047" spans="1:25" s="36" customFormat="1" ht="178.5" customHeight="1" outlineLevel="1" x14ac:dyDescent="0.25">
      <c r="A1047" s="1"/>
      <c r="B1047" s="2" t="s">
        <v>7918</v>
      </c>
      <c r="C1047" s="6" t="s">
        <v>83</v>
      </c>
      <c r="D1047" s="6" t="s">
        <v>2627</v>
      </c>
      <c r="E1047" s="6" t="s">
        <v>2426</v>
      </c>
      <c r="F1047" s="6" t="s">
        <v>2628</v>
      </c>
      <c r="G1047" s="6" t="s">
        <v>2629</v>
      </c>
      <c r="H1047" s="2" t="s">
        <v>88</v>
      </c>
      <c r="I1047" s="4">
        <v>0</v>
      </c>
      <c r="J1047" s="6">
        <v>710000000</v>
      </c>
      <c r="K1047" s="6" t="s">
        <v>89</v>
      </c>
      <c r="L1047" s="2" t="s">
        <v>754</v>
      </c>
      <c r="M1047" s="6" t="s">
        <v>689</v>
      </c>
      <c r="N1047" s="6" t="s">
        <v>92</v>
      </c>
      <c r="O1047" s="6" t="s">
        <v>93</v>
      </c>
      <c r="P1047" s="3" t="s">
        <v>673</v>
      </c>
      <c r="Q1047" s="6">
        <v>796</v>
      </c>
      <c r="R1047" s="6" t="s">
        <v>118</v>
      </c>
      <c r="S1047" s="9">
        <v>399</v>
      </c>
      <c r="T1047" s="9">
        <v>378</v>
      </c>
      <c r="U1047" s="9">
        <f t="shared" ref="U1047" si="691">T1047*S1047</f>
        <v>150822</v>
      </c>
      <c r="V1047" s="9">
        <f t="shared" ref="V1047" si="692">U1047*1.12</f>
        <v>168920.64</v>
      </c>
      <c r="W1047" s="7"/>
      <c r="X1047" s="2">
        <v>2016</v>
      </c>
      <c r="Y1047" s="9"/>
    </row>
    <row r="1048" spans="1:25" s="36" customFormat="1" ht="178.5" customHeight="1" outlineLevel="1" x14ac:dyDescent="0.2">
      <c r="A1048" s="25"/>
      <c r="B1048" s="2" t="s">
        <v>6021</v>
      </c>
      <c r="C1048" s="6" t="s">
        <v>83</v>
      </c>
      <c r="D1048" s="6" t="s">
        <v>2627</v>
      </c>
      <c r="E1048" s="6" t="s">
        <v>2426</v>
      </c>
      <c r="F1048" s="6" t="s">
        <v>2628</v>
      </c>
      <c r="G1048" s="6" t="s">
        <v>2630</v>
      </c>
      <c r="H1048" s="2" t="s">
        <v>88</v>
      </c>
      <c r="I1048" s="4">
        <v>0.4</v>
      </c>
      <c r="J1048" s="6">
        <v>710000000</v>
      </c>
      <c r="K1048" s="6" t="s">
        <v>89</v>
      </c>
      <c r="L1048" s="2" t="s">
        <v>754</v>
      </c>
      <c r="M1048" s="6" t="s">
        <v>689</v>
      </c>
      <c r="N1048" s="6" t="s">
        <v>92</v>
      </c>
      <c r="O1048" s="6" t="s">
        <v>93</v>
      </c>
      <c r="P1048" s="3" t="s">
        <v>94</v>
      </c>
      <c r="Q1048" s="6">
        <v>796</v>
      </c>
      <c r="R1048" s="6" t="s">
        <v>118</v>
      </c>
      <c r="S1048" s="9">
        <v>399</v>
      </c>
      <c r="T1048" s="9">
        <v>378</v>
      </c>
      <c r="U1048" s="9">
        <v>0</v>
      </c>
      <c r="V1048" s="9">
        <f t="shared" si="588"/>
        <v>0</v>
      </c>
      <c r="W1048" s="7" t="s">
        <v>97</v>
      </c>
      <c r="X1048" s="2">
        <v>2016</v>
      </c>
      <c r="Y1048" s="9" t="s">
        <v>7793</v>
      </c>
    </row>
    <row r="1049" spans="1:25" s="36" customFormat="1" ht="178.5" customHeight="1" outlineLevel="1" x14ac:dyDescent="0.25">
      <c r="A1049" s="1"/>
      <c r="B1049" s="2" t="s">
        <v>7919</v>
      </c>
      <c r="C1049" s="6" t="s">
        <v>83</v>
      </c>
      <c r="D1049" s="6" t="s">
        <v>2627</v>
      </c>
      <c r="E1049" s="6" t="s">
        <v>2426</v>
      </c>
      <c r="F1049" s="6" t="s">
        <v>2628</v>
      </c>
      <c r="G1049" s="6" t="s">
        <v>2630</v>
      </c>
      <c r="H1049" s="2" t="s">
        <v>88</v>
      </c>
      <c r="I1049" s="4">
        <v>0</v>
      </c>
      <c r="J1049" s="6">
        <v>710000000</v>
      </c>
      <c r="K1049" s="6" t="s">
        <v>89</v>
      </c>
      <c r="L1049" s="2" t="s">
        <v>754</v>
      </c>
      <c r="M1049" s="6" t="s">
        <v>689</v>
      </c>
      <c r="N1049" s="6" t="s">
        <v>92</v>
      </c>
      <c r="O1049" s="6" t="s">
        <v>93</v>
      </c>
      <c r="P1049" s="3" t="s">
        <v>673</v>
      </c>
      <c r="Q1049" s="6">
        <v>796</v>
      </c>
      <c r="R1049" s="6" t="s">
        <v>118</v>
      </c>
      <c r="S1049" s="9">
        <v>399</v>
      </c>
      <c r="T1049" s="9">
        <v>378</v>
      </c>
      <c r="U1049" s="9">
        <f t="shared" ref="U1049" si="693">T1049*S1049</f>
        <v>150822</v>
      </c>
      <c r="V1049" s="9">
        <f t="shared" ref="V1049" si="694">U1049*1.12</f>
        <v>168920.64</v>
      </c>
      <c r="W1049" s="7"/>
      <c r="X1049" s="2">
        <v>2016</v>
      </c>
      <c r="Y1049" s="9"/>
    </row>
    <row r="1050" spans="1:25" s="36" customFormat="1" ht="178.5" customHeight="1" outlineLevel="1" x14ac:dyDescent="0.2">
      <c r="A1050" s="25"/>
      <c r="B1050" s="2" t="s">
        <v>6022</v>
      </c>
      <c r="C1050" s="6" t="s">
        <v>83</v>
      </c>
      <c r="D1050" s="6" t="s">
        <v>2627</v>
      </c>
      <c r="E1050" s="6" t="s">
        <v>2426</v>
      </c>
      <c r="F1050" s="6" t="s">
        <v>2628</v>
      </c>
      <c r="G1050" s="6" t="s">
        <v>2631</v>
      </c>
      <c r="H1050" s="2" t="s">
        <v>88</v>
      </c>
      <c r="I1050" s="4">
        <v>0.4</v>
      </c>
      <c r="J1050" s="6">
        <v>710000000</v>
      </c>
      <c r="K1050" s="6" t="s">
        <v>89</v>
      </c>
      <c r="L1050" s="2" t="s">
        <v>754</v>
      </c>
      <c r="M1050" s="6" t="s">
        <v>689</v>
      </c>
      <c r="N1050" s="6" t="s">
        <v>92</v>
      </c>
      <c r="O1050" s="6" t="s">
        <v>93</v>
      </c>
      <c r="P1050" s="3" t="s">
        <v>94</v>
      </c>
      <c r="Q1050" s="6">
        <v>796</v>
      </c>
      <c r="R1050" s="6" t="s">
        <v>118</v>
      </c>
      <c r="S1050" s="9">
        <v>399</v>
      </c>
      <c r="T1050" s="9">
        <v>378</v>
      </c>
      <c r="U1050" s="9">
        <v>0</v>
      </c>
      <c r="V1050" s="9">
        <f t="shared" si="588"/>
        <v>0</v>
      </c>
      <c r="W1050" s="7" t="s">
        <v>97</v>
      </c>
      <c r="X1050" s="2">
        <v>2016</v>
      </c>
      <c r="Y1050" s="9" t="s">
        <v>7793</v>
      </c>
    </row>
    <row r="1051" spans="1:25" s="36" customFormat="1" ht="178.5" customHeight="1" outlineLevel="1" x14ac:dyDescent="0.25">
      <c r="A1051" s="1"/>
      <c r="B1051" s="2" t="s">
        <v>7920</v>
      </c>
      <c r="C1051" s="6" t="s">
        <v>83</v>
      </c>
      <c r="D1051" s="6" t="s">
        <v>2627</v>
      </c>
      <c r="E1051" s="6" t="s">
        <v>2426</v>
      </c>
      <c r="F1051" s="6" t="s">
        <v>2628</v>
      </c>
      <c r="G1051" s="6" t="s">
        <v>2631</v>
      </c>
      <c r="H1051" s="2" t="s">
        <v>88</v>
      </c>
      <c r="I1051" s="4">
        <v>0</v>
      </c>
      <c r="J1051" s="6">
        <v>710000000</v>
      </c>
      <c r="K1051" s="6" t="s">
        <v>89</v>
      </c>
      <c r="L1051" s="2" t="s">
        <v>754</v>
      </c>
      <c r="M1051" s="6" t="s">
        <v>689</v>
      </c>
      <c r="N1051" s="6" t="s">
        <v>92</v>
      </c>
      <c r="O1051" s="6" t="s">
        <v>93</v>
      </c>
      <c r="P1051" s="3" t="s">
        <v>673</v>
      </c>
      <c r="Q1051" s="6">
        <v>796</v>
      </c>
      <c r="R1051" s="6" t="s">
        <v>118</v>
      </c>
      <c r="S1051" s="9">
        <v>399</v>
      </c>
      <c r="T1051" s="9">
        <v>378</v>
      </c>
      <c r="U1051" s="9">
        <f t="shared" ref="U1051" si="695">T1051*S1051</f>
        <v>150822</v>
      </c>
      <c r="V1051" s="9">
        <f t="shared" ref="V1051" si="696">U1051*1.12</f>
        <v>168920.64</v>
      </c>
      <c r="W1051" s="7"/>
      <c r="X1051" s="2">
        <v>2016</v>
      </c>
      <c r="Y1051" s="9"/>
    </row>
    <row r="1052" spans="1:25" s="36" customFormat="1" ht="178.5" customHeight="1" outlineLevel="1" x14ac:dyDescent="0.2">
      <c r="A1052" s="25"/>
      <c r="B1052" s="2" t="s">
        <v>6023</v>
      </c>
      <c r="C1052" s="6" t="s">
        <v>83</v>
      </c>
      <c r="D1052" s="6" t="s">
        <v>2627</v>
      </c>
      <c r="E1052" s="6" t="s">
        <v>2426</v>
      </c>
      <c r="F1052" s="6" t="s">
        <v>2628</v>
      </c>
      <c r="G1052" s="6" t="s">
        <v>2632</v>
      </c>
      <c r="H1052" s="2" t="s">
        <v>88</v>
      </c>
      <c r="I1052" s="4">
        <v>0.4</v>
      </c>
      <c r="J1052" s="6">
        <v>710000000</v>
      </c>
      <c r="K1052" s="6" t="s">
        <v>89</v>
      </c>
      <c r="L1052" s="2" t="s">
        <v>754</v>
      </c>
      <c r="M1052" s="6" t="s">
        <v>689</v>
      </c>
      <c r="N1052" s="6" t="s">
        <v>92</v>
      </c>
      <c r="O1052" s="6" t="s">
        <v>93</v>
      </c>
      <c r="P1052" s="3" t="s">
        <v>94</v>
      </c>
      <c r="Q1052" s="6">
        <v>796</v>
      </c>
      <c r="R1052" s="6" t="s">
        <v>118</v>
      </c>
      <c r="S1052" s="9">
        <v>399</v>
      </c>
      <c r="T1052" s="9">
        <v>378</v>
      </c>
      <c r="U1052" s="9">
        <v>0</v>
      </c>
      <c r="V1052" s="9">
        <f t="shared" si="588"/>
        <v>0</v>
      </c>
      <c r="W1052" s="7" t="s">
        <v>97</v>
      </c>
      <c r="X1052" s="2">
        <v>2016</v>
      </c>
      <c r="Y1052" s="9" t="s">
        <v>7793</v>
      </c>
    </row>
    <row r="1053" spans="1:25" s="36" customFormat="1" ht="178.5" customHeight="1" outlineLevel="1" x14ac:dyDescent="0.25">
      <c r="A1053" s="1"/>
      <c r="B1053" s="2" t="s">
        <v>7921</v>
      </c>
      <c r="C1053" s="6" t="s">
        <v>83</v>
      </c>
      <c r="D1053" s="6" t="s">
        <v>2627</v>
      </c>
      <c r="E1053" s="6" t="s">
        <v>2426</v>
      </c>
      <c r="F1053" s="6" t="s">
        <v>2628</v>
      </c>
      <c r="G1053" s="6" t="s">
        <v>2632</v>
      </c>
      <c r="H1053" s="2" t="s">
        <v>88</v>
      </c>
      <c r="I1053" s="4">
        <v>0</v>
      </c>
      <c r="J1053" s="6">
        <v>710000000</v>
      </c>
      <c r="K1053" s="6" t="s">
        <v>89</v>
      </c>
      <c r="L1053" s="2" t="s">
        <v>754</v>
      </c>
      <c r="M1053" s="6" t="s">
        <v>689</v>
      </c>
      <c r="N1053" s="6" t="s">
        <v>92</v>
      </c>
      <c r="O1053" s="6" t="s">
        <v>93</v>
      </c>
      <c r="P1053" s="3" t="s">
        <v>673</v>
      </c>
      <c r="Q1053" s="6">
        <v>796</v>
      </c>
      <c r="R1053" s="6" t="s">
        <v>118</v>
      </c>
      <c r="S1053" s="9">
        <v>399</v>
      </c>
      <c r="T1053" s="9">
        <v>378</v>
      </c>
      <c r="U1053" s="9">
        <f t="shared" ref="U1053" si="697">T1053*S1053</f>
        <v>150822</v>
      </c>
      <c r="V1053" s="9">
        <f t="shared" ref="V1053" si="698">U1053*1.12</f>
        <v>168920.64</v>
      </c>
      <c r="W1053" s="7"/>
      <c r="X1053" s="2">
        <v>2016</v>
      </c>
      <c r="Y1053" s="9"/>
    </row>
    <row r="1054" spans="1:25" s="36" customFormat="1" ht="178.5" customHeight="1" outlineLevel="1" x14ac:dyDescent="0.2">
      <c r="A1054" s="25"/>
      <c r="B1054" s="2" t="s">
        <v>6024</v>
      </c>
      <c r="C1054" s="6" t="s">
        <v>83</v>
      </c>
      <c r="D1054" s="6" t="s">
        <v>2633</v>
      </c>
      <c r="E1054" s="6" t="s">
        <v>2422</v>
      </c>
      <c r="F1054" s="6" t="s">
        <v>2634</v>
      </c>
      <c r="G1054" s="6" t="s">
        <v>2635</v>
      </c>
      <c r="H1054" s="2" t="s">
        <v>88</v>
      </c>
      <c r="I1054" s="4">
        <v>0.4</v>
      </c>
      <c r="J1054" s="6">
        <v>710000000</v>
      </c>
      <c r="K1054" s="6" t="s">
        <v>89</v>
      </c>
      <c r="L1054" s="2" t="s">
        <v>754</v>
      </c>
      <c r="M1054" s="6" t="s">
        <v>689</v>
      </c>
      <c r="N1054" s="6" t="s">
        <v>92</v>
      </c>
      <c r="O1054" s="6" t="s">
        <v>93</v>
      </c>
      <c r="P1054" s="3" t="s">
        <v>94</v>
      </c>
      <c r="Q1054" s="6">
        <v>796</v>
      </c>
      <c r="R1054" s="6" t="s">
        <v>118</v>
      </c>
      <c r="S1054" s="9">
        <v>1596</v>
      </c>
      <c r="T1054" s="9">
        <v>47.5</v>
      </c>
      <c r="U1054" s="9">
        <v>0</v>
      </c>
      <c r="V1054" s="9">
        <f t="shared" si="588"/>
        <v>0</v>
      </c>
      <c r="W1054" s="7" t="s">
        <v>97</v>
      </c>
      <c r="X1054" s="2">
        <v>2016</v>
      </c>
      <c r="Y1054" s="9" t="s">
        <v>7793</v>
      </c>
    </row>
    <row r="1055" spans="1:25" s="36" customFormat="1" ht="178.5" customHeight="1" outlineLevel="1" x14ac:dyDescent="0.25">
      <c r="A1055" s="1"/>
      <c r="B1055" s="2" t="s">
        <v>7922</v>
      </c>
      <c r="C1055" s="6" t="s">
        <v>83</v>
      </c>
      <c r="D1055" s="6" t="s">
        <v>2633</v>
      </c>
      <c r="E1055" s="6" t="s">
        <v>2422</v>
      </c>
      <c r="F1055" s="6" t="s">
        <v>2634</v>
      </c>
      <c r="G1055" s="6" t="s">
        <v>2635</v>
      </c>
      <c r="H1055" s="2" t="s">
        <v>88</v>
      </c>
      <c r="I1055" s="4">
        <v>0</v>
      </c>
      <c r="J1055" s="6">
        <v>710000000</v>
      </c>
      <c r="K1055" s="6" t="s">
        <v>89</v>
      </c>
      <c r="L1055" s="2" t="s">
        <v>754</v>
      </c>
      <c r="M1055" s="6" t="s">
        <v>689</v>
      </c>
      <c r="N1055" s="6" t="s">
        <v>92</v>
      </c>
      <c r="O1055" s="6" t="s">
        <v>93</v>
      </c>
      <c r="P1055" s="3" t="s">
        <v>673</v>
      </c>
      <c r="Q1055" s="6">
        <v>796</v>
      </c>
      <c r="R1055" s="6" t="s">
        <v>118</v>
      </c>
      <c r="S1055" s="9">
        <v>1596</v>
      </c>
      <c r="T1055" s="9">
        <v>47.5</v>
      </c>
      <c r="U1055" s="9">
        <f t="shared" ref="U1055" si="699">T1055*S1055</f>
        <v>75810</v>
      </c>
      <c r="V1055" s="9">
        <f t="shared" ref="V1055" si="700">U1055*1.12</f>
        <v>84907.200000000012</v>
      </c>
      <c r="W1055" s="7"/>
      <c r="X1055" s="2">
        <v>2016</v>
      </c>
      <c r="Y1055" s="9"/>
    </row>
    <row r="1056" spans="1:25" s="36" customFormat="1" ht="89.25" customHeight="1" outlineLevel="1" x14ac:dyDescent="0.2">
      <c r="A1056" s="25"/>
      <c r="B1056" s="2" t="s">
        <v>6025</v>
      </c>
      <c r="C1056" s="6" t="s">
        <v>83</v>
      </c>
      <c r="D1056" s="6" t="s">
        <v>2636</v>
      </c>
      <c r="E1056" s="6" t="s">
        <v>2451</v>
      </c>
      <c r="F1056" s="6" t="s">
        <v>2637</v>
      </c>
      <c r="G1056" s="6" t="s">
        <v>2638</v>
      </c>
      <c r="H1056" s="2" t="s">
        <v>88</v>
      </c>
      <c r="I1056" s="4">
        <v>0.4</v>
      </c>
      <c r="J1056" s="6">
        <v>710000000</v>
      </c>
      <c r="K1056" s="6" t="s">
        <v>89</v>
      </c>
      <c r="L1056" s="2" t="s">
        <v>754</v>
      </c>
      <c r="M1056" s="6" t="s">
        <v>689</v>
      </c>
      <c r="N1056" s="6" t="s">
        <v>92</v>
      </c>
      <c r="O1056" s="6" t="s">
        <v>93</v>
      </c>
      <c r="P1056" s="3" t="s">
        <v>94</v>
      </c>
      <c r="Q1056" s="6">
        <v>796</v>
      </c>
      <c r="R1056" s="6" t="s">
        <v>118</v>
      </c>
      <c r="S1056" s="9">
        <v>40</v>
      </c>
      <c r="T1056" s="9">
        <v>1140</v>
      </c>
      <c r="U1056" s="9">
        <v>0</v>
      </c>
      <c r="V1056" s="9">
        <f t="shared" si="588"/>
        <v>0</v>
      </c>
      <c r="W1056" s="7" t="s">
        <v>97</v>
      </c>
      <c r="X1056" s="2">
        <v>2016</v>
      </c>
      <c r="Y1056" s="9" t="s">
        <v>7793</v>
      </c>
    </row>
    <row r="1057" spans="1:25" s="36" customFormat="1" ht="89.25" customHeight="1" outlineLevel="1" x14ac:dyDescent="0.25">
      <c r="A1057" s="1"/>
      <c r="B1057" s="2" t="s">
        <v>7923</v>
      </c>
      <c r="C1057" s="6" t="s">
        <v>83</v>
      </c>
      <c r="D1057" s="6" t="s">
        <v>2636</v>
      </c>
      <c r="E1057" s="6" t="s">
        <v>2451</v>
      </c>
      <c r="F1057" s="6" t="s">
        <v>2637</v>
      </c>
      <c r="G1057" s="6" t="s">
        <v>2638</v>
      </c>
      <c r="H1057" s="2" t="s">
        <v>88</v>
      </c>
      <c r="I1057" s="4">
        <v>0</v>
      </c>
      <c r="J1057" s="6">
        <v>710000000</v>
      </c>
      <c r="K1057" s="6" t="s">
        <v>89</v>
      </c>
      <c r="L1057" s="2" t="s">
        <v>754</v>
      </c>
      <c r="M1057" s="6" t="s">
        <v>689</v>
      </c>
      <c r="N1057" s="6" t="s">
        <v>92</v>
      </c>
      <c r="O1057" s="6" t="s">
        <v>93</v>
      </c>
      <c r="P1057" s="3" t="s">
        <v>673</v>
      </c>
      <c r="Q1057" s="6">
        <v>796</v>
      </c>
      <c r="R1057" s="6" t="s">
        <v>118</v>
      </c>
      <c r="S1057" s="9">
        <v>40</v>
      </c>
      <c r="T1057" s="9">
        <v>1140</v>
      </c>
      <c r="U1057" s="9">
        <f t="shared" ref="U1057" si="701">T1057*S1057</f>
        <v>45600</v>
      </c>
      <c r="V1057" s="9">
        <f t="shared" ref="V1057" si="702">U1057*1.12</f>
        <v>51072.000000000007</v>
      </c>
      <c r="W1057" s="7"/>
      <c r="X1057" s="2">
        <v>2016</v>
      </c>
      <c r="Y1057" s="9"/>
    </row>
    <row r="1058" spans="1:25" s="36" customFormat="1" ht="89.25" customHeight="1" outlineLevel="1" x14ac:dyDescent="0.2">
      <c r="A1058" s="25"/>
      <c r="B1058" s="2" t="s">
        <v>6026</v>
      </c>
      <c r="C1058" s="6" t="s">
        <v>83</v>
      </c>
      <c r="D1058" s="6" t="s">
        <v>2460</v>
      </c>
      <c r="E1058" s="6" t="s">
        <v>2455</v>
      </c>
      <c r="F1058" s="6" t="s">
        <v>2461</v>
      </c>
      <c r="G1058" s="6" t="s">
        <v>2639</v>
      </c>
      <c r="H1058" s="2" t="s">
        <v>88</v>
      </c>
      <c r="I1058" s="4">
        <v>0.4</v>
      </c>
      <c r="J1058" s="6">
        <v>710000000</v>
      </c>
      <c r="K1058" s="6" t="s">
        <v>89</v>
      </c>
      <c r="L1058" s="2" t="s">
        <v>754</v>
      </c>
      <c r="M1058" s="6" t="s">
        <v>689</v>
      </c>
      <c r="N1058" s="6" t="s">
        <v>92</v>
      </c>
      <c r="O1058" s="6" t="s">
        <v>93</v>
      </c>
      <c r="P1058" s="3" t="s">
        <v>94</v>
      </c>
      <c r="Q1058" s="6">
        <v>715</v>
      </c>
      <c r="R1058" s="6" t="s">
        <v>2459</v>
      </c>
      <c r="S1058" s="9">
        <v>3192</v>
      </c>
      <c r="T1058" s="9">
        <v>197</v>
      </c>
      <c r="U1058" s="9">
        <v>0</v>
      </c>
      <c r="V1058" s="9">
        <f t="shared" si="588"/>
        <v>0</v>
      </c>
      <c r="W1058" s="7" t="s">
        <v>97</v>
      </c>
      <c r="X1058" s="2">
        <v>2016</v>
      </c>
      <c r="Y1058" s="9" t="s">
        <v>7793</v>
      </c>
    </row>
    <row r="1059" spans="1:25" s="36" customFormat="1" ht="89.25" customHeight="1" outlineLevel="1" x14ac:dyDescent="0.25">
      <c r="A1059" s="1"/>
      <c r="B1059" s="2" t="s">
        <v>7924</v>
      </c>
      <c r="C1059" s="6" t="s">
        <v>83</v>
      </c>
      <c r="D1059" s="6" t="s">
        <v>2460</v>
      </c>
      <c r="E1059" s="6" t="s">
        <v>2455</v>
      </c>
      <c r="F1059" s="6" t="s">
        <v>2461</v>
      </c>
      <c r="G1059" s="6" t="s">
        <v>2639</v>
      </c>
      <c r="H1059" s="2" t="s">
        <v>88</v>
      </c>
      <c r="I1059" s="4">
        <v>0</v>
      </c>
      <c r="J1059" s="6">
        <v>710000000</v>
      </c>
      <c r="K1059" s="6" t="s">
        <v>89</v>
      </c>
      <c r="L1059" s="2" t="s">
        <v>754</v>
      </c>
      <c r="M1059" s="6" t="s">
        <v>689</v>
      </c>
      <c r="N1059" s="6" t="s">
        <v>92</v>
      </c>
      <c r="O1059" s="6" t="s">
        <v>93</v>
      </c>
      <c r="P1059" s="3" t="s">
        <v>673</v>
      </c>
      <c r="Q1059" s="6">
        <v>715</v>
      </c>
      <c r="R1059" s="6" t="s">
        <v>2459</v>
      </c>
      <c r="S1059" s="9">
        <v>3192</v>
      </c>
      <c r="T1059" s="9">
        <v>197</v>
      </c>
      <c r="U1059" s="9">
        <f t="shared" ref="U1059" si="703">T1059*S1059</f>
        <v>628824</v>
      </c>
      <c r="V1059" s="9">
        <f t="shared" ref="V1059" si="704">U1059*1.12</f>
        <v>704282.88000000012</v>
      </c>
      <c r="W1059" s="7"/>
      <c r="X1059" s="2">
        <v>2016</v>
      </c>
      <c r="Y1059" s="9"/>
    </row>
    <row r="1060" spans="1:25" s="36" customFormat="1" ht="89.25" customHeight="1" outlineLevel="1" x14ac:dyDescent="0.2">
      <c r="A1060" s="25"/>
      <c r="B1060" s="2" t="s">
        <v>6027</v>
      </c>
      <c r="C1060" s="6" t="s">
        <v>83</v>
      </c>
      <c r="D1060" s="6" t="s">
        <v>2640</v>
      </c>
      <c r="E1060" s="6" t="s">
        <v>2641</v>
      </c>
      <c r="F1060" s="6" t="s">
        <v>2642</v>
      </c>
      <c r="G1060" s="6" t="s">
        <v>2643</v>
      </c>
      <c r="H1060" s="2" t="s">
        <v>88</v>
      </c>
      <c r="I1060" s="4">
        <v>0.4</v>
      </c>
      <c r="J1060" s="6">
        <v>710000000</v>
      </c>
      <c r="K1060" s="6" t="s">
        <v>89</v>
      </c>
      <c r="L1060" s="2" t="s">
        <v>754</v>
      </c>
      <c r="M1060" s="6" t="s">
        <v>689</v>
      </c>
      <c r="N1060" s="6" t="s">
        <v>92</v>
      </c>
      <c r="O1060" s="6" t="s">
        <v>93</v>
      </c>
      <c r="P1060" s="3" t="s">
        <v>94</v>
      </c>
      <c r="Q1060" s="6">
        <v>796</v>
      </c>
      <c r="R1060" s="6" t="s">
        <v>118</v>
      </c>
      <c r="S1060" s="9">
        <f>6+6</f>
        <v>12</v>
      </c>
      <c r="T1060" s="9">
        <v>160715</v>
      </c>
      <c r="U1060" s="9">
        <v>0</v>
      </c>
      <c r="V1060" s="9">
        <f t="shared" si="588"/>
        <v>0</v>
      </c>
      <c r="W1060" s="7" t="s">
        <v>97</v>
      </c>
      <c r="X1060" s="2">
        <v>2016</v>
      </c>
      <c r="Y1060" s="9" t="s">
        <v>7793</v>
      </c>
    </row>
    <row r="1061" spans="1:25" s="36" customFormat="1" ht="89.25" customHeight="1" outlineLevel="1" x14ac:dyDescent="0.25">
      <c r="A1061" s="1"/>
      <c r="B1061" s="2" t="s">
        <v>7925</v>
      </c>
      <c r="C1061" s="6" t="s">
        <v>83</v>
      </c>
      <c r="D1061" s="6" t="s">
        <v>2640</v>
      </c>
      <c r="E1061" s="6" t="s">
        <v>2641</v>
      </c>
      <c r="F1061" s="6" t="s">
        <v>2642</v>
      </c>
      <c r="G1061" s="6" t="s">
        <v>2643</v>
      </c>
      <c r="H1061" s="2" t="s">
        <v>88</v>
      </c>
      <c r="I1061" s="4">
        <v>0</v>
      </c>
      <c r="J1061" s="6">
        <v>710000000</v>
      </c>
      <c r="K1061" s="6" t="s">
        <v>89</v>
      </c>
      <c r="L1061" s="2" t="s">
        <v>754</v>
      </c>
      <c r="M1061" s="6" t="s">
        <v>689</v>
      </c>
      <c r="N1061" s="6" t="s">
        <v>92</v>
      </c>
      <c r="O1061" s="6" t="s">
        <v>93</v>
      </c>
      <c r="P1061" s="3" t="s">
        <v>673</v>
      </c>
      <c r="Q1061" s="6">
        <v>796</v>
      </c>
      <c r="R1061" s="6" t="s">
        <v>118</v>
      </c>
      <c r="S1061" s="9">
        <f>6+6</f>
        <v>12</v>
      </c>
      <c r="T1061" s="9">
        <v>160715</v>
      </c>
      <c r="U1061" s="9">
        <f t="shared" ref="U1061" si="705">T1061*S1061</f>
        <v>1928580</v>
      </c>
      <c r="V1061" s="9">
        <f t="shared" ref="V1061" si="706">U1061*1.12</f>
        <v>2160009.6</v>
      </c>
      <c r="W1061" s="7"/>
      <c r="X1061" s="2">
        <v>2016</v>
      </c>
      <c r="Y1061" s="9"/>
    </row>
    <row r="1062" spans="1:25" s="36" customFormat="1" ht="89.25" customHeight="1" outlineLevel="1" x14ac:dyDescent="0.2">
      <c r="A1062" s="25"/>
      <c r="B1062" s="2" t="s">
        <v>6028</v>
      </c>
      <c r="C1062" s="6" t="s">
        <v>83</v>
      </c>
      <c r="D1062" s="6" t="s">
        <v>2644</v>
      </c>
      <c r="E1062" s="6" t="s">
        <v>2645</v>
      </c>
      <c r="F1062" s="6" t="s">
        <v>2646</v>
      </c>
      <c r="G1062" s="6" t="s">
        <v>2647</v>
      </c>
      <c r="H1062" s="2" t="s">
        <v>88</v>
      </c>
      <c r="I1062" s="4">
        <v>0.4</v>
      </c>
      <c r="J1062" s="6">
        <v>710000000</v>
      </c>
      <c r="K1062" s="6" t="s">
        <v>89</v>
      </c>
      <c r="L1062" s="2" t="s">
        <v>754</v>
      </c>
      <c r="M1062" s="6" t="s">
        <v>689</v>
      </c>
      <c r="N1062" s="6" t="s">
        <v>92</v>
      </c>
      <c r="O1062" s="6" t="s">
        <v>93</v>
      </c>
      <c r="P1062" s="3" t="s">
        <v>94</v>
      </c>
      <c r="Q1062" s="6">
        <v>796</v>
      </c>
      <c r="R1062" s="6" t="s">
        <v>118</v>
      </c>
      <c r="S1062" s="9">
        <v>110</v>
      </c>
      <c r="T1062" s="9">
        <v>1965</v>
      </c>
      <c r="U1062" s="9">
        <v>0</v>
      </c>
      <c r="V1062" s="9">
        <f t="shared" si="588"/>
        <v>0</v>
      </c>
      <c r="W1062" s="7" t="s">
        <v>97</v>
      </c>
      <c r="X1062" s="2">
        <v>2016</v>
      </c>
      <c r="Y1062" s="9" t="s">
        <v>7793</v>
      </c>
    </row>
    <row r="1063" spans="1:25" s="36" customFormat="1" ht="89.25" customHeight="1" outlineLevel="1" x14ac:dyDescent="0.25">
      <c r="A1063" s="1"/>
      <c r="B1063" s="2" t="s">
        <v>7926</v>
      </c>
      <c r="C1063" s="6" t="s">
        <v>83</v>
      </c>
      <c r="D1063" s="6" t="s">
        <v>2644</v>
      </c>
      <c r="E1063" s="6" t="s">
        <v>2645</v>
      </c>
      <c r="F1063" s="6" t="s">
        <v>2646</v>
      </c>
      <c r="G1063" s="6" t="s">
        <v>2647</v>
      </c>
      <c r="H1063" s="2" t="s">
        <v>88</v>
      </c>
      <c r="I1063" s="4">
        <v>0</v>
      </c>
      <c r="J1063" s="6">
        <v>710000000</v>
      </c>
      <c r="K1063" s="6" t="s">
        <v>89</v>
      </c>
      <c r="L1063" s="2" t="s">
        <v>754</v>
      </c>
      <c r="M1063" s="6" t="s">
        <v>689</v>
      </c>
      <c r="N1063" s="6" t="s">
        <v>92</v>
      </c>
      <c r="O1063" s="6" t="s">
        <v>93</v>
      </c>
      <c r="P1063" s="3" t="s">
        <v>673</v>
      </c>
      <c r="Q1063" s="6">
        <v>796</v>
      </c>
      <c r="R1063" s="6" t="s">
        <v>118</v>
      </c>
      <c r="S1063" s="9">
        <v>110</v>
      </c>
      <c r="T1063" s="9">
        <v>1965</v>
      </c>
      <c r="U1063" s="9">
        <f t="shared" ref="U1063" si="707">T1063*S1063</f>
        <v>216150</v>
      </c>
      <c r="V1063" s="9">
        <f t="shared" ref="V1063" si="708">U1063*1.12</f>
        <v>242088.00000000003</v>
      </c>
      <c r="W1063" s="7"/>
      <c r="X1063" s="2">
        <v>2016</v>
      </c>
      <c r="Y1063" s="9"/>
    </row>
    <row r="1064" spans="1:25" s="36" customFormat="1" ht="89.25" customHeight="1" outlineLevel="1" x14ac:dyDescent="0.2">
      <c r="A1064" s="25"/>
      <c r="B1064" s="2" t="s">
        <v>6029</v>
      </c>
      <c r="C1064" s="6" t="s">
        <v>83</v>
      </c>
      <c r="D1064" s="6" t="s">
        <v>2644</v>
      </c>
      <c r="E1064" s="6" t="s">
        <v>2645</v>
      </c>
      <c r="F1064" s="6" t="s">
        <v>2646</v>
      </c>
      <c r="G1064" s="6" t="s">
        <v>2648</v>
      </c>
      <c r="H1064" s="2" t="s">
        <v>88</v>
      </c>
      <c r="I1064" s="4">
        <v>0.4</v>
      </c>
      <c r="J1064" s="6">
        <v>710000000</v>
      </c>
      <c r="K1064" s="6" t="s">
        <v>89</v>
      </c>
      <c r="L1064" s="2" t="s">
        <v>754</v>
      </c>
      <c r="M1064" s="6" t="s">
        <v>689</v>
      </c>
      <c r="N1064" s="6" t="s">
        <v>92</v>
      </c>
      <c r="O1064" s="6" t="s">
        <v>93</v>
      </c>
      <c r="P1064" s="3" t="s">
        <v>94</v>
      </c>
      <c r="Q1064" s="6">
        <v>796</v>
      </c>
      <c r="R1064" s="6" t="s">
        <v>118</v>
      </c>
      <c r="S1064" s="9">
        <v>110</v>
      </c>
      <c r="T1064" s="9">
        <v>1965</v>
      </c>
      <c r="U1064" s="9">
        <v>0</v>
      </c>
      <c r="V1064" s="9">
        <f t="shared" si="588"/>
        <v>0</v>
      </c>
      <c r="W1064" s="7" t="s">
        <v>97</v>
      </c>
      <c r="X1064" s="2">
        <v>2016</v>
      </c>
      <c r="Y1064" s="9" t="s">
        <v>7793</v>
      </c>
    </row>
    <row r="1065" spans="1:25" s="36" customFormat="1" ht="89.25" customHeight="1" outlineLevel="1" x14ac:dyDescent="0.25">
      <c r="A1065" s="1"/>
      <c r="B1065" s="2" t="s">
        <v>7927</v>
      </c>
      <c r="C1065" s="6" t="s">
        <v>83</v>
      </c>
      <c r="D1065" s="6" t="s">
        <v>2644</v>
      </c>
      <c r="E1065" s="6" t="s">
        <v>2645</v>
      </c>
      <c r="F1065" s="6" t="s">
        <v>2646</v>
      </c>
      <c r="G1065" s="6" t="s">
        <v>2648</v>
      </c>
      <c r="H1065" s="2" t="s">
        <v>88</v>
      </c>
      <c r="I1065" s="4">
        <v>0</v>
      </c>
      <c r="J1065" s="6">
        <v>710000000</v>
      </c>
      <c r="K1065" s="6" t="s">
        <v>89</v>
      </c>
      <c r="L1065" s="2" t="s">
        <v>754</v>
      </c>
      <c r="M1065" s="6" t="s">
        <v>689</v>
      </c>
      <c r="N1065" s="6" t="s">
        <v>92</v>
      </c>
      <c r="O1065" s="6" t="s">
        <v>93</v>
      </c>
      <c r="P1065" s="3" t="s">
        <v>673</v>
      </c>
      <c r="Q1065" s="6">
        <v>796</v>
      </c>
      <c r="R1065" s="6" t="s">
        <v>118</v>
      </c>
      <c r="S1065" s="9">
        <v>110</v>
      </c>
      <c r="T1065" s="9">
        <v>1965</v>
      </c>
      <c r="U1065" s="9">
        <f t="shared" ref="U1065" si="709">T1065*S1065</f>
        <v>216150</v>
      </c>
      <c r="V1065" s="9">
        <f t="shared" ref="V1065" si="710">U1065*1.12</f>
        <v>242088.00000000003</v>
      </c>
      <c r="W1065" s="7"/>
      <c r="X1065" s="2">
        <v>2016</v>
      </c>
      <c r="Y1065" s="9"/>
    </row>
    <row r="1066" spans="1:25" s="36" customFormat="1" ht="89.25" customHeight="1" outlineLevel="1" x14ac:dyDescent="0.2">
      <c r="A1066" s="25"/>
      <c r="B1066" s="2" t="s">
        <v>6030</v>
      </c>
      <c r="C1066" s="6" t="s">
        <v>83</v>
      </c>
      <c r="D1066" s="6" t="s">
        <v>2644</v>
      </c>
      <c r="E1066" s="6" t="s">
        <v>2645</v>
      </c>
      <c r="F1066" s="6" t="s">
        <v>2646</v>
      </c>
      <c r="G1066" s="6" t="s">
        <v>2649</v>
      </c>
      <c r="H1066" s="2" t="s">
        <v>88</v>
      </c>
      <c r="I1066" s="4">
        <v>0.4</v>
      </c>
      <c r="J1066" s="6">
        <v>710000000</v>
      </c>
      <c r="K1066" s="6" t="s">
        <v>89</v>
      </c>
      <c r="L1066" s="2" t="s">
        <v>754</v>
      </c>
      <c r="M1066" s="6" t="s">
        <v>689</v>
      </c>
      <c r="N1066" s="6" t="s">
        <v>92</v>
      </c>
      <c r="O1066" s="6" t="s">
        <v>93</v>
      </c>
      <c r="P1066" s="3" t="s">
        <v>94</v>
      </c>
      <c r="Q1066" s="6">
        <v>796</v>
      </c>
      <c r="R1066" s="6" t="s">
        <v>118</v>
      </c>
      <c r="S1066" s="9">
        <v>110</v>
      </c>
      <c r="T1066" s="9">
        <v>1965</v>
      </c>
      <c r="U1066" s="9">
        <v>0</v>
      </c>
      <c r="V1066" s="9">
        <f t="shared" si="588"/>
        <v>0</v>
      </c>
      <c r="W1066" s="7" t="s">
        <v>97</v>
      </c>
      <c r="X1066" s="2">
        <v>2016</v>
      </c>
      <c r="Y1066" s="9" t="s">
        <v>7793</v>
      </c>
    </row>
    <row r="1067" spans="1:25" s="36" customFormat="1" ht="89.25" customHeight="1" outlineLevel="1" x14ac:dyDescent="0.25">
      <c r="A1067" s="1"/>
      <c r="B1067" s="2" t="s">
        <v>7928</v>
      </c>
      <c r="C1067" s="6" t="s">
        <v>83</v>
      </c>
      <c r="D1067" s="6" t="s">
        <v>2644</v>
      </c>
      <c r="E1067" s="6" t="s">
        <v>2645</v>
      </c>
      <c r="F1067" s="6" t="s">
        <v>2646</v>
      </c>
      <c r="G1067" s="6" t="s">
        <v>2649</v>
      </c>
      <c r="H1067" s="2" t="s">
        <v>88</v>
      </c>
      <c r="I1067" s="4">
        <v>0</v>
      </c>
      <c r="J1067" s="6">
        <v>710000000</v>
      </c>
      <c r="K1067" s="6" t="s">
        <v>89</v>
      </c>
      <c r="L1067" s="2" t="s">
        <v>754</v>
      </c>
      <c r="M1067" s="6" t="s">
        <v>689</v>
      </c>
      <c r="N1067" s="6" t="s">
        <v>92</v>
      </c>
      <c r="O1067" s="6" t="s">
        <v>93</v>
      </c>
      <c r="P1067" s="3" t="s">
        <v>673</v>
      </c>
      <c r="Q1067" s="6">
        <v>796</v>
      </c>
      <c r="R1067" s="6" t="s">
        <v>118</v>
      </c>
      <c r="S1067" s="9">
        <v>110</v>
      </c>
      <c r="T1067" s="9">
        <v>1965</v>
      </c>
      <c r="U1067" s="9">
        <f t="shared" ref="U1067" si="711">T1067*S1067</f>
        <v>216150</v>
      </c>
      <c r="V1067" s="9">
        <f t="shared" ref="V1067" si="712">U1067*1.12</f>
        <v>242088.00000000003</v>
      </c>
      <c r="W1067" s="7"/>
      <c r="X1067" s="2">
        <v>2016</v>
      </c>
      <c r="Y1067" s="9"/>
    </row>
    <row r="1068" spans="1:25" s="36" customFormat="1" ht="89.25" customHeight="1" outlineLevel="1" x14ac:dyDescent="0.2">
      <c r="A1068" s="25"/>
      <c r="B1068" s="2" t="s">
        <v>6031</v>
      </c>
      <c r="C1068" s="6" t="s">
        <v>83</v>
      </c>
      <c r="D1068" s="6" t="s">
        <v>2644</v>
      </c>
      <c r="E1068" s="6" t="s">
        <v>2645</v>
      </c>
      <c r="F1068" s="6" t="s">
        <v>2646</v>
      </c>
      <c r="G1068" s="6" t="s">
        <v>2650</v>
      </c>
      <c r="H1068" s="2" t="s">
        <v>88</v>
      </c>
      <c r="I1068" s="4">
        <v>0.4</v>
      </c>
      <c r="J1068" s="6">
        <v>710000000</v>
      </c>
      <c r="K1068" s="6" t="s">
        <v>89</v>
      </c>
      <c r="L1068" s="2" t="s">
        <v>754</v>
      </c>
      <c r="M1068" s="6" t="s">
        <v>689</v>
      </c>
      <c r="N1068" s="6" t="s">
        <v>92</v>
      </c>
      <c r="O1068" s="6" t="s">
        <v>93</v>
      </c>
      <c r="P1068" s="3" t="s">
        <v>94</v>
      </c>
      <c r="Q1068" s="6">
        <v>796</v>
      </c>
      <c r="R1068" s="6" t="s">
        <v>118</v>
      </c>
      <c r="S1068" s="9">
        <v>110</v>
      </c>
      <c r="T1068" s="9">
        <v>1965</v>
      </c>
      <c r="U1068" s="9">
        <v>0</v>
      </c>
      <c r="V1068" s="9">
        <f t="shared" si="588"/>
        <v>0</v>
      </c>
      <c r="W1068" s="7" t="s">
        <v>97</v>
      </c>
      <c r="X1068" s="2">
        <v>2016</v>
      </c>
      <c r="Y1068" s="9" t="s">
        <v>7793</v>
      </c>
    </row>
    <row r="1069" spans="1:25" s="36" customFormat="1" ht="89.25" customHeight="1" outlineLevel="1" x14ac:dyDescent="0.25">
      <c r="A1069" s="1"/>
      <c r="B1069" s="2" t="s">
        <v>7929</v>
      </c>
      <c r="C1069" s="6" t="s">
        <v>83</v>
      </c>
      <c r="D1069" s="6" t="s">
        <v>2644</v>
      </c>
      <c r="E1069" s="6" t="s">
        <v>2645</v>
      </c>
      <c r="F1069" s="6" t="s">
        <v>2646</v>
      </c>
      <c r="G1069" s="6" t="s">
        <v>2650</v>
      </c>
      <c r="H1069" s="2" t="s">
        <v>88</v>
      </c>
      <c r="I1069" s="4">
        <v>0</v>
      </c>
      <c r="J1069" s="6">
        <v>710000000</v>
      </c>
      <c r="K1069" s="6" t="s">
        <v>89</v>
      </c>
      <c r="L1069" s="2" t="s">
        <v>754</v>
      </c>
      <c r="M1069" s="6" t="s">
        <v>689</v>
      </c>
      <c r="N1069" s="6" t="s">
        <v>92</v>
      </c>
      <c r="O1069" s="6" t="s">
        <v>93</v>
      </c>
      <c r="P1069" s="3" t="s">
        <v>673</v>
      </c>
      <c r="Q1069" s="6">
        <v>796</v>
      </c>
      <c r="R1069" s="6" t="s">
        <v>118</v>
      </c>
      <c r="S1069" s="9">
        <v>110</v>
      </c>
      <c r="T1069" s="9">
        <v>1965</v>
      </c>
      <c r="U1069" s="9">
        <f t="shared" ref="U1069" si="713">T1069*S1069</f>
        <v>216150</v>
      </c>
      <c r="V1069" s="9">
        <f t="shared" ref="V1069" si="714">U1069*1.12</f>
        <v>242088.00000000003</v>
      </c>
      <c r="W1069" s="7"/>
      <c r="X1069" s="2">
        <v>2016</v>
      </c>
      <c r="Y1069" s="9"/>
    </row>
    <row r="1070" spans="1:25" s="36" customFormat="1" ht="89.25" customHeight="1" outlineLevel="1" x14ac:dyDescent="0.2">
      <c r="A1070" s="25"/>
      <c r="B1070" s="2" t="s">
        <v>6032</v>
      </c>
      <c r="C1070" s="51" t="s">
        <v>83</v>
      </c>
      <c r="D1070" s="54" t="s">
        <v>2429</v>
      </c>
      <c r="E1070" s="54" t="s">
        <v>2430</v>
      </c>
      <c r="F1070" s="54" t="s">
        <v>2431</v>
      </c>
      <c r="G1070" s="55" t="s">
        <v>2651</v>
      </c>
      <c r="H1070" s="2" t="s">
        <v>88</v>
      </c>
      <c r="I1070" s="4">
        <v>0.4</v>
      </c>
      <c r="J1070" s="54">
        <v>710000000</v>
      </c>
      <c r="K1070" s="54" t="s">
        <v>89</v>
      </c>
      <c r="L1070" s="2" t="s">
        <v>754</v>
      </c>
      <c r="M1070" s="6" t="s">
        <v>689</v>
      </c>
      <c r="N1070" s="53" t="s">
        <v>92</v>
      </c>
      <c r="O1070" s="53" t="s">
        <v>93</v>
      </c>
      <c r="P1070" s="3" t="s">
        <v>94</v>
      </c>
      <c r="Q1070" s="56" t="s">
        <v>2433</v>
      </c>
      <c r="R1070" s="51" t="s">
        <v>2434</v>
      </c>
      <c r="S1070" s="52">
        <v>4788</v>
      </c>
      <c r="T1070" s="52">
        <v>204</v>
      </c>
      <c r="U1070" s="52">
        <v>0</v>
      </c>
      <c r="V1070" s="52">
        <f t="shared" si="588"/>
        <v>0</v>
      </c>
      <c r="W1070" s="7" t="s">
        <v>97</v>
      </c>
      <c r="X1070" s="2">
        <v>2016</v>
      </c>
      <c r="Y1070" s="50" t="s">
        <v>7793</v>
      </c>
    </row>
    <row r="1071" spans="1:25" s="36" customFormat="1" ht="89.25" customHeight="1" outlineLevel="1" x14ac:dyDescent="0.25">
      <c r="A1071" s="1"/>
      <c r="B1071" s="2" t="s">
        <v>7930</v>
      </c>
      <c r="C1071" s="51" t="s">
        <v>83</v>
      </c>
      <c r="D1071" s="54" t="s">
        <v>2429</v>
      </c>
      <c r="E1071" s="54" t="s">
        <v>2430</v>
      </c>
      <c r="F1071" s="54" t="s">
        <v>2431</v>
      </c>
      <c r="G1071" s="55" t="s">
        <v>2651</v>
      </c>
      <c r="H1071" s="2" t="s">
        <v>88</v>
      </c>
      <c r="I1071" s="4">
        <v>0</v>
      </c>
      <c r="J1071" s="54">
        <v>710000000</v>
      </c>
      <c r="K1071" s="54" t="s">
        <v>89</v>
      </c>
      <c r="L1071" s="2" t="s">
        <v>754</v>
      </c>
      <c r="M1071" s="6" t="s">
        <v>689</v>
      </c>
      <c r="N1071" s="53" t="s">
        <v>92</v>
      </c>
      <c r="O1071" s="53" t="s">
        <v>93</v>
      </c>
      <c r="P1071" s="3" t="s">
        <v>673</v>
      </c>
      <c r="Q1071" s="56" t="s">
        <v>2433</v>
      </c>
      <c r="R1071" s="51" t="s">
        <v>2434</v>
      </c>
      <c r="S1071" s="52">
        <v>4788</v>
      </c>
      <c r="T1071" s="52">
        <v>204</v>
      </c>
      <c r="U1071" s="52">
        <f t="shared" ref="U1071" si="715">T1071*S1071</f>
        <v>976752</v>
      </c>
      <c r="V1071" s="52">
        <f t="shared" ref="V1071" si="716">U1071*1.12</f>
        <v>1093962.24</v>
      </c>
      <c r="W1071" s="7"/>
      <c r="X1071" s="2">
        <v>2016</v>
      </c>
      <c r="Y1071" s="50"/>
    </row>
    <row r="1072" spans="1:25" s="11" customFormat="1" ht="89.25" customHeight="1" outlineLevel="1" x14ac:dyDescent="0.2">
      <c r="A1072" s="25"/>
      <c r="B1072" s="2" t="s">
        <v>6033</v>
      </c>
      <c r="C1072" s="3" t="s">
        <v>83</v>
      </c>
      <c r="D1072" s="5" t="s">
        <v>2562</v>
      </c>
      <c r="E1072" s="5" t="s">
        <v>2436</v>
      </c>
      <c r="F1072" s="5" t="s">
        <v>2563</v>
      </c>
      <c r="G1072" s="19" t="s">
        <v>2652</v>
      </c>
      <c r="H1072" s="2" t="s">
        <v>88</v>
      </c>
      <c r="I1072" s="4">
        <v>0.4</v>
      </c>
      <c r="J1072" s="5">
        <v>710000000</v>
      </c>
      <c r="K1072" s="5" t="s">
        <v>89</v>
      </c>
      <c r="L1072" s="2" t="s">
        <v>754</v>
      </c>
      <c r="M1072" s="6" t="s">
        <v>689</v>
      </c>
      <c r="N1072" s="7" t="s">
        <v>92</v>
      </c>
      <c r="O1072" s="7" t="s">
        <v>93</v>
      </c>
      <c r="P1072" s="3" t="s">
        <v>94</v>
      </c>
      <c r="Q1072" s="8" t="s">
        <v>2433</v>
      </c>
      <c r="R1072" s="3" t="s">
        <v>2434</v>
      </c>
      <c r="S1072" s="9">
        <v>1596</v>
      </c>
      <c r="T1072" s="9">
        <v>299</v>
      </c>
      <c r="U1072" s="9">
        <v>0</v>
      </c>
      <c r="V1072" s="9">
        <f t="shared" si="588"/>
        <v>0</v>
      </c>
      <c r="W1072" s="7" t="s">
        <v>97</v>
      </c>
      <c r="X1072" s="2">
        <v>2016</v>
      </c>
      <c r="Y1072" s="2" t="s">
        <v>7793</v>
      </c>
    </row>
    <row r="1073" spans="1:25" s="11" customFormat="1" ht="89.25" customHeight="1" outlineLevel="1" x14ac:dyDescent="0.25">
      <c r="A1073" s="1"/>
      <c r="B1073" s="2" t="s">
        <v>7931</v>
      </c>
      <c r="C1073" s="3" t="s">
        <v>83</v>
      </c>
      <c r="D1073" s="5" t="s">
        <v>2562</v>
      </c>
      <c r="E1073" s="5" t="s">
        <v>2436</v>
      </c>
      <c r="F1073" s="5" t="s">
        <v>2563</v>
      </c>
      <c r="G1073" s="19" t="s">
        <v>2652</v>
      </c>
      <c r="H1073" s="2" t="s">
        <v>88</v>
      </c>
      <c r="I1073" s="4">
        <v>0</v>
      </c>
      <c r="J1073" s="5">
        <v>710000000</v>
      </c>
      <c r="K1073" s="5" t="s">
        <v>89</v>
      </c>
      <c r="L1073" s="2" t="s">
        <v>754</v>
      </c>
      <c r="M1073" s="6" t="s">
        <v>689</v>
      </c>
      <c r="N1073" s="7" t="s">
        <v>92</v>
      </c>
      <c r="O1073" s="7" t="s">
        <v>93</v>
      </c>
      <c r="P1073" s="3" t="s">
        <v>673</v>
      </c>
      <c r="Q1073" s="8" t="s">
        <v>2433</v>
      </c>
      <c r="R1073" s="3" t="s">
        <v>2434</v>
      </c>
      <c r="S1073" s="9">
        <v>1596</v>
      </c>
      <c r="T1073" s="9">
        <v>299</v>
      </c>
      <c r="U1073" s="9">
        <f t="shared" ref="U1073" si="717">T1073*S1073</f>
        <v>477204</v>
      </c>
      <c r="V1073" s="9">
        <f t="shared" ref="V1073" si="718">U1073*1.12</f>
        <v>534468.4800000001</v>
      </c>
      <c r="W1073" s="7"/>
      <c r="X1073" s="2">
        <v>2016</v>
      </c>
      <c r="Y1073" s="2"/>
    </row>
    <row r="1074" spans="1:25" s="11" customFormat="1" ht="89.25" customHeight="1" outlineLevel="1" x14ac:dyDescent="0.2">
      <c r="A1074" s="25"/>
      <c r="B1074" s="2" t="s">
        <v>6034</v>
      </c>
      <c r="C1074" s="3" t="s">
        <v>83</v>
      </c>
      <c r="D1074" s="19" t="s">
        <v>2408</v>
      </c>
      <c r="E1074" s="19" t="s">
        <v>2409</v>
      </c>
      <c r="F1074" s="19" t="s">
        <v>2410</v>
      </c>
      <c r="G1074" s="19" t="s">
        <v>2653</v>
      </c>
      <c r="H1074" s="2" t="s">
        <v>88</v>
      </c>
      <c r="I1074" s="4">
        <v>0.4</v>
      </c>
      <c r="J1074" s="5">
        <v>710000000</v>
      </c>
      <c r="K1074" s="5" t="s">
        <v>89</v>
      </c>
      <c r="L1074" s="2" t="s">
        <v>754</v>
      </c>
      <c r="M1074" s="6" t="s">
        <v>689</v>
      </c>
      <c r="N1074" s="7" t="s">
        <v>92</v>
      </c>
      <c r="O1074" s="7" t="s">
        <v>93</v>
      </c>
      <c r="P1074" s="3" t="s">
        <v>94</v>
      </c>
      <c r="Q1074" s="3">
        <v>736</v>
      </c>
      <c r="R1074" s="3" t="s">
        <v>2412</v>
      </c>
      <c r="S1074" s="9">
        <v>346</v>
      </c>
      <c r="T1074" s="9">
        <v>350</v>
      </c>
      <c r="U1074" s="9">
        <v>0</v>
      </c>
      <c r="V1074" s="9">
        <f t="shared" si="588"/>
        <v>0</v>
      </c>
      <c r="W1074" s="7" t="s">
        <v>97</v>
      </c>
      <c r="X1074" s="2">
        <v>2016</v>
      </c>
      <c r="Y1074" s="2" t="s">
        <v>7793</v>
      </c>
    </row>
    <row r="1075" spans="1:25" s="11" customFormat="1" ht="89.25" customHeight="1" outlineLevel="1" x14ac:dyDescent="0.25">
      <c r="A1075" s="1"/>
      <c r="B1075" s="2" t="s">
        <v>7932</v>
      </c>
      <c r="C1075" s="3" t="s">
        <v>83</v>
      </c>
      <c r="D1075" s="19" t="s">
        <v>2408</v>
      </c>
      <c r="E1075" s="19" t="s">
        <v>2409</v>
      </c>
      <c r="F1075" s="19" t="s">
        <v>2410</v>
      </c>
      <c r="G1075" s="19" t="s">
        <v>2653</v>
      </c>
      <c r="H1075" s="2" t="s">
        <v>88</v>
      </c>
      <c r="I1075" s="4">
        <v>0</v>
      </c>
      <c r="J1075" s="5">
        <v>710000000</v>
      </c>
      <c r="K1075" s="5" t="s">
        <v>89</v>
      </c>
      <c r="L1075" s="2" t="s">
        <v>754</v>
      </c>
      <c r="M1075" s="6" t="s">
        <v>689</v>
      </c>
      <c r="N1075" s="7" t="s">
        <v>92</v>
      </c>
      <c r="O1075" s="7" t="s">
        <v>93</v>
      </c>
      <c r="P1075" s="3" t="s">
        <v>673</v>
      </c>
      <c r="Q1075" s="3">
        <v>736</v>
      </c>
      <c r="R1075" s="3" t="s">
        <v>2412</v>
      </c>
      <c r="S1075" s="9">
        <v>346</v>
      </c>
      <c r="T1075" s="9">
        <v>350</v>
      </c>
      <c r="U1075" s="9">
        <f t="shared" ref="U1075" si="719">T1075*S1075</f>
        <v>121100</v>
      </c>
      <c r="V1075" s="9">
        <f t="shared" ref="V1075" si="720">U1075*1.12</f>
        <v>135632</v>
      </c>
      <c r="W1075" s="7"/>
      <c r="X1075" s="2">
        <v>2016</v>
      </c>
      <c r="Y1075" s="2"/>
    </row>
    <row r="1076" spans="1:25" s="11" customFormat="1" ht="89.25" customHeight="1" outlineLevel="1" x14ac:dyDescent="0.2">
      <c r="A1076" s="25"/>
      <c r="B1076" s="2" t="s">
        <v>6035</v>
      </c>
      <c r="C1076" s="3" t="s">
        <v>83</v>
      </c>
      <c r="D1076" s="19" t="s">
        <v>2565</v>
      </c>
      <c r="E1076" s="19" t="s">
        <v>2414</v>
      </c>
      <c r="F1076" s="19" t="s">
        <v>2566</v>
      </c>
      <c r="G1076" s="19" t="s">
        <v>2654</v>
      </c>
      <c r="H1076" s="2" t="s">
        <v>88</v>
      </c>
      <c r="I1076" s="4">
        <v>0.4</v>
      </c>
      <c r="J1076" s="5">
        <v>710000000</v>
      </c>
      <c r="K1076" s="5" t="s">
        <v>89</v>
      </c>
      <c r="L1076" s="2" t="s">
        <v>754</v>
      </c>
      <c r="M1076" s="6" t="s">
        <v>689</v>
      </c>
      <c r="N1076" s="7" t="s">
        <v>92</v>
      </c>
      <c r="O1076" s="7" t="s">
        <v>93</v>
      </c>
      <c r="P1076" s="3" t="s">
        <v>94</v>
      </c>
      <c r="Q1076" s="3">
        <v>736</v>
      </c>
      <c r="R1076" s="3" t="s">
        <v>2412</v>
      </c>
      <c r="S1076" s="9">
        <v>2600</v>
      </c>
      <c r="T1076" s="9">
        <v>270</v>
      </c>
      <c r="U1076" s="9">
        <v>0</v>
      </c>
      <c r="V1076" s="9">
        <f t="shared" si="588"/>
        <v>0</v>
      </c>
      <c r="W1076" s="7" t="s">
        <v>97</v>
      </c>
      <c r="X1076" s="2">
        <v>2016</v>
      </c>
      <c r="Y1076" s="2" t="s">
        <v>7793</v>
      </c>
    </row>
    <row r="1077" spans="1:25" s="11" customFormat="1" ht="89.25" customHeight="1" outlineLevel="1" x14ac:dyDescent="0.25">
      <c r="A1077" s="1"/>
      <c r="B1077" s="2" t="s">
        <v>7933</v>
      </c>
      <c r="C1077" s="3" t="s">
        <v>83</v>
      </c>
      <c r="D1077" s="19" t="s">
        <v>2565</v>
      </c>
      <c r="E1077" s="19" t="s">
        <v>2414</v>
      </c>
      <c r="F1077" s="19" t="s">
        <v>2566</v>
      </c>
      <c r="G1077" s="19" t="s">
        <v>2654</v>
      </c>
      <c r="H1077" s="2" t="s">
        <v>88</v>
      </c>
      <c r="I1077" s="4">
        <v>0</v>
      </c>
      <c r="J1077" s="5">
        <v>710000000</v>
      </c>
      <c r="K1077" s="5" t="s">
        <v>89</v>
      </c>
      <c r="L1077" s="2" t="s">
        <v>754</v>
      </c>
      <c r="M1077" s="6" t="s">
        <v>689</v>
      </c>
      <c r="N1077" s="7" t="s">
        <v>92</v>
      </c>
      <c r="O1077" s="7" t="s">
        <v>93</v>
      </c>
      <c r="P1077" s="3" t="s">
        <v>673</v>
      </c>
      <c r="Q1077" s="3">
        <v>736</v>
      </c>
      <c r="R1077" s="3" t="s">
        <v>2412</v>
      </c>
      <c r="S1077" s="9">
        <v>2600</v>
      </c>
      <c r="T1077" s="9">
        <v>270</v>
      </c>
      <c r="U1077" s="9">
        <f t="shared" ref="U1077" si="721">T1077*S1077</f>
        <v>702000</v>
      </c>
      <c r="V1077" s="9">
        <f t="shared" ref="V1077" si="722">U1077*1.12</f>
        <v>786240.00000000012</v>
      </c>
      <c r="W1077" s="7"/>
      <c r="X1077" s="2">
        <v>2016</v>
      </c>
      <c r="Y1077" s="2"/>
    </row>
    <row r="1078" spans="1:25" s="11" customFormat="1" ht="89.25" customHeight="1" outlineLevel="1" x14ac:dyDescent="0.25">
      <c r="A1078" s="1"/>
      <c r="B1078" s="2" t="s">
        <v>6036</v>
      </c>
      <c r="C1078" s="3" t="s">
        <v>83</v>
      </c>
      <c r="D1078" s="19" t="s">
        <v>2655</v>
      </c>
      <c r="E1078" s="19" t="s">
        <v>2374</v>
      </c>
      <c r="F1078" s="19" t="s">
        <v>2385</v>
      </c>
      <c r="G1078" s="19" t="s">
        <v>2656</v>
      </c>
      <c r="H1078" s="2" t="s">
        <v>88</v>
      </c>
      <c r="I1078" s="4">
        <v>0.4</v>
      </c>
      <c r="J1078" s="5">
        <v>710000000</v>
      </c>
      <c r="K1078" s="5" t="s">
        <v>89</v>
      </c>
      <c r="L1078" s="2" t="s">
        <v>754</v>
      </c>
      <c r="M1078" s="6" t="s">
        <v>689</v>
      </c>
      <c r="N1078" s="7" t="s">
        <v>92</v>
      </c>
      <c r="O1078" s="7" t="s">
        <v>93</v>
      </c>
      <c r="P1078" s="3" t="s">
        <v>94</v>
      </c>
      <c r="Q1078" s="3">
        <v>778</v>
      </c>
      <c r="R1078" s="3" t="s">
        <v>523</v>
      </c>
      <c r="S1078" s="9">
        <v>734</v>
      </c>
      <c r="T1078" s="9">
        <v>1100</v>
      </c>
      <c r="U1078" s="9">
        <v>807400</v>
      </c>
      <c r="V1078" s="9">
        <v>904288.00000000012</v>
      </c>
      <c r="W1078" s="7" t="s">
        <v>97</v>
      </c>
      <c r="X1078" s="2">
        <v>2016</v>
      </c>
      <c r="Y1078" s="2"/>
    </row>
    <row r="1079" spans="1:25" s="11" customFormat="1" ht="89.25" customHeight="1" outlineLevel="1" x14ac:dyDescent="0.2">
      <c r="A1079" s="25"/>
      <c r="B1079" s="2" t="s">
        <v>6037</v>
      </c>
      <c r="C1079" s="3" t="s">
        <v>83</v>
      </c>
      <c r="D1079" s="19" t="s">
        <v>2506</v>
      </c>
      <c r="E1079" s="19" t="s">
        <v>2402</v>
      </c>
      <c r="F1079" s="19" t="s">
        <v>2507</v>
      </c>
      <c r="G1079" s="19" t="s">
        <v>2657</v>
      </c>
      <c r="H1079" s="2" t="s">
        <v>88</v>
      </c>
      <c r="I1079" s="4">
        <v>0.4</v>
      </c>
      <c r="J1079" s="5">
        <v>710000000</v>
      </c>
      <c r="K1079" s="5" t="s">
        <v>89</v>
      </c>
      <c r="L1079" s="2" t="s">
        <v>754</v>
      </c>
      <c r="M1079" s="6" t="s">
        <v>689</v>
      </c>
      <c r="N1079" s="7" t="s">
        <v>92</v>
      </c>
      <c r="O1079" s="7" t="s">
        <v>93</v>
      </c>
      <c r="P1079" s="3" t="s">
        <v>94</v>
      </c>
      <c r="Q1079" s="3">
        <v>796</v>
      </c>
      <c r="R1079" s="3" t="s">
        <v>118</v>
      </c>
      <c r="S1079" s="9">
        <v>51</v>
      </c>
      <c r="T1079" s="9">
        <v>2600</v>
      </c>
      <c r="U1079" s="9">
        <v>0</v>
      </c>
      <c r="V1079" s="9">
        <f t="shared" si="588"/>
        <v>0</v>
      </c>
      <c r="W1079" s="7" t="s">
        <v>97</v>
      </c>
      <c r="X1079" s="2">
        <v>2016</v>
      </c>
      <c r="Y1079" s="2" t="s">
        <v>7793</v>
      </c>
    </row>
    <row r="1080" spans="1:25" s="11" customFormat="1" ht="89.25" customHeight="1" outlineLevel="1" x14ac:dyDescent="0.25">
      <c r="A1080" s="1"/>
      <c r="B1080" s="2" t="s">
        <v>7934</v>
      </c>
      <c r="C1080" s="3" t="s">
        <v>83</v>
      </c>
      <c r="D1080" s="19" t="s">
        <v>2506</v>
      </c>
      <c r="E1080" s="19" t="s">
        <v>2402</v>
      </c>
      <c r="F1080" s="19" t="s">
        <v>2507</v>
      </c>
      <c r="G1080" s="19" t="s">
        <v>2657</v>
      </c>
      <c r="H1080" s="2" t="s">
        <v>88</v>
      </c>
      <c r="I1080" s="4">
        <v>0</v>
      </c>
      <c r="J1080" s="5">
        <v>710000000</v>
      </c>
      <c r="K1080" s="5" t="s">
        <v>89</v>
      </c>
      <c r="L1080" s="2" t="s">
        <v>754</v>
      </c>
      <c r="M1080" s="6" t="s">
        <v>689</v>
      </c>
      <c r="N1080" s="7" t="s">
        <v>92</v>
      </c>
      <c r="O1080" s="7" t="s">
        <v>93</v>
      </c>
      <c r="P1080" s="3" t="s">
        <v>673</v>
      </c>
      <c r="Q1080" s="3">
        <v>796</v>
      </c>
      <c r="R1080" s="3" t="s">
        <v>118</v>
      </c>
      <c r="S1080" s="9">
        <v>51</v>
      </c>
      <c r="T1080" s="9">
        <v>2600</v>
      </c>
      <c r="U1080" s="9">
        <f t="shared" ref="U1080" si="723">T1080*S1080</f>
        <v>132600</v>
      </c>
      <c r="V1080" s="9">
        <f t="shared" ref="V1080" si="724">U1080*1.12</f>
        <v>148512</v>
      </c>
      <c r="W1080" s="7"/>
      <c r="X1080" s="2">
        <v>2016</v>
      </c>
      <c r="Y1080" s="2"/>
    </row>
    <row r="1081" spans="1:25" s="11" customFormat="1" ht="89.25" customHeight="1" outlineLevel="1" x14ac:dyDescent="0.25">
      <c r="A1081" s="1"/>
      <c r="B1081" s="2" t="s">
        <v>6038</v>
      </c>
      <c r="C1081" s="3" t="s">
        <v>83</v>
      </c>
      <c r="D1081" s="19" t="s">
        <v>2503</v>
      </c>
      <c r="E1081" s="19" t="s">
        <v>2374</v>
      </c>
      <c r="F1081" s="19" t="s">
        <v>2504</v>
      </c>
      <c r="G1081" s="19" t="s">
        <v>2658</v>
      </c>
      <c r="H1081" s="2" t="s">
        <v>88</v>
      </c>
      <c r="I1081" s="4">
        <v>0.4</v>
      </c>
      <c r="J1081" s="5">
        <v>710000000</v>
      </c>
      <c r="K1081" s="5" t="s">
        <v>89</v>
      </c>
      <c r="L1081" s="2" t="s">
        <v>754</v>
      </c>
      <c r="M1081" s="6" t="s">
        <v>689</v>
      </c>
      <c r="N1081" s="7" t="s">
        <v>92</v>
      </c>
      <c r="O1081" s="7" t="s">
        <v>93</v>
      </c>
      <c r="P1081" s="3" t="s">
        <v>94</v>
      </c>
      <c r="Q1081" s="3">
        <v>796</v>
      </c>
      <c r="R1081" s="3" t="s">
        <v>118</v>
      </c>
      <c r="S1081" s="9">
        <v>13524</v>
      </c>
      <c r="T1081" s="9">
        <v>85.42</v>
      </c>
      <c r="U1081" s="9">
        <v>1155220.08</v>
      </c>
      <c r="V1081" s="9">
        <v>1293846.4896000002</v>
      </c>
      <c r="W1081" s="7" t="s">
        <v>97</v>
      </c>
      <c r="X1081" s="2">
        <v>2016</v>
      </c>
      <c r="Y1081" s="2"/>
    </row>
    <row r="1082" spans="1:25" s="11" customFormat="1" ht="89.25" customHeight="1" outlineLevel="1" x14ac:dyDescent="0.2">
      <c r="A1082" s="25"/>
      <c r="B1082" s="2" t="s">
        <v>6039</v>
      </c>
      <c r="C1082" s="3" t="s">
        <v>83</v>
      </c>
      <c r="D1082" s="19" t="s">
        <v>2659</v>
      </c>
      <c r="E1082" s="19" t="s">
        <v>2660</v>
      </c>
      <c r="F1082" s="19" t="s">
        <v>2661</v>
      </c>
      <c r="G1082" s="19" t="s">
        <v>2662</v>
      </c>
      <c r="H1082" s="2" t="s">
        <v>88</v>
      </c>
      <c r="I1082" s="4">
        <v>0.4</v>
      </c>
      <c r="J1082" s="5">
        <v>710000000</v>
      </c>
      <c r="K1082" s="5" t="s">
        <v>89</v>
      </c>
      <c r="L1082" s="2" t="s">
        <v>754</v>
      </c>
      <c r="M1082" s="6" t="s">
        <v>689</v>
      </c>
      <c r="N1082" s="7" t="s">
        <v>92</v>
      </c>
      <c r="O1082" s="7" t="s">
        <v>93</v>
      </c>
      <c r="P1082" s="3" t="s">
        <v>94</v>
      </c>
      <c r="Q1082" s="3">
        <v>736</v>
      </c>
      <c r="R1082" s="3" t="s">
        <v>2412</v>
      </c>
      <c r="S1082" s="9">
        <v>46368</v>
      </c>
      <c r="T1082" s="9">
        <v>44</v>
      </c>
      <c r="U1082" s="9">
        <v>0</v>
      </c>
      <c r="V1082" s="9">
        <f t="shared" si="588"/>
        <v>0</v>
      </c>
      <c r="W1082" s="7" t="s">
        <v>97</v>
      </c>
      <c r="X1082" s="2">
        <v>2016</v>
      </c>
      <c r="Y1082" s="2" t="s">
        <v>7793</v>
      </c>
    </row>
    <row r="1083" spans="1:25" s="11" customFormat="1" ht="89.25" customHeight="1" outlineLevel="1" x14ac:dyDescent="0.25">
      <c r="A1083" s="1"/>
      <c r="B1083" s="2" t="s">
        <v>7935</v>
      </c>
      <c r="C1083" s="3" t="s">
        <v>83</v>
      </c>
      <c r="D1083" s="19" t="s">
        <v>2659</v>
      </c>
      <c r="E1083" s="19" t="s">
        <v>2660</v>
      </c>
      <c r="F1083" s="19" t="s">
        <v>2661</v>
      </c>
      <c r="G1083" s="19" t="s">
        <v>2662</v>
      </c>
      <c r="H1083" s="2" t="s">
        <v>88</v>
      </c>
      <c r="I1083" s="4">
        <v>0</v>
      </c>
      <c r="J1083" s="5">
        <v>710000000</v>
      </c>
      <c r="K1083" s="5" t="s">
        <v>89</v>
      </c>
      <c r="L1083" s="2" t="s">
        <v>754</v>
      </c>
      <c r="M1083" s="6" t="s">
        <v>689</v>
      </c>
      <c r="N1083" s="7" t="s">
        <v>92</v>
      </c>
      <c r="O1083" s="7" t="s">
        <v>93</v>
      </c>
      <c r="P1083" s="3" t="s">
        <v>673</v>
      </c>
      <c r="Q1083" s="3">
        <v>736</v>
      </c>
      <c r="R1083" s="3" t="s">
        <v>2412</v>
      </c>
      <c r="S1083" s="9">
        <v>46368</v>
      </c>
      <c r="T1083" s="9">
        <v>44</v>
      </c>
      <c r="U1083" s="9">
        <f t="shared" ref="U1083" si="725">T1083*S1083</f>
        <v>2040192</v>
      </c>
      <c r="V1083" s="9">
        <f t="shared" ref="V1083" si="726">U1083*1.12</f>
        <v>2285015.04</v>
      </c>
      <c r="W1083" s="7"/>
      <c r="X1083" s="2">
        <v>2016</v>
      </c>
      <c r="Y1083" s="2"/>
    </row>
    <row r="1084" spans="1:25" s="11" customFormat="1" ht="89.25" customHeight="1" outlineLevel="1" x14ac:dyDescent="0.2">
      <c r="A1084" s="25"/>
      <c r="B1084" s="2" t="s">
        <v>6040</v>
      </c>
      <c r="C1084" s="3" t="s">
        <v>83</v>
      </c>
      <c r="D1084" s="19" t="s">
        <v>2659</v>
      </c>
      <c r="E1084" s="19" t="s">
        <v>2660</v>
      </c>
      <c r="F1084" s="19" t="s">
        <v>2661</v>
      </c>
      <c r="G1084" s="19" t="s">
        <v>2663</v>
      </c>
      <c r="H1084" s="2" t="s">
        <v>88</v>
      </c>
      <c r="I1084" s="4">
        <v>0.4</v>
      </c>
      <c r="J1084" s="5">
        <v>710000000</v>
      </c>
      <c r="K1084" s="5" t="s">
        <v>89</v>
      </c>
      <c r="L1084" s="2" t="s">
        <v>754</v>
      </c>
      <c r="M1084" s="6" t="s">
        <v>689</v>
      </c>
      <c r="N1084" s="7" t="s">
        <v>92</v>
      </c>
      <c r="O1084" s="7" t="s">
        <v>93</v>
      </c>
      <c r="P1084" s="3" t="s">
        <v>94</v>
      </c>
      <c r="Q1084" s="3">
        <v>736</v>
      </c>
      <c r="R1084" s="3" t="s">
        <v>2412</v>
      </c>
      <c r="S1084" s="9">
        <v>18768</v>
      </c>
      <c r="T1084" s="9">
        <v>46</v>
      </c>
      <c r="U1084" s="9">
        <v>0</v>
      </c>
      <c r="V1084" s="9">
        <f t="shared" si="588"/>
        <v>0</v>
      </c>
      <c r="W1084" s="7" t="s">
        <v>97</v>
      </c>
      <c r="X1084" s="2">
        <v>2016</v>
      </c>
      <c r="Y1084" s="2" t="s">
        <v>7793</v>
      </c>
    </row>
    <row r="1085" spans="1:25" s="11" customFormat="1" ht="89.25" customHeight="1" outlineLevel="1" x14ac:dyDescent="0.25">
      <c r="A1085" s="1"/>
      <c r="B1085" s="2" t="s">
        <v>7936</v>
      </c>
      <c r="C1085" s="3" t="s">
        <v>83</v>
      </c>
      <c r="D1085" s="19" t="s">
        <v>2659</v>
      </c>
      <c r="E1085" s="19" t="s">
        <v>2660</v>
      </c>
      <c r="F1085" s="19" t="s">
        <v>2661</v>
      </c>
      <c r="G1085" s="19" t="s">
        <v>2663</v>
      </c>
      <c r="H1085" s="2" t="s">
        <v>88</v>
      </c>
      <c r="I1085" s="4">
        <v>0</v>
      </c>
      <c r="J1085" s="5">
        <v>710000000</v>
      </c>
      <c r="K1085" s="5" t="s">
        <v>89</v>
      </c>
      <c r="L1085" s="2" t="s">
        <v>754</v>
      </c>
      <c r="M1085" s="6" t="s">
        <v>689</v>
      </c>
      <c r="N1085" s="7" t="s">
        <v>92</v>
      </c>
      <c r="O1085" s="7" t="s">
        <v>93</v>
      </c>
      <c r="P1085" s="3" t="s">
        <v>673</v>
      </c>
      <c r="Q1085" s="3">
        <v>736</v>
      </c>
      <c r="R1085" s="3" t="s">
        <v>2412</v>
      </c>
      <c r="S1085" s="9">
        <v>18768</v>
      </c>
      <c r="T1085" s="9">
        <v>46</v>
      </c>
      <c r="U1085" s="9">
        <f t="shared" ref="U1085" si="727">T1085*S1085</f>
        <v>863328</v>
      </c>
      <c r="V1085" s="9">
        <f t="shared" ref="V1085" si="728">U1085*1.12</f>
        <v>966927.3600000001</v>
      </c>
      <c r="W1085" s="7"/>
      <c r="X1085" s="2">
        <v>2016</v>
      </c>
      <c r="Y1085" s="2"/>
    </row>
    <row r="1086" spans="1:25" s="11" customFormat="1" ht="89.25" customHeight="1" outlineLevel="1" x14ac:dyDescent="0.2">
      <c r="A1086" s="25"/>
      <c r="B1086" s="2" t="s">
        <v>6041</v>
      </c>
      <c r="C1086" s="3" t="s">
        <v>83</v>
      </c>
      <c r="D1086" s="19" t="s">
        <v>2664</v>
      </c>
      <c r="E1086" s="19" t="s">
        <v>2660</v>
      </c>
      <c r="F1086" s="19" t="s">
        <v>2665</v>
      </c>
      <c r="G1086" s="19" t="s">
        <v>2666</v>
      </c>
      <c r="H1086" s="2" t="s">
        <v>88</v>
      </c>
      <c r="I1086" s="4">
        <v>0.4</v>
      </c>
      <c r="J1086" s="5">
        <v>710000000</v>
      </c>
      <c r="K1086" s="5" t="s">
        <v>89</v>
      </c>
      <c r="L1086" s="2" t="s">
        <v>754</v>
      </c>
      <c r="M1086" s="6" t="s">
        <v>689</v>
      </c>
      <c r="N1086" s="7" t="s">
        <v>92</v>
      </c>
      <c r="O1086" s="7" t="s">
        <v>93</v>
      </c>
      <c r="P1086" s="3" t="s">
        <v>94</v>
      </c>
      <c r="Q1086" s="3">
        <v>778</v>
      </c>
      <c r="R1086" s="3" t="s">
        <v>523</v>
      </c>
      <c r="S1086" s="9">
        <v>1320</v>
      </c>
      <c r="T1086" s="9">
        <v>518</v>
      </c>
      <c r="U1086" s="9">
        <v>0</v>
      </c>
      <c r="V1086" s="9">
        <f t="shared" si="588"/>
        <v>0</v>
      </c>
      <c r="W1086" s="7" t="s">
        <v>97</v>
      </c>
      <c r="X1086" s="2">
        <v>2016</v>
      </c>
      <c r="Y1086" s="2" t="s">
        <v>7793</v>
      </c>
    </row>
    <row r="1087" spans="1:25" s="11" customFormat="1" ht="89.25" customHeight="1" outlineLevel="1" x14ac:dyDescent="0.25">
      <c r="A1087" s="1"/>
      <c r="B1087" s="2" t="s">
        <v>7937</v>
      </c>
      <c r="C1087" s="3" t="s">
        <v>83</v>
      </c>
      <c r="D1087" s="19" t="s">
        <v>2664</v>
      </c>
      <c r="E1087" s="19" t="s">
        <v>2660</v>
      </c>
      <c r="F1087" s="19" t="s">
        <v>2665</v>
      </c>
      <c r="G1087" s="19" t="s">
        <v>2666</v>
      </c>
      <c r="H1087" s="2" t="s">
        <v>88</v>
      </c>
      <c r="I1087" s="4">
        <v>0</v>
      </c>
      <c r="J1087" s="5">
        <v>710000000</v>
      </c>
      <c r="K1087" s="5" t="s">
        <v>89</v>
      </c>
      <c r="L1087" s="2" t="s">
        <v>754</v>
      </c>
      <c r="M1087" s="6" t="s">
        <v>689</v>
      </c>
      <c r="N1087" s="7" t="s">
        <v>92</v>
      </c>
      <c r="O1087" s="7" t="s">
        <v>93</v>
      </c>
      <c r="P1087" s="3" t="s">
        <v>673</v>
      </c>
      <c r="Q1087" s="3">
        <v>778</v>
      </c>
      <c r="R1087" s="3" t="s">
        <v>523</v>
      </c>
      <c r="S1087" s="9">
        <v>1320</v>
      </c>
      <c r="T1087" s="9">
        <v>518</v>
      </c>
      <c r="U1087" s="9">
        <f t="shared" ref="U1087" si="729">T1087*S1087</f>
        <v>683760</v>
      </c>
      <c r="V1087" s="9">
        <f t="shared" ref="V1087" si="730">U1087*1.12</f>
        <v>765811.20000000007</v>
      </c>
      <c r="W1087" s="7"/>
      <c r="X1087" s="2">
        <v>2016</v>
      </c>
      <c r="Y1087" s="2"/>
    </row>
    <row r="1088" spans="1:25" s="11" customFormat="1" ht="89.25" customHeight="1" outlineLevel="1" x14ac:dyDescent="0.2">
      <c r="A1088" s="25"/>
      <c r="B1088" s="2" t="s">
        <v>6042</v>
      </c>
      <c r="C1088" s="3" t="s">
        <v>83</v>
      </c>
      <c r="D1088" s="19" t="s">
        <v>2396</v>
      </c>
      <c r="E1088" s="19" t="s">
        <v>2397</v>
      </c>
      <c r="F1088" s="19" t="s">
        <v>2398</v>
      </c>
      <c r="G1088" s="19" t="s">
        <v>2667</v>
      </c>
      <c r="H1088" s="2" t="s">
        <v>88</v>
      </c>
      <c r="I1088" s="4">
        <v>0.4</v>
      </c>
      <c r="J1088" s="5">
        <v>710000000</v>
      </c>
      <c r="K1088" s="5" t="s">
        <v>89</v>
      </c>
      <c r="L1088" s="2" t="s">
        <v>754</v>
      </c>
      <c r="M1088" s="6" t="s">
        <v>689</v>
      </c>
      <c r="N1088" s="7" t="s">
        <v>92</v>
      </c>
      <c r="O1088" s="7" t="s">
        <v>93</v>
      </c>
      <c r="P1088" s="3" t="s">
        <v>94</v>
      </c>
      <c r="Q1088" s="3">
        <v>796</v>
      </c>
      <c r="R1088" s="3" t="s">
        <v>118</v>
      </c>
      <c r="S1088" s="9">
        <v>2544</v>
      </c>
      <c r="T1088" s="9">
        <v>374</v>
      </c>
      <c r="U1088" s="9">
        <v>0</v>
      </c>
      <c r="V1088" s="9">
        <f t="shared" si="588"/>
        <v>0</v>
      </c>
      <c r="W1088" s="7" t="s">
        <v>97</v>
      </c>
      <c r="X1088" s="2">
        <v>2016</v>
      </c>
      <c r="Y1088" s="2" t="s">
        <v>7793</v>
      </c>
    </row>
    <row r="1089" spans="1:25" s="11" customFormat="1" ht="89.25" customHeight="1" outlineLevel="1" x14ac:dyDescent="0.25">
      <c r="A1089" s="1"/>
      <c r="B1089" s="2" t="s">
        <v>7938</v>
      </c>
      <c r="C1089" s="3" t="s">
        <v>83</v>
      </c>
      <c r="D1089" s="19" t="s">
        <v>2396</v>
      </c>
      <c r="E1089" s="19" t="s">
        <v>2397</v>
      </c>
      <c r="F1089" s="19" t="s">
        <v>2398</v>
      </c>
      <c r="G1089" s="19" t="s">
        <v>2667</v>
      </c>
      <c r="H1089" s="2" t="s">
        <v>88</v>
      </c>
      <c r="I1089" s="4">
        <v>0</v>
      </c>
      <c r="J1089" s="5">
        <v>710000000</v>
      </c>
      <c r="K1089" s="5" t="s">
        <v>89</v>
      </c>
      <c r="L1089" s="2" t="s">
        <v>754</v>
      </c>
      <c r="M1089" s="6" t="s">
        <v>689</v>
      </c>
      <c r="N1089" s="7" t="s">
        <v>92</v>
      </c>
      <c r="O1089" s="7" t="s">
        <v>93</v>
      </c>
      <c r="P1089" s="3" t="s">
        <v>673</v>
      </c>
      <c r="Q1089" s="3">
        <v>796</v>
      </c>
      <c r="R1089" s="3" t="s">
        <v>118</v>
      </c>
      <c r="S1089" s="9">
        <v>2544</v>
      </c>
      <c r="T1089" s="9">
        <v>374</v>
      </c>
      <c r="U1089" s="9">
        <f t="shared" ref="U1089" si="731">T1089*S1089</f>
        <v>951456</v>
      </c>
      <c r="V1089" s="9">
        <f t="shared" ref="V1089" si="732">U1089*1.12</f>
        <v>1065630.7200000002</v>
      </c>
      <c r="W1089" s="7"/>
      <c r="X1089" s="2">
        <v>2016</v>
      </c>
      <c r="Y1089" s="2"/>
    </row>
    <row r="1090" spans="1:25" s="11" customFormat="1" ht="89.25" customHeight="1" outlineLevel="1" x14ac:dyDescent="0.25">
      <c r="A1090" s="1"/>
      <c r="B1090" s="2" t="s">
        <v>6043</v>
      </c>
      <c r="C1090" s="3" t="s">
        <v>83</v>
      </c>
      <c r="D1090" s="19" t="s">
        <v>2466</v>
      </c>
      <c r="E1090" s="19" t="s">
        <v>2341</v>
      </c>
      <c r="F1090" s="19" t="s">
        <v>2467</v>
      </c>
      <c r="G1090" s="19" t="s">
        <v>2468</v>
      </c>
      <c r="H1090" s="2" t="s">
        <v>88</v>
      </c>
      <c r="I1090" s="4">
        <v>0.4</v>
      </c>
      <c r="J1090" s="5">
        <v>710000000</v>
      </c>
      <c r="K1090" s="5" t="s">
        <v>89</v>
      </c>
      <c r="L1090" s="2" t="s">
        <v>754</v>
      </c>
      <c r="M1090" s="6" t="s">
        <v>689</v>
      </c>
      <c r="N1090" s="7" t="s">
        <v>92</v>
      </c>
      <c r="O1090" s="7" t="s">
        <v>93</v>
      </c>
      <c r="P1090" s="3" t="s">
        <v>94</v>
      </c>
      <c r="Q1090" s="3">
        <v>796</v>
      </c>
      <c r="R1090" s="3" t="s">
        <v>118</v>
      </c>
      <c r="S1090" s="9">
        <v>1668</v>
      </c>
      <c r="T1090" s="9">
        <v>369.38</v>
      </c>
      <c r="U1090" s="9">
        <v>616125.84</v>
      </c>
      <c r="V1090" s="9">
        <v>690060.94079999998</v>
      </c>
      <c r="W1090" s="7" t="s">
        <v>97</v>
      </c>
      <c r="X1090" s="2">
        <v>2016</v>
      </c>
      <c r="Y1090" s="2"/>
    </row>
    <row r="1091" spans="1:25" s="11" customFormat="1" ht="140.25" customHeight="1" outlineLevel="1" x14ac:dyDescent="0.2">
      <c r="A1091" s="25"/>
      <c r="B1091" s="2" t="s">
        <v>6044</v>
      </c>
      <c r="C1091" s="3" t="s">
        <v>83</v>
      </c>
      <c r="D1091" s="19" t="s">
        <v>2417</v>
      </c>
      <c r="E1091" s="19" t="s">
        <v>2418</v>
      </c>
      <c r="F1091" s="19" t="s">
        <v>2419</v>
      </c>
      <c r="G1091" s="19" t="s">
        <v>2668</v>
      </c>
      <c r="H1091" s="2" t="s">
        <v>88</v>
      </c>
      <c r="I1091" s="4">
        <v>0.4</v>
      </c>
      <c r="J1091" s="5">
        <v>710000000</v>
      </c>
      <c r="K1091" s="5" t="s">
        <v>89</v>
      </c>
      <c r="L1091" s="2" t="s">
        <v>754</v>
      </c>
      <c r="M1091" s="6" t="s">
        <v>689</v>
      </c>
      <c r="N1091" s="7" t="s">
        <v>92</v>
      </c>
      <c r="O1091" s="7" t="s">
        <v>93</v>
      </c>
      <c r="P1091" s="3" t="s">
        <v>94</v>
      </c>
      <c r="Q1091" s="3">
        <v>796</v>
      </c>
      <c r="R1091" s="3" t="s">
        <v>118</v>
      </c>
      <c r="S1091" s="9">
        <v>520</v>
      </c>
      <c r="T1091" s="9">
        <v>378</v>
      </c>
      <c r="U1091" s="9">
        <v>0</v>
      </c>
      <c r="V1091" s="9">
        <f t="shared" si="588"/>
        <v>0</v>
      </c>
      <c r="W1091" s="7" t="s">
        <v>97</v>
      </c>
      <c r="X1091" s="2">
        <v>2016</v>
      </c>
      <c r="Y1091" s="2" t="s">
        <v>7793</v>
      </c>
    </row>
    <row r="1092" spans="1:25" s="11" customFormat="1" ht="140.25" customHeight="1" outlineLevel="1" x14ac:dyDescent="0.25">
      <c r="A1092" s="1"/>
      <c r="B1092" s="2" t="s">
        <v>7939</v>
      </c>
      <c r="C1092" s="3" t="s">
        <v>83</v>
      </c>
      <c r="D1092" s="19" t="s">
        <v>2417</v>
      </c>
      <c r="E1092" s="19" t="s">
        <v>2418</v>
      </c>
      <c r="F1092" s="19" t="s">
        <v>2419</v>
      </c>
      <c r="G1092" s="19" t="s">
        <v>2668</v>
      </c>
      <c r="H1092" s="2" t="s">
        <v>88</v>
      </c>
      <c r="I1092" s="4">
        <v>0</v>
      </c>
      <c r="J1092" s="5">
        <v>710000000</v>
      </c>
      <c r="K1092" s="5" t="s">
        <v>89</v>
      </c>
      <c r="L1092" s="2" t="s">
        <v>754</v>
      </c>
      <c r="M1092" s="6" t="s">
        <v>689</v>
      </c>
      <c r="N1092" s="7" t="s">
        <v>92</v>
      </c>
      <c r="O1092" s="7" t="s">
        <v>93</v>
      </c>
      <c r="P1092" s="3" t="s">
        <v>673</v>
      </c>
      <c r="Q1092" s="3">
        <v>796</v>
      </c>
      <c r="R1092" s="3" t="s">
        <v>118</v>
      </c>
      <c r="S1092" s="9">
        <v>520</v>
      </c>
      <c r="T1092" s="9">
        <v>378</v>
      </c>
      <c r="U1092" s="9">
        <f t="shared" ref="U1092" si="733">T1092*S1092</f>
        <v>196560</v>
      </c>
      <c r="V1092" s="9">
        <f t="shared" ref="V1092" si="734">U1092*1.12</f>
        <v>220147.20000000001</v>
      </c>
      <c r="W1092" s="7"/>
      <c r="X1092" s="2">
        <v>2016</v>
      </c>
      <c r="Y1092" s="2"/>
    </row>
    <row r="1093" spans="1:25" s="11" customFormat="1" ht="382.5" customHeight="1" outlineLevel="1" x14ac:dyDescent="0.2">
      <c r="A1093" s="25"/>
      <c r="B1093" s="2" t="s">
        <v>6045</v>
      </c>
      <c r="C1093" s="6" t="s">
        <v>83</v>
      </c>
      <c r="D1093" s="6" t="s">
        <v>2344</v>
      </c>
      <c r="E1093" s="6" t="s">
        <v>2341</v>
      </c>
      <c r="F1093" s="6" t="s">
        <v>2345</v>
      </c>
      <c r="G1093" s="6" t="s">
        <v>2613</v>
      </c>
      <c r="H1093" s="2" t="s">
        <v>88</v>
      </c>
      <c r="I1093" s="4">
        <v>0.4</v>
      </c>
      <c r="J1093" s="6">
        <v>710000000</v>
      </c>
      <c r="K1093" s="6" t="s">
        <v>89</v>
      </c>
      <c r="L1093" s="2" t="s">
        <v>754</v>
      </c>
      <c r="M1093" s="6" t="s">
        <v>682</v>
      </c>
      <c r="N1093" s="6" t="s">
        <v>92</v>
      </c>
      <c r="O1093" s="6" t="s">
        <v>93</v>
      </c>
      <c r="P1093" s="3" t="s">
        <v>94</v>
      </c>
      <c r="Q1093" s="6">
        <v>868</v>
      </c>
      <c r="R1093" s="6" t="s">
        <v>585</v>
      </c>
      <c r="S1093" s="9">
        <v>12</v>
      </c>
      <c r="T1093" s="9">
        <v>12500</v>
      </c>
      <c r="U1093" s="9">
        <v>0</v>
      </c>
      <c r="V1093" s="9">
        <f t="shared" si="588"/>
        <v>0</v>
      </c>
      <c r="W1093" s="7" t="s">
        <v>97</v>
      </c>
      <c r="X1093" s="2">
        <v>2016</v>
      </c>
      <c r="Y1093" s="9" t="s">
        <v>7793</v>
      </c>
    </row>
    <row r="1094" spans="1:25" s="11" customFormat="1" ht="382.5" customHeight="1" outlineLevel="1" x14ac:dyDescent="0.25">
      <c r="A1094" s="1"/>
      <c r="B1094" s="2" t="s">
        <v>7940</v>
      </c>
      <c r="C1094" s="6" t="s">
        <v>83</v>
      </c>
      <c r="D1094" s="6" t="s">
        <v>2344</v>
      </c>
      <c r="E1094" s="6" t="s">
        <v>2341</v>
      </c>
      <c r="F1094" s="6" t="s">
        <v>2345</v>
      </c>
      <c r="G1094" s="6" t="s">
        <v>2613</v>
      </c>
      <c r="H1094" s="2" t="s">
        <v>88</v>
      </c>
      <c r="I1094" s="4">
        <v>0</v>
      </c>
      <c r="J1094" s="6">
        <v>710000000</v>
      </c>
      <c r="K1094" s="6" t="s">
        <v>89</v>
      </c>
      <c r="L1094" s="2" t="s">
        <v>754</v>
      </c>
      <c r="M1094" s="6" t="s">
        <v>682</v>
      </c>
      <c r="N1094" s="6" t="s">
        <v>92</v>
      </c>
      <c r="O1094" s="6" t="s">
        <v>93</v>
      </c>
      <c r="P1094" s="3" t="s">
        <v>673</v>
      </c>
      <c r="Q1094" s="6">
        <v>868</v>
      </c>
      <c r="R1094" s="6" t="s">
        <v>585</v>
      </c>
      <c r="S1094" s="9">
        <v>12</v>
      </c>
      <c r="T1094" s="9">
        <v>12500</v>
      </c>
      <c r="U1094" s="9">
        <f t="shared" ref="U1094" si="735">T1094*S1094</f>
        <v>150000</v>
      </c>
      <c r="V1094" s="9">
        <f t="shared" ref="V1094" si="736">U1094*1.12</f>
        <v>168000.00000000003</v>
      </c>
      <c r="W1094" s="7"/>
      <c r="X1094" s="2">
        <v>2016</v>
      </c>
      <c r="Y1094" s="9"/>
    </row>
    <row r="1095" spans="1:25" s="36" customFormat="1" ht="409.5" customHeight="1" outlineLevel="1" x14ac:dyDescent="0.2">
      <c r="A1095" s="25"/>
      <c r="B1095" s="2" t="s">
        <v>6046</v>
      </c>
      <c r="C1095" s="6" t="s">
        <v>83</v>
      </c>
      <c r="D1095" s="6" t="s">
        <v>2363</v>
      </c>
      <c r="E1095" s="6" t="s">
        <v>2341</v>
      </c>
      <c r="F1095" s="6" t="s">
        <v>2364</v>
      </c>
      <c r="G1095" s="6" t="s">
        <v>2614</v>
      </c>
      <c r="H1095" s="2" t="s">
        <v>88</v>
      </c>
      <c r="I1095" s="4">
        <v>0.4</v>
      </c>
      <c r="J1095" s="6">
        <v>710000000</v>
      </c>
      <c r="K1095" s="6" t="s">
        <v>89</v>
      </c>
      <c r="L1095" s="2" t="s">
        <v>754</v>
      </c>
      <c r="M1095" s="6" t="s">
        <v>682</v>
      </c>
      <c r="N1095" s="6" t="s">
        <v>92</v>
      </c>
      <c r="O1095" s="6" t="s">
        <v>93</v>
      </c>
      <c r="P1095" s="3" t="s">
        <v>94</v>
      </c>
      <c r="Q1095" s="6">
        <v>796</v>
      </c>
      <c r="R1095" s="6" t="s">
        <v>118</v>
      </c>
      <c r="S1095" s="9">
        <v>6</v>
      </c>
      <c r="T1095" s="9">
        <v>16070</v>
      </c>
      <c r="U1095" s="9">
        <v>0</v>
      </c>
      <c r="V1095" s="9">
        <f t="shared" ref="V1095:V1216" si="737">U1095*1.12</f>
        <v>0</v>
      </c>
      <c r="W1095" s="7" t="s">
        <v>97</v>
      </c>
      <c r="X1095" s="2">
        <v>2016</v>
      </c>
      <c r="Y1095" s="9" t="s">
        <v>7793</v>
      </c>
    </row>
    <row r="1096" spans="1:25" s="36" customFormat="1" ht="409.5" customHeight="1" outlineLevel="1" x14ac:dyDescent="0.25">
      <c r="A1096" s="1"/>
      <c r="B1096" s="2" t="s">
        <v>7941</v>
      </c>
      <c r="C1096" s="6" t="s">
        <v>83</v>
      </c>
      <c r="D1096" s="6" t="s">
        <v>2363</v>
      </c>
      <c r="E1096" s="6" t="s">
        <v>2341</v>
      </c>
      <c r="F1096" s="6" t="s">
        <v>2364</v>
      </c>
      <c r="G1096" s="6" t="s">
        <v>2614</v>
      </c>
      <c r="H1096" s="2" t="s">
        <v>88</v>
      </c>
      <c r="I1096" s="4">
        <v>0</v>
      </c>
      <c r="J1096" s="6">
        <v>710000000</v>
      </c>
      <c r="K1096" s="6" t="s">
        <v>89</v>
      </c>
      <c r="L1096" s="2" t="s">
        <v>754</v>
      </c>
      <c r="M1096" s="6" t="s">
        <v>682</v>
      </c>
      <c r="N1096" s="6" t="s">
        <v>92</v>
      </c>
      <c r="O1096" s="6" t="s">
        <v>93</v>
      </c>
      <c r="P1096" s="3" t="s">
        <v>673</v>
      </c>
      <c r="Q1096" s="6">
        <v>796</v>
      </c>
      <c r="R1096" s="6" t="s">
        <v>118</v>
      </c>
      <c r="S1096" s="9">
        <v>6</v>
      </c>
      <c r="T1096" s="9">
        <v>16070</v>
      </c>
      <c r="U1096" s="9">
        <f t="shared" ref="U1096" si="738">T1096*S1096</f>
        <v>96420</v>
      </c>
      <c r="V1096" s="9">
        <f t="shared" ref="V1096" si="739">U1096*1.12</f>
        <v>107990.40000000001</v>
      </c>
      <c r="W1096" s="7"/>
      <c r="X1096" s="2">
        <v>2016</v>
      </c>
      <c r="Y1096" s="9"/>
    </row>
    <row r="1097" spans="1:25" s="36" customFormat="1" ht="255" customHeight="1" outlineLevel="1" x14ac:dyDescent="0.2">
      <c r="A1097" s="25"/>
      <c r="B1097" s="2" t="s">
        <v>6047</v>
      </c>
      <c r="C1097" s="6" t="s">
        <v>83</v>
      </c>
      <c r="D1097" s="6" t="s">
        <v>2350</v>
      </c>
      <c r="E1097" s="6" t="s">
        <v>2341</v>
      </c>
      <c r="F1097" s="6" t="s">
        <v>2351</v>
      </c>
      <c r="G1097" s="6" t="s">
        <v>2615</v>
      </c>
      <c r="H1097" s="2" t="s">
        <v>88</v>
      </c>
      <c r="I1097" s="4">
        <v>0.4</v>
      </c>
      <c r="J1097" s="6">
        <v>710000000</v>
      </c>
      <c r="K1097" s="6" t="s">
        <v>89</v>
      </c>
      <c r="L1097" s="2" t="s">
        <v>754</v>
      </c>
      <c r="M1097" s="6" t="s">
        <v>682</v>
      </c>
      <c r="N1097" s="6" t="s">
        <v>92</v>
      </c>
      <c r="O1097" s="6" t="s">
        <v>93</v>
      </c>
      <c r="P1097" s="3" t="s">
        <v>94</v>
      </c>
      <c r="Q1097" s="6">
        <v>796</v>
      </c>
      <c r="R1097" s="6" t="s">
        <v>118</v>
      </c>
      <c r="S1097" s="9">
        <v>6</v>
      </c>
      <c r="T1097" s="9">
        <v>15180</v>
      </c>
      <c r="U1097" s="9">
        <v>0</v>
      </c>
      <c r="V1097" s="9">
        <f t="shared" si="737"/>
        <v>0</v>
      </c>
      <c r="W1097" s="7" t="s">
        <v>97</v>
      </c>
      <c r="X1097" s="2">
        <v>2016</v>
      </c>
      <c r="Y1097" s="9" t="s">
        <v>7793</v>
      </c>
    </row>
    <row r="1098" spans="1:25" s="36" customFormat="1" ht="255" customHeight="1" outlineLevel="1" x14ac:dyDescent="0.25">
      <c r="A1098" s="1"/>
      <c r="B1098" s="2" t="s">
        <v>7942</v>
      </c>
      <c r="C1098" s="6" t="s">
        <v>83</v>
      </c>
      <c r="D1098" s="6" t="s">
        <v>2350</v>
      </c>
      <c r="E1098" s="6" t="s">
        <v>2341</v>
      </c>
      <c r="F1098" s="6" t="s">
        <v>2351</v>
      </c>
      <c r="G1098" s="6" t="s">
        <v>2615</v>
      </c>
      <c r="H1098" s="2" t="s">
        <v>88</v>
      </c>
      <c r="I1098" s="4">
        <v>0</v>
      </c>
      <c r="J1098" s="6">
        <v>710000000</v>
      </c>
      <c r="K1098" s="6" t="s">
        <v>89</v>
      </c>
      <c r="L1098" s="2" t="s">
        <v>754</v>
      </c>
      <c r="M1098" s="6" t="s">
        <v>682</v>
      </c>
      <c r="N1098" s="6" t="s">
        <v>92</v>
      </c>
      <c r="O1098" s="6" t="s">
        <v>93</v>
      </c>
      <c r="P1098" s="3" t="s">
        <v>673</v>
      </c>
      <c r="Q1098" s="6">
        <v>796</v>
      </c>
      <c r="R1098" s="6" t="s">
        <v>118</v>
      </c>
      <c r="S1098" s="9">
        <v>6</v>
      </c>
      <c r="T1098" s="9">
        <v>15180</v>
      </c>
      <c r="U1098" s="9">
        <f t="shared" ref="U1098" si="740">T1098*S1098</f>
        <v>91080</v>
      </c>
      <c r="V1098" s="9">
        <f t="shared" ref="V1098" si="741">U1098*1.12</f>
        <v>102009.60000000001</v>
      </c>
      <c r="W1098" s="7"/>
      <c r="X1098" s="2">
        <v>2016</v>
      </c>
      <c r="Y1098" s="9"/>
    </row>
    <row r="1099" spans="1:25" s="36" customFormat="1" ht="409.5" customHeight="1" outlineLevel="1" x14ac:dyDescent="0.2">
      <c r="A1099" s="25"/>
      <c r="B1099" s="2" t="s">
        <v>6048</v>
      </c>
      <c r="C1099" s="6" t="s">
        <v>83</v>
      </c>
      <c r="D1099" s="6" t="s">
        <v>2340</v>
      </c>
      <c r="E1099" s="6" t="s">
        <v>2341</v>
      </c>
      <c r="F1099" s="6" t="s">
        <v>2342</v>
      </c>
      <c r="G1099" s="6" t="s">
        <v>2616</v>
      </c>
      <c r="H1099" s="2" t="s">
        <v>88</v>
      </c>
      <c r="I1099" s="4">
        <v>0.4</v>
      </c>
      <c r="J1099" s="6">
        <v>710000000</v>
      </c>
      <c r="K1099" s="6" t="s">
        <v>89</v>
      </c>
      <c r="L1099" s="2" t="s">
        <v>754</v>
      </c>
      <c r="M1099" s="6" t="s">
        <v>682</v>
      </c>
      <c r="N1099" s="6" t="s">
        <v>92</v>
      </c>
      <c r="O1099" s="6" t="s">
        <v>93</v>
      </c>
      <c r="P1099" s="3" t="s">
        <v>94</v>
      </c>
      <c r="Q1099" s="6">
        <v>796</v>
      </c>
      <c r="R1099" s="6" t="s">
        <v>118</v>
      </c>
      <c r="S1099" s="9">
        <v>6</v>
      </c>
      <c r="T1099" s="9">
        <v>13395</v>
      </c>
      <c r="U1099" s="9">
        <v>0</v>
      </c>
      <c r="V1099" s="9">
        <f t="shared" si="737"/>
        <v>0</v>
      </c>
      <c r="W1099" s="7" t="s">
        <v>97</v>
      </c>
      <c r="X1099" s="2">
        <v>2016</v>
      </c>
      <c r="Y1099" s="9" t="s">
        <v>7793</v>
      </c>
    </row>
    <row r="1100" spans="1:25" s="36" customFormat="1" ht="409.5" customHeight="1" outlineLevel="1" x14ac:dyDescent="0.25">
      <c r="A1100" s="1"/>
      <c r="B1100" s="2" t="s">
        <v>7943</v>
      </c>
      <c r="C1100" s="6" t="s">
        <v>83</v>
      </c>
      <c r="D1100" s="6" t="s">
        <v>2340</v>
      </c>
      <c r="E1100" s="6" t="s">
        <v>2341</v>
      </c>
      <c r="F1100" s="6" t="s">
        <v>2342</v>
      </c>
      <c r="G1100" s="6" t="s">
        <v>2616</v>
      </c>
      <c r="H1100" s="2" t="s">
        <v>88</v>
      </c>
      <c r="I1100" s="4">
        <v>0</v>
      </c>
      <c r="J1100" s="6">
        <v>710000000</v>
      </c>
      <c r="K1100" s="6" t="s">
        <v>89</v>
      </c>
      <c r="L1100" s="2" t="s">
        <v>754</v>
      </c>
      <c r="M1100" s="6" t="s">
        <v>682</v>
      </c>
      <c r="N1100" s="6" t="s">
        <v>92</v>
      </c>
      <c r="O1100" s="6" t="s">
        <v>93</v>
      </c>
      <c r="P1100" s="3" t="s">
        <v>673</v>
      </c>
      <c r="Q1100" s="6">
        <v>796</v>
      </c>
      <c r="R1100" s="6" t="s">
        <v>118</v>
      </c>
      <c r="S1100" s="9">
        <v>6</v>
      </c>
      <c r="T1100" s="9">
        <v>13395</v>
      </c>
      <c r="U1100" s="9">
        <f t="shared" ref="U1100" si="742">T1100*S1100</f>
        <v>80370</v>
      </c>
      <c r="V1100" s="9">
        <f t="shared" ref="V1100" si="743">U1100*1.12</f>
        <v>90014.400000000009</v>
      </c>
      <c r="W1100" s="7"/>
      <c r="X1100" s="2">
        <v>2016</v>
      </c>
      <c r="Y1100" s="9"/>
    </row>
    <row r="1101" spans="1:25" s="36" customFormat="1" ht="409.5" customHeight="1" outlineLevel="1" x14ac:dyDescent="0.2">
      <c r="A1101" s="25"/>
      <c r="B1101" s="2" t="s">
        <v>6049</v>
      </c>
      <c r="C1101" s="6" t="s">
        <v>83</v>
      </c>
      <c r="D1101" s="6" t="s">
        <v>2617</v>
      </c>
      <c r="E1101" s="6" t="s">
        <v>2358</v>
      </c>
      <c r="F1101" s="6" t="s">
        <v>2618</v>
      </c>
      <c r="G1101" s="6" t="s">
        <v>2619</v>
      </c>
      <c r="H1101" s="2" t="s">
        <v>88</v>
      </c>
      <c r="I1101" s="4">
        <v>0.4</v>
      </c>
      <c r="J1101" s="6">
        <v>710000000</v>
      </c>
      <c r="K1101" s="6" t="s">
        <v>89</v>
      </c>
      <c r="L1101" s="2" t="s">
        <v>754</v>
      </c>
      <c r="M1101" s="6" t="s">
        <v>682</v>
      </c>
      <c r="N1101" s="6" t="s">
        <v>92</v>
      </c>
      <c r="O1101" s="6" t="s">
        <v>93</v>
      </c>
      <c r="P1101" s="3" t="s">
        <v>94</v>
      </c>
      <c r="Q1101" s="6">
        <v>796</v>
      </c>
      <c r="R1101" s="6" t="s">
        <v>118</v>
      </c>
      <c r="S1101" s="9">
        <v>24</v>
      </c>
      <c r="T1101" s="9">
        <v>6700</v>
      </c>
      <c r="U1101" s="9">
        <v>0</v>
      </c>
      <c r="V1101" s="9">
        <f t="shared" si="737"/>
        <v>0</v>
      </c>
      <c r="W1101" s="7" t="s">
        <v>97</v>
      </c>
      <c r="X1101" s="2">
        <v>2016</v>
      </c>
      <c r="Y1101" s="9" t="s">
        <v>7793</v>
      </c>
    </row>
    <row r="1102" spans="1:25" s="36" customFormat="1" ht="409.5" customHeight="1" outlineLevel="1" x14ac:dyDescent="0.25">
      <c r="A1102" s="1"/>
      <c r="B1102" s="2" t="s">
        <v>7944</v>
      </c>
      <c r="C1102" s="6" t="s">
        <v>83</v>
      </c>
      <c r="D1102" s="6" t="s">
        <v>2617</v>
      </c>
      <c r="E1102" s="6" t="s">
        <v>2358</v>
      </c>
      <c r="F1102" s="6" t="s">
        <v>2618</v>
      </c>
      <c r="G1102" s="6" t="s">
        <v>2619</v>
      </c>
      <c r="H1102" s="2" t="s">
        <v>88</v>
      </c>
      <c r="I1102" s="4">
        <v>0</v>
      </c>
      <c r="J1102" s="6">
        <v>710000000</v>
      </c>
      <c r="K1102" s="6" t="s">
        <v>89</v>
      </c>
      <c r="L1102" s="2" t="s">
        <v>754</v>
      </c>
      <c r="M1102" s="6" t="s">
        <v>682</v>
      </c>
      <c r="N1102" s="6" t="s">
        <v>92</v>
      </c>
      <c r="O1102" s="6" t="s">
        <v>93</v>
      </c>
      <c r="P1102" s="3" t="s">
        <v>673</v>
      </c>
      <c r="Q1102" s="6">
        <v>796</v>
      </c>
      <c r="R1102" s="6" t="s">
        <v>118</v>
      </c>
      <c r="S1102" s="9">
        <v>24</v>
      </c>
      <c r="T1102" s="9">
        <v>6700</v>
      </c>
      <c r="U1102" s="9">
        <f t="shared" ref="U1102" si="744">T1102*S1102</f>
        <v>160800</v>
      </c>
      <c r="V1102" s="9">
        <f t="shared" ref="V1102" si="745">U1102*1.12</f>
        <v>180096.00000000003</v>
      </c>
      <c r="W1102" s="7"/>
      <c r="X1102" s="2">
        <v>2016</v>
      </c>
      <c r="Y1102" s="9"/>
    </row>
    <row r="1103" spans="1:25" s="36" customFormat="1" ht="344.25" customHeight="1" outlineLevel="1" x14ac:dyDescent="0.2">
      <c r="A1103" s="25"/>
      <c r="B1103" s="2" t="s">
        <v>6050</v>
      </c>
      <c r="C1103" s="6" t="s">
        <v>83</v>
      </c>
      <c r="D1103" s="6" t="s">
        <v>2620</v>
      </c>
      <c r="E1103" s="6" t="s">
        <v>2367</v>
      </c>
      <c r="F1103" s="6" t="s">
        <v>2368</v>
      </c>
      <c r="G1103" s="6" t="s">
        <v>2621</v>
      </c>
      <c r="H1103" s="2" t="s">
        <v>88</v>
      </c>
      <c r="I1103" s="4">
        <v>0.4</v>
      </c>
      <c r="J1103" s="6">
        <v>710000000</v>
      </c>
      <c r="K1103" s="6" t="s">
        <v>89</v>
      </c>
      <c r="L1103" s="2" t="s">
        <v>754</v>
      </c>
      <c r="M1103" s="6" t="s">
        <v>682</v>
      </c>
      <c r="N1103" s="6" t="s">
        <v>92</v>
      </c>
      <c r="O1103" s="6" t="s">
        <v>93</v>
      </c>
      <c r="P1103" s="3" t="s">
        <v>94</v>
      </c>
      <c r="Q1103" s="6">
        <v>778</v>
      </c>
      <c r="R1103" s="6" t="s">
        <v>523</v>
      </c>
      <c r="S1103" s="9">
        <v>3</v>
      </c>
      <c r="T1103" s="9">
        <v>13395</v>
      </c>
      <c r="U1103" s="9">
        <v>0</v>
      </c>
      <c r="V1103" s="9">
        <f t="shared" si="737"/>
        <v>0</v>
      </c>
      <c r="W1103" s="7" t="s">
        <v>97</v>
      </c>
      <c r="X1103" s="2">
        <v>2016</v>
      </c>
      <c r="Y1103" s="9" t="s">
        <v>7793</v>
      </c>
    </row>
    <row r="1104" spans="1:25" s="36" customFormat="1" ht="344.25" customHeight="1" outlineLevel="1" x14ac:dyDescent="0.25">
      <c r="A1104" s="1"/>
      <c r="B1104" s="2" t="s">
        <v>7945</v>
      </c>
      <c r="C1104" s="6" t="s">
        <v>83</v>
      </c>
      <c r="D1104" s="6" t="s">
        <v>2620</v>
      </c>
      <c r="E1104" s="6" t="s">
        <v>2367</v>
      </c>
      <c r="F1104" s="6" t="s">
        <v>2368</v>
      </c>
      <c r="G1104" s="6" t="s">
        <v>2621</v>
      </c>
      <c r="H1104" s="2" t="s">
        <v>88</v>
      </c>
      <c r="I1104" s="4">
        <v>0</v>
      </c>
      <c r="J1104" s="6">
        <v>710000000</v>
      </c>
      <c r="K1104" s="6" t="s">
        <v>89</v>
      </c>
      <c r="L1104" s="2" t="s">
        <v>754</v>
      </c>
      <c r="M1104" s="6" t="s">
        <v>682</v>
      </c>
      <c r="N1104" s="6" t="s">
        <v>92</v>
      </c>
      <c r="O1104" s="6" t="s">
        <v>93</v>
      </c>
      <c r="P1104" s="3" t="s">
        <v>673</v>
      </c>
      <c r="Q1104" s="6">
        <v>778</v>
      </c>
      <c r="R1104" s="6" t="s">
        <v>523</v>
      </c>
      <c r="S1104" s="9">
        <v>3</v>
      </c>
      <c r="T1104" s="9">
        <v>13395</v>
      </c>
      <c r="U1104" s="9">
        <f t="shared" ref="U1104" si="746">T1104*S1104</f>
        <v>40185</v>
      </c>
      <c r="V1104" s="9">
        <f t="shared" ref="V1104" si="747">U1104*1.12</f>
        <v>45007.200000000004</v>
      </c>
      <c r="W1104" s="7"/>
      <c r="X1104" s="2">
        <v>2016</v>
      </c>
      <c r="Y1104" s="9"/>
    </row>
    <row r="1105" spans="1:25" s="36" customFormat="1" ht="89.25" customHeight="1" outlineLevel="1" x14ac:dyDescent="0.2">
      <c r="A1105" s="25"/>
      <c r="B1105" s="2" t="s">
        <v>6051</v>
      </c>
      <c r="C1105" s="6" t="s">
        <v>83</v>
      </c>
      <c r="D1105" s="6" t="s">
        <v>2640</v>
      </c>
      <c r="E1105" s="6" t="s">
        <v>2641</v>
      </c>
      <c r="F1105" s="6" t="s">
        <v>2642</v>
      </c>
      <c r="G1105" s="6" t="s">
        <v>2643</v>
      </c>
      <c r="H1105" s="2" t="s">
        <v>88</v>
      </c>
      <c r="I1105" s="4">
        <v>0.4</v>
      </c>
      <c r="J1105" s="6">
        <v>710000000</v>
      </c>
      <c r="K1105" s="6" t="s">
        <v>89</v>
      </c>
      <c r="L1105" s="2" t="s">
        <v>754</v>
      </c>
      <c r="M1105" s="6" t="s">
        <v>682</v>
      </c>
      <c r="N1105" s="6" t="s">
        <v>92</v>
      </c>
      <c r="O1105" s="6" t="s">
        <v>93</v>
      </c>
      <c r="P1105" s="3" t="s">
        <v>94</v>
      </c>
      <c r="Q1105" s="6">
        <v>796</v>
      </c>
      <c r="R1105" s="6" t="s">
        <v>118</v>
      </c>
      <c r="S1105" s="9">
        <v>2</v>
      </c>
      <c r="T1105" s="9">
        <v>160715</v>
      </c>
      <c r="U1105" s="9">
        <v>0</v>
      </c>
      <c r="V1105" s="9">
        <f t="shared" si="737"/>
        <v>0</v>
      </c>
      <c r="W1105" s="7" t="s">
        <v>97</v>
      </c>
      <c r="X1105" s="2">
        <v>2016</v>
      </c>
      <c r="Y1105" s="9" t="s">
        <v>7793</v>
      </c>
    </row>
    <row r="1106" spans="1:25" s="36" customFormat="1" ht="89.25" customHeight="1" outlineLevel="1" x14ac:dyDescent="0.25">
      <c r="A1106" s="1"/>
      <c r="B1106" s="2" t="s">
        <v>7946</v>
      </c>
      <c r="C1106" s="6" t="s">
        <v>83</v>
      </c>
      <c r="D1106" s="6" t="s">
        <v>2640</v>
      </c>
      <c r="E1106" s="6" t="s">
        <v>2641</v>
      </c>
      <c r="F1106" s="6" t="s">
        <v>2642</v>
      </c>
      <c r="G1106" s="6" t="s">
        <v>2643</v>
      </c>
      <c r="H1106" s="2" t="s">
        <v>88</v>
      </c>
      <c r="I1106" s="4">
        <v>0</v>
      </c>
      <c r="J1106" s="6">
        <v>710000000</v>
      </c>
      <c r="K1106" s="6" t="s">
        <v>89</v>
      </c>
      <c r="L1106" s="2" t="s">
        <v>754</v>
      </c>
      <c r="M1106" s="6" t="s">
        <v>682</v>
      </c>
      <c r="N1106" s="6" t="s">
        <v>92</v>
      </c>
      <c r="O1106" s="6" t="s">
        <v>93</v>
      </c>
      <c r="P1106" s="3" t="s">
        <v>94</v>
      </c>
      <c r="Q1106" s="6">
        <v>796</v>
      </c>
      <c r="R1106" s="6" t="s">
        <v>118</v>
      </c>
      <c r="S1106" s="9">
        <v>2</v>
      </c>
      <c r="T1106" s="9">
        <v>160715</v>
      </c>
      <c r="U1106" s="9">
        <f t="shared" ref="U1106" si="748">T1106*S1106</f>
        <v>321430</v>
      </c>
      <c r="V1106" s="9">
        <f t="shared" ref="V1106" si="749">U1106*1.12</f>
        <v>360001.60000000003</v>
      </c>
      <c r="W1106" s="7"/>
      <c r="X1106" s="2">
        <v>2016</v>
      </c>
      <c r="Y1106" s="9"/>
    </row>
    <row r="1107" spans="1:25" s="36" customFormat="1" ht="89.25" customHeight="1" outlineLevel="1" x14ac:dyDescent="0.25">
      <c r="A1107" s="1"/>
      <c r="B1107" s="2" t="s">
        <v>6052</v>
      </c>
      <c r="C1107" s="6" t="s">
        <v>83</v>
      </c>
      <c r="D1107" s="6" t="s">
        <v>2644</v>
      </c>
      <c r="E1107" s="6" t="s">
        <v>2645</v>
      </c>
      <c r="F1107" s="6" t="s">
        <v>2646</v>
      </c>
      <c r="G1107" s="6" t="s">
        <v>2647</v>
      </c>
      <c r="H1107" s="2" t="s">
        <v>88</v>
      </c>
      <c r="I1107" s="4">
        <v>0.4</v>
      </c>
      <c r="J1107" s="6">
        <v>710000000</v>
      </c>
      <c r="K1107" s="6" t="s">
        <v>89</v>
      </c>
      <c r="L1107" s="2" t="s">
        <v>754</v>
      </c>
      <c r="M1107" s="6" t="s">
        <v>682</v>
      </c>
      <c r="N1107" s="6" t="s">
        <v>92</v>
      </c>
      <c r="O1107" s="6" t="s">
        <v>93</v>
      </c>
      <c r="P1107" s="3" t="s">
        <v>94</v>
      </c>
      <c r="Q1107" s="6">
        <v>796</v>
      </c>
      <c r="R1107" s="6" t="s">
        <v>118</v>
      </c>
      <c r="S1107" s="9">
        <v>22</v>
      </c>
      <c r="T1107" s="9">
        <v>1965</v>
      </c>
      <c r="U1107" s="9">
        <v>43230</v>
      </c>
      <c r="V1107" s="9">
        <v>48417.600000000006</v>
      </c>
      <c r="W1107" s="7" t="s">
        <v>97</v>
      </c>
      <c r="X1107" s="2">
        <v>2016</v>
      </c>
      <c r="Y1107" s="9"/>
    </row>
    <row r="1108" spans="1:25" s="36" customFormat="1" ht="89.25" customHeight="1" outlineLevel="1" x14ac:dyDescent="0.2">
      <c r="A1108" s="25"/>
      <c r="B1108" s="2" t="s">
        <v>6053</v>
      </c>
      <c r="C1108" s="6" t="s">
        <v>83</v>
      </c>
      <c r="D1108" s="6" t="s">
        <v>2644</v>
      </c>
      <c r="E1108" s="6" t="s">
        <v>2645</v>
      </c>
      <c r="F1108" s="6" t="s">
        <v>2646</v>
      </c>
      <c r="G1108" s="6" t="s">
        <v>2648</v>
      </c>
      <c r="H1108" s="2" t="s">
        <v>88</v>
      </c>
      <c r="I1108" s="4">
        <v>0.4</v>
      </c>
      <c r="J1108" s="6">
        <v>710000000</v>
      </c>
      <c r="K1108" s="6" t="s">
        <v>89</v>
      </c>
      <c r="L1108" s="2" t="s">
        <v>754</v>
      </c>
      <c r="M1108" s="6" t="s">
        <v>682</v>
      </c>
      <c r="N1108" s="6" t="s">
        <v>92</v>
      </c>
      <c r="O1108" s="6" t="s">
        <v>93</v>
      </c>
      <c r="P1108" s="3" t="s">
        <v>94</v>
      </c>
      <c r="Q1108" s="6">
        <v>796</v>
      </c>
      <c r="R1108" s="6" t="s">
        <v>118</v>
      </c>
      <c r="S1108" s="9">
        <v>22</v>
      </c>
      <c r="T1108" s="9">
        <v>1965</v>
      </c>
      <c r="U1108" s="9">
        <v>0</v>
      </c>
      <c r="V1108" s="9">
        <f t="shared" si="737"/>
        <v>0</v>
      </c>
      <c r="W1108" s="7" t="s">
        <v>97</v>
      </c>
      <c r="X1108" s="2">
        <v>2016</v>
      </c>
      <c r="Y1108" s="9" t="s">
        <v>7793</v>
      </c>
    </row>
    <row r="1109" spans="1:25" s="36" customFormat="1" ht="89.25" customHeight="1" outlineLevel="1" x14ac:dyDescent="0.25">
      <c r="A1109" s="1"/>
      <c r="B1109" s="2" t="s">
        <v>7947</v>
      </c>
      <c r="C1109" s="6" t="s">
        <v>83</v>
      </c>
      <c r="D1109" s="6" t="s">
        <v>2644</v>
      </c>
      <c r="E1109" s="6" t="s">
        <v>2645</v>
      </c>
      <c r="F1109" s="6" t="s">
        <v>2646</v>
      </c>
      <c r="G1109" s="6" t="s">
        <v>2648</v>
      </c>
      <c r="H1109" s="2" t="s">
        <v>88</v>
      </c>
      <c r="I1109" s="4">
        <v>0</v>
      </c>
      <c r="J1109" s="6">
        <v>710000000</v>
      </c>
      <c r="K1109" s="6" t="s">
        <v>89</v>
      </c>
      <c r="L1109" s="2" t="s">
        <v>754</v>
      </c>
      <c r="M1109" s="6" t="s">
        <v>682</v>
      </c>
      <c r="N1109" s="6" t="s">
        <v>92</v>
      </c>
      <c r="O1109" s="6" t="s">
        <v>93</v>
      </c>
      <c r="P1109" s="3" t="s">
        <v>673</v>
      </c>
      <c r="Q1109" s="6">
        <v>796</v>
      </c>
      <c r="R1109" s="6" t="s">
        <v>118</v>
      </c>
      <c r="S1109" s="9">
        <v>22</v>
      </c>
      <c r="T1109" s="9">
        <v>1965</v>
      </c>
      <c r="U1109" s="9">
        <f t="shared" ref="U1109" si="750">T1109*S1109</f>
        <v>43230</v>
      </c>
      <c r="V1109" s="9">
        <f t="shared" ref="V1109" si="751">U1109*1.12</f>
        <v>48417.600000000006</v>
      </c>
      <c r="W1109" s="7"/>
      <c r="X1109" s="2">
        <v>2016</v>
      </c>
      <c r="Y1109" s="9"/>
    </row>
    <row r="1110" spans="1:25" s="36" customFormat="1" ht="89.25" customHeight="1" outlineLevel="1" x14ac:dyDescent="0.2">
      <c r="A1110" s="25"/>
      <c r="B1110" s="2" t="s">
        <v>6054</v>
      </c>
      <c r="C1110" s="6" t="s">
        <v>83</v>
      </c>
      <c r="D1110" s="6" t="s">
        <v>2644</v>
      </c>
      <c r="E1110" s="6" t="s">
        <v>2645</v>
      </c>
      <c r="F1110" s="6" t="s">
        <v>2646</v>
      </c>
      <c r="G1110" s="6" t="s">
        <v>2649</v>
      </c>
      <c r="H1110" s="2" t="s">
        <v>88</v>
      </c>
      <c r="I1110" s="4">
        <v>0.4</v>
      </c>
      <c r="J1110" s="6">
        <v>710000000</v>
      </c>
      <c r="K1110" s="6" t="s">
        <v>89</v>
      </c>
      <c r="L1110" s="2" t="s">
        <v>754</v>
      </c>
      <c r="M1110" s="6" t="s">
        <v>682</v>
      </c>
      <c r="N1110" s="6" t="s">
        <v>92</v>
      </c>
      <c r="O1110" s="6" t="s">
        <v>93</v>
      </c>
      <c r="P1110" s="3" t="s">
        <v>94</v>
      </c>
      <c r="Q1110" s="6">
        <v>796</v>
      </c>
      <c r="R1110" s="6" t="s">
        <v>118</v>
      </c>
      <c r="S1110" s="9">
        <v>22</v>
      </c>
      <c r="T1110" s="9">
        <v>1965</v>
      </c>
      <c r="U1110" s="9">
        <v>0</v>
      </c>
      <c r="V1110" s="9">
        <f t="shared" si="737"/>
        <v>0</v>
      </c>
      <c r="W1110" s="7" t="s">
        <v>97</v>
      </c>
      <c r="X1110" s="2">
        <v>2016</v>
      </c>
      <c r="Y1110" s="9" t="s">
        <v>7793</v>
      </c>
    </row>
    <row r="1111" spans="1:25" s="36" customFormat="1" ht="89.25" customHeight="1" outlineLevel="1" x14ac:dyDescent="0.25">
      <c r="A1111" s="1"/>
      <c r="B1111" s="2" t="s">
        <v>7948</v>
      </c>
      <c r="C1111" s="6" t="s">
        <v>83</v>
      </c>
      <c r="D1111" s="6" t="s">
        <v>2644</v>
      </c>
      <c r="E1111" s="6" t="s">
        <v>2645</v>
      </c>
      <c r="F1111" s="6" t="s">
        <v>2646</v>
      </c>
      <c r="G1111" s="6" t="s">
        <v>2649</v>
      </c>
      <c r="H1111" s="2" t="s">
        <v>88</v>
      </c>
      <c r="I1111" s="4">
        <v>0</v>
      </c>
      <c r="J1111" s="6">
        <v>710000000</v>
      </c>
      <c r="K1111" s="6" t="s">
        <v>89</v>
      </c>
      <c r="L1111" s="2" t="s">
        <v>754</v>
      </c>
      <c r="M1111" s="6" t="s">
        <v>682</v>
      </c>
      <c r="N1111" s="6" t="s">
        <v>92</v>
      </c>
      <c r="O1111" s="6" t="s">
        <v>93</v>
      </c>
      <c r="P1111" s="3" t="s">
        <v>673</v>
      </c>
      <c r="Q1111" s="6">
        <v>796</v>
      </c>
      <c r="R1111" s="6" t="s">
        <v>118</v>
      </c>
      <c r="S1111" s="9">
        <v>22</v>
      </c>
      <c r="T1111" s="9">
        <v>1965</v>
      </c>
      <c r="U1111" s="9">
        <f t="shared" ref="U1111" si="752">T1111*S1111</f>
        <v>43230</v>
      </c>
      <c r="V1111" s="9">
        <f t="shared" ref="V1111" si="753">U1111*1.12</f>
        <v>48417.600000000006</v>
      </c>
      <c r="W1111" s="7"/>
      <c r="X1111" s="2">
        <v>2016</v>
      </c>
      <c r="Y1111" s="9"/>
    </row>
    <row r="1112" spans="1:25" s="36" customFormat="1" ht="89.25" customHeight="1" outlineLevel="1" x14ac:dyDescent="0.2">
      <c r="A1112" s="25"/>
      <c r="B1112" s="2" t="s">
        <v>6055</v>
      </c>
      <c r="C1112" s="6" t="s">
        <v>83</v>
      </c>
      <c r="D1112" s="6" t="s">
        <v>2644</v>
      </c>
      <c r="E1112" s="6" t="s">
        <v>2645</v>
      </c>
      <c r="F1112" s="6" t="s">
        <v>2646</v>
      </c>
      <c r="G1112" s="6" t="s">
        <v>2650</v>
      </c>
      <c r="H1112" s="2" t="s">
        <v>88</v>
      </c>
      <c r="I1112" s="4">
        <v>0.4</v>
      </c>
      <c r="J1112" s="6">
        <v>710000000</v>
      </c>
      <c r="K1112" s="6" t="s">
        <v>89</v>
      </c>
      <c r="L1112" s="2" t="s">
        <v>754</v>
      </c>
      <c r="M1112" s="6" t="s">
        <v>682</v>
      </c>
      <c r="N1112" s="6" t="s">
        <v>92</v>
      </c>
      <c r="O1112" s="6" t="s">
        <v>93</v>
      </c>
      <c r="P1112" s="3" t="s">
        <v>94</v>
      </c>
      <c r="Q1112" s="6">
        <v>796</v>
      </c>
      <c r="R1112" s="6" t="s">
        <v>118</v>
      </c>
      <c r="S1112" s="9">
        <v>22</v>
      </c>
      <c r="T1112" s="9">
        <v>1965</v>
      </c>
      <c r="U1112" s="9">
        <v>0</v>
      </c>
      <c r="V1112" s="9">
        <f t="shared" si="737"/>
        <v>0</v>
      </c>
      <c r="W1112" s="7" t="s">
        <v>97</v>
      </c>
      <c r="X1112" s="2">
        <v>2016</v>
      </c>
      <c r="Y1112" s="9" t="s">
        <v>7793</v>
      </c>
    </row>
    <row r="1113" spans="1:25" s="36" customFormat="1" ht="89.25" customHeight="1" outlineLevel="1" x14ac:dyDescent="0.25">
      <c r="A1113" s="1"/>
      <c r="B1113" s="2" t="s">
        <v>7949</v>
      </c>
      <c r="C1113" s="6" t="s">
        <v>83</v>
      </c>
      <c r="D1113" s="6" t="s">
        <v>2644</v>
      </c>
      <c r="E1113" s="6" t="s">
        <v>2645</v>
      </c>
      <c r="F1113" s="6" t="s">
        <v>2646</v>
      </c>
      <c r="G1113" s="6" t="s">
        <v>2650</v>
      </c>
      <c r="H1113" s="2" t="s">
        <v>88</v>
      </c>
      <c r="I1113" s="4">
        <v>0</v>
      </c>
      <c r="J1113" s="6">
        <v>710000000</v>
      </c>
      <c r="K1113" s="6" t="s">
        <v>89</v>
      </c>
      <c r="L1113" s="2" t="s">
        <v>754</v>
      </c>
      <c r="M1113" s="6" t="s">
        <v>682</v>
      </c>
      <c r="N1113" s="6" t="s">
        <v>92</v>
      </c>
      <c r="O1113" s="6" t="s">
        <v>93</v>
      </c>
      <c r="P1113" s="3" t="s">
        <v>673</v>
      </c>
      <c r="Q1113" s="6">
        <v>796</v>
      </c>
      <c r="R1113" s="6" t="s">
        <v>118</v>
      </c>
      <c r="S1113" s="9">
        <v>22</v>
      </c>
      <c r="T1113" s="9">
        <v>1965</v>
      </c>
      <c r="U1113" s="9">
        <f t="shared" ref="U1113" si="754">T1113*S1113</f>
        <v>43230</v>
      </c>
      <c r="V1113" s="9">
        <f t="shared" ref="V1113" si="755">U1113*1.12</f>
        <v>48417.600000000006</v>
      </c>
      <c r="W1113" s="7"/>
      <c r="X1113" s="2">
        <v>2016</v>
      </c>
      <c r="Y1113" s="9"/>
    </row>
    <row r="1114" spans="1:25" s="36" customFormat="1" ht="89.25" customHeight="1" outlineLevel="1" x14ac:dyDescent="0.2">
      <c r="A1114" s="25"/>
      <c r="B1114" s="2" t="s">
        <v>6056</v>
      </c>
      <c r="C1114" s="3" t="s">
        <v>83</v>
      </c>
      <c r="D1114" s="19" t="s">
        <v>2396</v>
      </c>
      <c r="E1114" s="19" t="s">
        <v>2397</v>
      </c>
      <c r="F1114" s="19" t="s">
        <v>2398</v>
      </c>
      <c r="G1114" s="19" t="s">
        <v>2667</v>
      </c>
      <c r="H1114" s="2" t="s">
        <v>88</v>
      </c>
      <c r="I1114" s="4">
        <v>0.4</v>
      </c>
      <c r="J1114" s="5">
        <v>710000000</v>
      </c>
      <c r="K1114" s="5" t="s">
        <v>89</v>
      </c>
      <c r="L1114" s="2" t="s">
        <v>754</v>
      </c>
      <c r="M1114" s="6" t="s">
        <v>682</v>
      </c>
      <c r="N1114" s="7" t="s">
        <v>92</v>
      </c>
      <c r="O1114" s="7" t="s">
        <v>93</v>
      </c>
      <c r="P1114" s="3" t="s">
        <v>94</v>
      </c>
      <c r="Q1114" s="3">
        <v>796</v>
      </c>
      <c r="R1114" s="3" t="s">
        <v>118</v>
      </c>
      <c r="S1114" s="9">
        <v>340</v>
      </c>
      <c r="T1114" s="9">
        <v>374</v>
      </c>
      <c r="U1114" s="9">
        <v>0</v>
      </c>
      <c r="V1114" s="9">
        <f t="shared" si="737"/>
        <v>0</v>
      </c>
      <c r="W1114" s="7" t="s">
        <v>97</v>
      </c>
      <c r="X1114" s="2">
        <v>2016</v>
      </c>
      <c r="Y1114" s="2" t="s">
        <v>7793</v>
      </c>
    </row>
    <row r="1115" spans="1:25" s="36" customFormat="1" ht="89.25" customHeight="1" outlineLevel="1" x14ac:dyDescent="0.25">
      <c r="A1115" s="1"/>
      <c r="B1115" s="2" t="s">
        <v>7950</v>
      </c>
      <c r="C1115" s="3" t="s">
        <v>83</v>
      </c>
      <c r="D1115" s="19" t="s">
        <v>2396</v>
      </c>
      <c r="E1115" s="19" t="s">
        <v>2397</v>
      </c>
      <c r="F1115" s="19" t="s">
        <v>2398</v>
      </c>
      <c r="G1115" s="19" t="s">
        <v>2667</v>
      </c>
      <c r="H1115" s="2" t="s">
        <v>88</v>
      </c>
      <c r="I1115" s="4">
        <v>0</v>
      </c>
      <c r="J1115" s="5">
        <v>710000000</v>
      </c>
      <c r="K1115" s="5" t="s">
        <v>89</v>
      </c>
      <c r="L1115" s="2" t="s">
        <v>754</v>
      </c>
      <c r="M1115" s="6" t="s">
        <v>682</v>
      </c>
      <c r="N1115" s="7" t="s">
        <v>92</v>
      </c>
      <c r="O1115" s="7" t="s">
        <v>93</v>
      </c>
      <c r="P1115" s="3" t="s">
        <v>673</v>
      </c>
      <c r="Q1115" s="3">
        <v>796</v>
      </c>
      <c r="R1115" s="3" t="s">
        <v>118</v>
      </c>
      <c r="S1115" s="9">
        <v>340</v>
      </c>
      <c r="T1115" s="9">
        <v>374</v>
      </c>
      <c r="U1115" s="9">
        <f t="shared" ref="U1115" si="756">T1115*S1115</f>
        <v>127160</v>
      </c>
      <c r="V1115" s="9">
        <f t="shared" ref="V1115" si="757">U1115*1.12</f>
        <v>142419.20000000001</v>
      </c>
      <c r="W1115" s="7"/>
      <c r="X1115" s="2">
        <v>2016</v>
      </c>
      <c r="Y1115" s="2"/>
    </row>
    <row r="1116" spans="1:25" s="11" customFormat="1" ht="89.25" customHeight="1" outlineLevel="1" x14ac:dyDescent="0.2">
      <c r="A1116" s="25"/>
      <c r="B1116" s="2" t="s">
        <v>6057</v>
      </c>
      <c r="C1116" s="3" t="s">
        <v>83</v>
      </c>
      <c r="D1116" s="19" t="s">
        <v>2655</v>
      </c>
      <c r="E1116" s="19" t="s">
        <v>2374</v>
      </c>
      <c r="F1116" s="19" t="s">
        <v>2385</v>
      </c>
      <c r="G1116" s="19" t="s">
        <v>2656</v>
      </c>
      <c r="H1116" s="2" t="s">
        <v>88</v>
      </c>
      <c r="I1116" s="4">
        <v>0.4</v>
      </c>
      <c r="J1116" s="5">
        <v>710000000</v>
      </c>
      <c r="K1116" s="5" t="s">
        <v>89</v>
      </c>
      <c r="L1116" s="2" t="s">
        <v>754</v>
      </c>
      <c r="M1116" s="6" t="s">
        <v>682</v>
      </c>
      <c r="N1116" s="7" t="s">
        <v>92</v>
      </c>
      <c r="O1116" s="7" t="s">
        <v>93</v>
      </c>
      <c r="P1116" s="3" t="s">
        <v>94</v>
      </c>
      <c r="Q1116" s="3">
        <v>778</v>
      </c>
      <c r="R1116" s="3" t="s">
        <v>523</v>
      </c>
      <c r="S1116" s="9">
        <v>30</v>
      </c>
      <c r="T1116" s="9">
        <v>1100</v>
      </c>
      <c r="U1116" s="9">
        <v>0</v>
      </c>
      <c r="V1116" s="9">
        <f t="shared" si="737"/>
        <v>0</v>
      </c>
      <c r="W1116" s="7" t="s">
        <v>97</v>
      </c>
      <c r="X1116" s="2">
        <v>2016</v>
      </c>
      <c r="Y1116" s="2" t="s">
        <v>7793</v>
      </c>
    </row>
    <row r="1117" spans="1:25" s="11" customFormat="1" ht="89.25" customHeight="1" outlineLevel="1" x14ac:dyDescent="0.25">
      <c r="A1117" s="1"/>
      <c r="B1117" s="2" t="s">
        <v>7951</v>
      </c>
      <c r="C1117" s="3" t="s">
        <v>83</v>
      </c>
      <c r="D1117" s="19" t="s">
        <v>2655</v>
      </c>
      <c r="E1117" s="19" t="s">
        <v>2374</v>
      </c>
      <c r="F1117" s="19" t="s">
        <v>2385</v>
      </c>
      <c r="G1117" s="19" t="s">
        <v>2656</v>
      </c>
      <c r="H1117" s="2" t="s">
        <v>88</v>
      </c>
      <c r="I1117" s="4">
        <v>0</v>
      </c>
      <c r="J1117" s="5">
        <v>710000000</v>
      </c>
      <c r="K1117" s="5" t="s">
        <v>89</v>
      </c>
      <c r="L1117" s="2" t="s">
        <v>754</v>
      </c>
      <c r="M1117" s="6" t="s">
        <v>682</v>
      </c>
      <c r="N1117" s="7" t="s">
        <v>92</v>
      </c>
      <c r="O1117" s="7" t="s">
        <v>93</v>
      </c>
      <c r="P1117" s="3" t="s">
        <v>673</v>
      </c>
      <c r="Q1117" s="3">
        <v>778</v>
      </c>
      <c r="R1117" s="3" t="s">
        <v>523</v>
      </c>
      <c r="S1117" s="9">
        <v>30</v>
      </c>
      <c r="T1117" s="9">
        <v>1100</v>
      </c>
      <c r="U1117" s="9">
        <f t="shared" ref="U1117" si="758">T1117*S1117</f>
        <v>33000</v>
      </c>
      <c r="V1117" s="9">
        <f t="shared" ref="V1117" si="759">U1117*1.12</f>
        <v>36960</v>
      </c>
      <c r="W1117" s="7"/>
      <c r="X1117" s="2">
        <v>2016</v>
      </c>
      <c r="Y1117" s="2"/>
    </row>
    <row r="1118" spans="1:25" s="11" customFormat="1" ht="89.25" customHeight="1" outlineLevel="1" x14ac:dyDescent="0.2">
      <c r="A1118" s="25"/>
      <c r="B1118" s="2" t="s">
        <v>6058</v>
      </c>
      <c r="C1118" s="3" t="s">
        <v>83</v>
      </c>
      <c r="D1118" s="19" t="s">
        <v>2506</v>
      </c>
      <c r="E1118" s="19" t="s">
        <v>2402</v>
      </c>
      <c r="F1118" s="19" t="s">
        <v>2507</v>
      </c>
      <c r="G1118" s="19" t="s">
        <v>2657</v>
      </c>
      <c r="H1118" s="2" t="s">
        <v>88</v>
      </c>
      <c r="I1118" s="4">
        <v>0.4</v>
      </c>
      <c r="J1118" s="5">
        <v>710000000</v>
      </c>
      <c r="K1118" s="5" t="s">
        <v>89</v>
      </c>
      <c r="L1118" s="2" t="s">
        <v>754</v>
      </c>
      <c r="M1118" s="6" t="s">
        <v>682</v>
      </c>
      <c r="N1118" s="7" t="s">
        <v>92</v>
      </c>
      <c r="O1118" s="7" t="s">
        <v>93</v>
      </c>
      <c r="P1118" s="3" t="s">
        <v>94</v>
      </c>
      <c r="Q1118" s="3">
        <v>796</v>
      </c>
      <c r="R1118" s="3" t="s">
        <v>118</v>
      </c>
      <c r="S1118" s="9">
        <v>40</v>
      </c>
      <c r="T1118" s="9">
        <v>2600</v>
      </c>
      <c r="U1118" s="9">
        <v>0</v>
      </c>
      <c r="V1118" s="9">
        <f t="shared" si="737"/>
        <v>0</v>
      </c>
      <c r="W1118" s="7" t="s">
        <v>97</v>
      </c>
      <c r="X1118" s="2">
        <v>2016</v>
      </c>
      <c r="Y1118" s="2" t="s">
        <v>7793</v>
      </c>
    </row>
    <row r="1119" spans="1:25" s="11" customFormat="1" ht="89.25" customHeight="1" outlineLevel="1" x14ac:dyDescent="0.25">
      <c r="A1119" s="1"/>
      <c r="B1119" s="2" t="s">
        <v>7952</v>
      </c>
      <c r="C1119" s="3" t="s">
        <v>83</v>
      </c>
      <c r="D1119" s="19" t="s">
        <v>2506</v>
      </c>
      <c r="E1119" s="19" t="s">
        <v>2402</v>
      </c>
      <c r="F1119" s="19" t="s">
        <v>2507</v>
      </c>
      <c r="G1119" s="19" t="s">
        <v>2657</v>
      </c>
      <c r="H1119" s="2" t="s">
        <v>88</v>
      </c>
      <c r="I1119" s="4">
        <v>0</v>
      </c>
      <c r="J1119" s="5">
        <v>710000000</v>
      </c>
      <c r="K1119" s="5" t="s">
        <v>89</v>
      </c>
      <c r="L1119" s="2" t="s">
        <v>754</v>
      </c>
      <c r="M1119" s="6" t="s">
        <v>682</v>
      </c>
      <c r="N1119" s="7" t="s">
        <v>92</v>
      </c>
      <c r="O1119" s="7" t="s">
        <v>93</v>
      </c>
      <c r="P1119" s="3" t="s">
        <v>673</v>
      </c>
      <c r="Q1119" s="3">
        <v>796</v>
      </c>
      <c r="R1119" s="3" t="s">
        <v>118</v>
      </c>
      <c r="S1119" s="9">
        <v>40</v>
      </c>
      <c r="T1119" s="9">
        <v>2600</v>
      </c>
      <c r="U1119" s="9">
        <f t="shared" ref="U1119" si="760">T1119*S1119</f>
        <v>104000</v>
      </c>
      <c r="V1119" s="9">
        <f t="shared" ref="V1119" si="761">U1119*1.12</f>
        <v>116480.00000000001</v>
      </c>
      <c r="W1119" s="7"/>
      <c r="X1119" s="2">
        <v>2016</v>
      </c>
      <c r="Y1119" s="2"/>
    </row>
    <row r="1120" spans="1:25" s="11" customFormat="1" ht="89.25" customHeight="1" outlineLevel="1" x14ac:dyDescent="0.2">
      <c r="A1120" s="25"/>
      <c r="B1120" s="2" t="s">
        <v>6059</v>
      </c>
      <c r="C1120" s="3" t="s">
        <v>83</v>
      </c>
      <c r="D1120" s="19" t="s">
        <v>2408</v>
      </c>
      <c r="E1120" s="19" t="s">
        <v>2409</v>
      </c>
      <c r="F1120" s="19" t="s">
        <v>2410</v>
      </c>
      <c r="G1120" s="19" t="s">
        <v>2653</v>
      </c>
      <c r="H1120" s="2" t="s">
        <v>88</v>
      </c>
      <c r="I1120" s="4">
        <v>0.4</v>
      </c>
      <c r="J1120" s="5">
        <v>710000000</v>
      </c>
      <c r="K1120" s="5" t="s">
        <v>89</v>
      </c>
      <c r="L1120" s="2" t="s">
        <v>754</v>
      </c>
      <c r="M1120" s="6" t="s">
        <v>682</v>
      </c>
      <c r="N1120" s="7" t="s">
        <v>92</v>
      </c>
      <c r="O1120" s="7" t="s">
        <v>93</v>
      </c>
      <c r="P1120" s="3" t="s">
        <v>94</v>
      </c>
      <c r="Q1120" s="3">
        <v>736</v>
      </c>
      <c r="R1120" s="3" t="s">
        <v>2412</v>
      </c>
      <c r="S1120" s="9">
        <v>300</v>
      </c>
      <c r="T1120" s="9">
        <v>100</v>
      </c>
      <c r="U1120" s="9">
        <v>0</v>
      </c>
      <c r="V1120" s="9">
        <f t="shared" si="737"/>
        <v>0</v>
      </c>
      <c r="W1120" s="7" t="s">
        <v>97</v>
      </c>
      <c r="X1120" s="2">
        <v>2016</v>
      </c>
      <c r="Y1120" s="2" t="s">
        <v>7793</v>
      </c>
    </row>
    <row r="1121" spans="1:25" s="11" customFormat="1" ht="89.25" customHeight="1" outlineLevel="1" x14ac:dyDescent="0.25">
      <c r="A1121" s="1"/>
      <c r="B1121" s="2" t="s">
        <v>7953</v>
      </c>
      <c r="C1121" s="3" t="s">
        <v>83</v>
      </c>
      <c r="D1121" s="19" t="s">
        <v>2408</v>
      </c>
      <c r="E1121" s="19" t="s">
        <v>2409</v>
      </c>
      <c r="F1121" s="19" t="s">
        <v>2410</v>
      </c>
      <c r="G1121" s="19" t="s">
        <v>2653</v>
      </c>
      <c r="H1121" s="2" t="s">
        <v>88</v>
      </c>
      <c r="I1121" s="4">
        <v>0</v>
      </c>
      <c r="J1121" s="5">
        <v>710000000</v>
      </c>
      <c r="K1121" s="5" t="s">
        <v>89</v>
      </c>
      <c r="L1121" s="2" t="s">
        <v>754</v>
      </c>
      <c r="M1121" s="6" t="s">
        <v>682</v>
      </c>
      <c r="N1121" s="7" t="s">
        <v>92</v>
      </c>
      <c r="O1121" s="7" t="s">
        <v>93</v>
      </c>
      <c r="P1121" s="3" t="s">
        <v>673</v>
      </c>
      <c r="Q1121" s="3">
        <v>736</v>
      </c>
      <c r="R1121" s="3" t="s">
        <v>2412</v>
      </c>
      <c r="S1121" s="9">
        <v>300</v>
      </c>
      <c r="T1121" s="9">
        <v>100</v>
      </c>
      <c r="U1121" s="9">
        <f t="shared" ref="U1121" si="762">T1121*S1121</f>
        <v>30000</v>
      </c>
      <c r="V1121" s="9">
        <f t="shared" ref="V1121" si="763">U1121*1.12</f>
        <v>33600</v>
      </c>
      <c r="W1121" s="7"/>
      <c r="X1121" s="2">
        <v>2016</v>
      </c>
      <c r="Y1121" s="2"/>
    </row>
    <row r="1122" spans="1:25" s="11" customFormat="1" ht="89.25" customHeight="1" outlineLevel="1" x14ac:dyDescent="0.2">
      <c r="A1122" s="25"/>
      <c r="B1122" s="2" t="s">
        <v>6060</v>
      </c>
      <c r="C1122" s="3" t="s">
        <v>83</v>
      </c>
      <c r="D1122" s="19" t="s">
        <v>2565</v>
      </c>
      <c r="E1122" s="19" t="s">
        <v>2414</v>
      </c>
      <c r="F1122" s="19" t="s">
        <v>2566</v>
      </c>
      <c r="G1122" s="19" t="s">
        <v>2669</v>
      </c>
      <c r="H1122" s="2" t="s">
        <v>88</v>
      </c>
      <c r="I1122" s="4">
        <v>0.4</v>
      </c>
      <c r="J1122" s="5">
        <v>710000000</v>
      </c>
      <c r="K1122" s="5" t="s">
        <v>89</v>
      </c>
      <c r="L1122" s="2" t="s">
        <v>754</v>
      </c>
      <c r="M1122" s="6" t="s">
        <v>682</v>
      </c>
      <c r="N1122" s="7" t="s">
        <v>92</v>
      </c>
      <c r="O1122" s="7" t="s">
        <v>93</v>
      </c>
      <c r="P1122" s="3" t="s">
        <v>94</v>
      </c>
      <c r="Q1122" s="3">
        <v>736</v>
      </c>
      <c r="R1122" s="3" t="s">
        <v>2412</v>
      </c>
      <c r="S1122" s="9">
        <v>300</v>
      </c>
      <c r="T1122" s="9">
        <v>230</v>
      </c>
      <c r="U1122" s="9">
        <v>0</v>
      </c>
      <c r="V1122" s="9">
        <f t="shared" si="737"/>
        <v>0</v>
      </c>
      <c r="W1122" s="7" t="s">
        <v>97</v>
      </c>
      <c r="X1122" s="2">
        <v>2016</v>
      </c>
      <c r="Y1122" s="2" t="s">
        <v>7793</v>
      </c>
    </row>
    <row r="1123" spans="1:25" s="11" customFormat="1" ht="89.25" customHeight="1" outlineLevel="1" x14ac:dyDescent="0.25">
      <c r="A1123" s="1"/>
      <c r="B1123" s="2" t="s">
        <v>7954</v>
      </c>
      <c r="C1123" s="3" t="s">
        <v>83</v>
      </c>
      <c r="D1123" s="19" t="s">
        <v>2565</v>
      </c>
      <c r="E1123" s="19" t="s">
        <v>2414</v>
      </c>
      <c r="F1123" s="19" t="s">
        <v>2566</v>
      </c>
      <c r="G1123" s="19" t="s">
        <v>2669</v>
      </c>
      <c r="H1123" s="2" t="s">
        <v>88</v>
      </c>
      <c r="I1123" s="4">
        <v>0</v>
      </c>
      <c r="J1123" s="5">
        <v>710000000</v>
      </c>
      <c r="K1123" s="5" t="s">
        <v>89</v>
      </c>
      <c r="L1123" s="2" t="s">
        <v>754</v>
      </c>
      <c r="M1123" s="6" t="s">
        <v>682</v>
      </c>
      <c r="N1123" s="7" t="s">
        <v>92</v>
      </c>
      <c r="O1123" s="7" t="s">
        <v>93</v>
      </c>
      <c r="P1123" s="3" t="s">
        <v>673</v>
      </c>
      <c r="Q1123" s="3">
        <v>736</v>
      </c>
      <c r="R1123" s="3" t="s">
        <v>2412</v>
      </c>
      <c r="S1123" s="9">
        <v>300</v>
      </c>
      <c r="T1123" s="9">
        <v>230</v>
      </c>
      <c r="U1123" s="9">
        <f t="shared" ref="U1123" si="764">T1123*S1123</f>
        <v>69000</v>
      </c>
      <c r="V1123" s="9">
        <f t="shared" ref="V1123" si="765">U1123*1.12</f>
        <v>77280.000000000015</v>
      </c>
      <c r="W1123" s="7"/>
      <c r="X1123" s="2">
        <v>2016</v>
      </c>
      <c r="Y1123" s="2"/>
    </row>
    <row r="1124" spans="1:25" s="11" customFormat="1" ht="89.25" customHeight="1" outlineLevel="1" x14ac:dyDescent="0.2">
      <c r="A1124" s="25"/>
      <c r="B1124" s="2" t="s">
        <v>6061</v>
      </c>
      <c r="C1124" s="51" t="s">
        <v>83</v>
      </c>
      <c r="D1124" s="54" t="s">
        <v>2429</v>
      </c>
      <c r="E1124" s="54" t="s">
        <v>2430</v>
      </c>
      <c r="F1124" s="54" t="s">
        <v>2431</v>
      </c>
      <c r="G1124" s="55" t="s">
        <v>2651</v>
      </c>
      <c r="H1124" s="2" t="s">
        <v>88</v>
      </c>
      <c r="I1124" s="4">
        <v>0.4</v>
      </c>
      <c r="J1124" s="54">
        <v>710000000</v>
      </c>
      <c r="K1124" s="54" t="s">
        <v>89</v>
      </c>
      <c r="L1124" s="2" t="s">
        <v>754</v>
      </c>
      <c r="M1124" s="6" t="s">
        <v>682</v>
      </c>
      <c r="N1124" s="53" t="s">
        <v>92</v>
      </c>
      <c r="O1124" s="53" t="s">
        <v>93</v>
      </c>
      <c r="P1124" s="3" t="s">
        <v>94</v>
      </c>
      <c r="Q1124" s="56" t="s">
        <v>2433</v>
      </c>
      <c r="R1124" s="51" t="s">
        <v>2434</v>
      </c>
      <c r="S1124" s="52">
        <v>792</v>
      </c>
      <c r="T1124" s="52">
        <v>204</v>
      </c>
      <c r="U1124" s="52">
        <v>0</v>
      </c>
      <c r="V1124" s="52">
        <f t="shared" si="737"/>
        <v>0</v>
      </c>
      <c r="W1124" s="7" t="s">
        <v>97</v>
      </c>
      <c r="X1124" s="2">
        <v>2016</v>
      </c>
      <c r="Y1124" s="50" t="s">
        <v>7793</v>
      </c>
    </row>
    <row r="1125" spans="1:25" s="11" customFormat="1" ht="89.25" customHeight="1" outlineLevel="1" x14ac:dyDescent="0.25">
      <c r="A1125" s="1"/>
      <c r="B1125" s="2" t="s">
        <v>7955</v>
      </c>
      <c r="C1125" s="51" t="s">
        <v>83</v>
      </c>
      <c r="D1125" s="54" t="s">
        <v>2429</v>
      </c>
      <c r="E1125" s="54" t="s">
        <v>2430</v>
      </c>
      <c r="F1125" s="54" t="s">
        <v>2431</v>
      </c>
      <c r="G1125" s="55" t="s">
        <v>2651</v>
      </c>
      <c r="H1125" s="2" t="s">
        <v>88</v>
      </c>
      <c r="I1125" s="4">
        <v>0</v>
      </c>
      <c r="J1125" s="54">
        <v>710000000</v>
      </c>
      <c r="K1125" s="54" t="s">
        <v>89</v>
      </c>
      <c r="L1125" s="2" t="s">
        <v>754</v>
      </c>
      <c r="M1125" s="6" t="s">
        <v>682</v>
      </c>
      <c r="N1125" s="53" t="s">
        <v>92</v>
      </c>
      <c r="O1125" s="53" t="s">
        <v>93</v>
      </c>
      <c r="P1125" s="3" t="s">
        <v>673</v>
      </c>
      <c r="Q1125" s="56" t="s">
        <v>2433</v>
      </c>
      <c r="R1125" s="51" t="s">
        <v>2434</v>
      </c>
      <c r="S1125" s="52">
        <v>792</v>
      </c>
      <c r="T1125" s="52">
        <v>204</v>
      </c>
      <c r="U1125" s="52">
        <f t="shared" ref="U1125" si="766">T1125*S1125</f>
        <v>161568</v>
      </c>
      <c r="V1125" s="52">
        <f t="shared" ref="V1125" si="767">U1125*1.12</f>
        <v>180956.16</v>
      </c>
      <c r="W1125" s="7"/>
      <c r="X1125" s="2">
        <v>2016</v>
      </c>
      <c r="Y1125" s="50"/>
    </row>
    <row r="1126" spans="1:25" s="11" customFormat="1" ht="89.25" customHeight="1" outlineLevel="1" x14ac:dyDescent="0.2">
      <c r="A1126" s="25"/>
      <c r="B1126" s="2" t="s">
        <v>6062</v>
      </c>
      <c r="C1126" s="3" t="s">
        <v>83</v>
      </c>
      <c r="D1126" s="19" t="s">
        <v>2670</v>
      </c>
      <c r="E1126" s="19" t="s">
        <v>2660</v>
      </c>
      <c r="F1126" s="19" t="s">
        <v>2661</v>
      </c>
      <c r="G1126" s="19" t="s">
        <v>2671</v>
      </c>
      <c r="H1126" s="2" t="s">
        <v>88</v>
      </c>
      <c r="I1126" s="4">
        <v>0.4</v>
      </c>
      <c r="J1126" s="5">
        <v>710000000</v>
      </c>
      <c r="K1126" s="5" t="s">
        <v>89</v>
      </c>
      <c r="L1126" s="2" t="s">
        <v>754</v>
      </c>
      <c r="M1126" s="6" t="s">
        <v>682</v>
      </c>
      <c r="N1126" s="7" t="s">
        <v>92</v>
      </c>
      <c r="O1126" s="7" t="s">
        <v>93</v>
      </c>
      <c r="P1126" s="3" t="s">
        <v>94</v>
      </c>
      <c r="Q1126" s="3">
        <v>778</v>
      </c>
      <c r="R1126" s="3" t="s">
        <v>523</v>
      </c>
      <c r="S1126" s="9">
        <v>2000</v>
      </c>
      <c r="T1126" s="9">
        <v>193.48</v>
      </c>
      <c r="U1126" s="9">
        <v>0</v>
      </c>
      <c r="V1126" s="9">
        <f t="shared" si="737"/>
        <v>0</v>
      </c>
      <c r="W1126" s="7" t="s">
        <v>97</v>
      </c>
      <c r="X1126" s="2">
        <v>2016</v>
      </c>
      <c r="Y1126" s="2" t="s">
        <v>7793</v>
      </c>
    </row>
    <row r="1127" spans="1:25" s="11" customFormat="1" ht="89.25" customHeight="1" outlineLevel="1" x14ac:dyDescent="0.25">
      <c r="A1127" s="1"/>
      <c r="B1127" s="2" t="s">
        <v>7956</v>
      </c>
      <c r="C1127" s="3" t="s">
        <v>83</v>
      </c>
      <c r="D1127" s="19" t="s">
        <v>2670</v>
      </c>
      <c r="E1127" s="19" t="s">
        <v>2660</v>
      </c>
      <c r="F1127" s="19" t="s">
        <v>2661</v>
      </c>
      <c r="G1127" s="19" t="s">
        <v>2671</v>
      </c>
      <c r="H1127" s="2" t="s">
        <v>88</v>
      </c>
      <c r="I1127" s="4">
        <v>0</v>
      </c>
      <c r="J1127" s="5">
        <v>710000000</v>
      </c>
      <c r="K1127" s="5" t="s">
        <v>89</v>
      </c>
      <c r="L1127" s="2" t="s">
        <v>754</v>
      </c>
      <c r="M1127" s="6" t="s">
        <v>682</v>
      </c>
      <c r="N1127" s="7" t="s">
        <v>92</v>
      </c>
      <c r="O1127" s="7" t="s">
        <v>93</v>
      </c>
      <c r="P1127" s="3" t="s">
        <v>673</v>
      </c>
      <c r="Q1127" s="3">
        <v>778</v>
      </c>
      <c r="R1127" s="3" t="s">
        <v>523</v>
      </c>
      <c r="S1127" s="9">
        <v>2000</v>
      </c>
      <c r="T1127" s="9">
        <v>193.48</v>
      </c>
      <c r="U1127" s="9">
        <f t="shared" ref="U1127" si="768">T1127*S1127</f>
        <v>386960</v>
      </c>
      <c r="V1127" s="9">
        <f t="shared" ref="V1127" si="769">U1127*1.12</f>
        <v>433395.20000000007</v>
      </c>
      <c r="W1127" s="7"/>
      <c r="X1127" s="2">
        <v>2016</v>
      </c>
      <c r="Y1127" s="2"/>
    </row>
    <row r="1128" spans="1:25" s="11" customFormat="1" ht="89.25" customHeight="1" outlineLevel="1" x14ac:dyDescent="0.2">
      <c r="A1128" s="25"/>
      <c r="B1128" s="2" t="s">
        <v>6063</v>
      </c>
      <c r="C1128" s="3" t="s">
        <v>83</v>
      </c>
      <c r="D1128" s="19" t="s">
        <v>2672</v>
      </c>
      <c r="E1128" s="19" t="s">
        <v>2673</v>
      </c>
      <c r="F1128" s="19" t="s">
        <v>2674</v>
      </c>
      <c r="G1128" s="19" t="s">
        <v>2675</v>
      </c>
      <c r="H1128" s="2" t="s">
        <v>88</v>
      </c>
      <c r="I1128" s="4">
        <v>0.4</v>
      </c>
      <c r="J1128" s="5">
        <v>710000000</v>
      </c>
      <c r="K1128" s="5" t="s">
        <v>89</v>
      </c>
      <c r="L1128" s="2" t="s">
        <v>754</v>
      </c>
      <c r="M1128" s="6" t="s">
        <v>682</v>
      </c>
      <c r="N1128" s="7" t="s">
        <v>92</v>
      </c>
      <c r="O1128" s="7" t="s">
        <v>93</v>
      </c>
      <c r="P1128" s="3" t="s">
        <v>94</v>
      </c>
      <c r="Q1128" s="3">
        <v>778</v>
      </c>
      <c r="R1128" s="3" t="s">
        <v>523</v>
      </c>
      <c r="S1128" s="9">
        <v>500</v>
      </c>
      <c r="T1128" s="9">
        <v>212.5</v>
      </c>
      <c r="U1128" s="9">
        <v>0</v>
      </c>
      <c r="V1128" s="9">
        <f t="shared" si="737"/>
        <v>0</v>
      </c>
      <c r="W1128" s="7" t="s">
        <v>97</v>
      </c>
      <c r="X1128" s="2">
        <v>2016</v>
      </c>
      <c r="Y1128" s="2" t="s">
        <v>7793</v>
      </c>
    </row>
    <row r="1129" spans="1:25" s="11" customFormat="1" ht="89.25" customHeight="1" outlineLevel="1" x14ac:dyDescent="0.25">
      <c r="A1129" s="1"/>
      <c r="B1129" s="2" t="s">
        <v>7957</v>
      </c>
      <c r="C1129" s="3" t="s">
        <v>83</v>
      </c>
      <c r="D1129" s="19" t="s">
        <v>2672</v>
      </c>
      <c r="E1129" s="19" t="s">
        <v>2673</v>
      </c>
      <c r="F1129" s="19" t="s">
        <v>2674</v>
      </c>
      <c r="G1129" s="19" t="s">
        <v>2675</v>
      </c>
      <c r="H1129" s="2" t="s">
        <v>88</v>
      </c>
      <c r="I1129" s="4">
        <v>0</v>
      </c>
      <c r="J1129" s="5">
        <v>710000000</v>
      </c>
      <c r="K1129" s="5" t="s">
        <v>89</v>
      </c>
      <c r="L1129" s="2" t="s">
        <v>754</v>
      </c>
      <c r="M1129" s="6" t="s">
        <v>682</v>
      </c>
      <c r="N1129" s="7" t="s">
        <v>92</v>
      </c>
      <c r="O1129" s="7" t="s">
        <v>93</v>
      </c>
      <c r="P1129" s="3" t="s">
        <v>673</v>
      </c>
      <c r="Q1129" s="3">
        <v>778</v>
      </c>
      <c r="R1129" s="3" t="s">
        <v>523</v>
      </c>
      <c r="S1129" s="9">
        <v>500</v>
      </c>
      <c r="T1129" s="9">
        <v>212.5</v>
      </c>
      <c r="U1129" s="9">
        <f t="shared" ref="U1129" si="770">T1129*S1129</f>
        <v>106250</v>
      </c>
      <c r="V1129" s="9">
        <f t="shared" ref="V1129" si="771">U1129*1.12</f>
        <v>119000.00000000001</v>
      </c>
      <c r="W1129" s="7"/>
      <c r="X1129" s="2">
        <v>2016</v>
      </c>
      <c r="Y1129" s="2"/>
    </row>
    <row r="1130" spans="1:25" s="11" customFormat="1" ht="89.25" customHeight="1" outlineLevel="1" x14ac:dyDescent="0.2">
      <c r="A1130" s="25"/>
      <c r="B1130" s="2" t="s">
        <v>6064</v>
      </c>
      <c r="C1130" s="3" t="s">
        <v>83</v>
      </c>
      <c r="D1130" s="19" t="s">
        <v>2672</v>
      </c>
      <c r="E1130" s="19" t="s">
        <v>2673</v>
      </c>
      <c r="F1130" s="19" t="s">
        <v>2674</v>
      </c>
      <c r="G1130" s="19" t="s">
        <v>2676</v>
      </c>
      <c r="H1130" s="2" t="s">
        <v>88</v>
      </c>
      <c r="I1130" s="4">
        <v>0.4</v>
      </c>
      <c r="J1130" s="5">
        <v>710000000</v>
      </c>
      <c r="K1130" s="5" t="s">
        <v>89</v>
      </c>
      <c r="L1130" s="2" t="s">
        <v>754</v>
      </c>
      <c r="M1130" s="6" t="s">
        <v>682</v>
      </c>
      <c r="N1130" s="7" t="s">
        <v>92</v>
      </c>
      <c r="O1130" s="7" t="s">
        <v>93</v>
      </c>
      <c r="P1130" s="3" t="s">
        <v>94</v>
      </c>
      <c r="Q1130" s="3">
        <v>778</v>
      </c>
      <c r="R1130" s="3" t="s">
        <v>523</v>
      </c>
      <c r="S1130" s="9">
        <v>200</v>
      </c>
      <c r="T1130" s="9">
        <v>429</v>
      </c>
      <c r="U1130" s="9">
        <v>0</v>
      </c>
      <c r="V1130" s="9">
        <f t="shared" si="737"/>
        <v>0</v>
      </c>
      <c r="W1130" s="7" t="s">
        <v>97</v>
      </c>
      <c r="X1130" s="2">
        <v>2016</v>
      </c>
      <c r="Y1130" s="2" t="s">
        <v>7793</v>
      </c>
    </row>
    <row r="1131" spans="1:25" s="11" customFormat="1" ht="89.25" customHeight="1" outlineLevel="1" x14ac:dyDescent="0.25">
      <c r="A1131" s="1"/>
      <c r="B1131" s="2" t="s">
        <v>7958</v>
      </c>
      <c r="C1131" s="3" t="s">
        <v>83</v>
      </c>
      <c r="D1131" s="19" t="s">
        <v>2672</v>
      </c>
      <c r="E1131" s="19" t="s">
        <v>2673</v>
      </c>
      <c r="F1131" s="19" t="s">
        <v>2674</v>
      </c>
      <c r="G1131" s="19" t="s">
        <v>2676</v>
      </c>
      <c r="H1131" s="2" t="s">
        <v>88</v>
      </c>
      <c r="I1131" s="4">
        <v>0</v>
      </c>
      <c r="J1131" s="5">
        <v>710000000</v>
      </c>
      <c r="K1131" s="5" t="s">
        <v>89</v>
      </c>
      <c r="L1131" s="2" t="s">
        <v>754</v>
      </c>
      <c r="M1131" s="6" t="s">
        <v>682</v>
      </c>
      <c r="N1131" s="7" t="s">
        <v>92</v>
      </c>
      <c r="O1131" s="7" t="s">
        <v>93</v>
      </c>
      <c r="P1131" s="3" t="s">
        <v>673</v>
      </c>
      <c r="Q1131" s="3">
        <v>778</v>
      </c>
      <c r="R1131" s="3" t="s">
        <v>523</v>
      </c>
      <c r="S1131" s="9">
        <v>200</v>
      </c>
      <c r="T1131" s="9">
        <v>429</v>
      </c>
      <c r="U1131" s="9">
        <f t="shared" ref="U1131" si="772">T1131*S1131</f>
        <v>85800</v>
      </c>
      <c r="V1131" s="9">
        <f t="shared" ref="V1131" si="773">U1131*1.12</f>
        <v>96096.000000000015</v>
      </c>
      <c r="W1131" s="7"/>
      <c r="X1131" s="2">
        <v>2016</v>
      </c>
      <c r="Y1131" s="2"/>
    </row>
    <row r="1132" spans="1:25" s="11" customFormat="1" ht="89.25" customHeight="1" outlineLevel="1" x14ac:dyDescent="0.2">
      <c r="A1132" s="25"/>
      <c r="B1132" s="2" t="s">
        <v>6065</v>
      </c>
      <c r="C1132" s="3" t="s">
        <v>83</v>
      </c>
      <c r="D1132" s="19" t="s">
        <v>2425</v>
      </c>
      <c r="E1132" s="19" t="s">
        <v>2426</v>
      </c>
      <c r="F1132" s="19" t="s">
        <v>2427</v>
      </c>
      <c r="G1132" s="19" t="s">
        <v>2677</v>
      </c>
      <c r="H1132" s="2" t="s">
        <v>88</v>
      </c>
      <c r="I1132" s="4">
        <v>0.4</v>
      </c>
      <c r="J1132" s="5">
        <v>710000000</v>
      </c>
      <c r="K1132" s="5" t="s">
        <v>89</v>
      </c>
      <c r="L1132" s="2" t="s">
        <v>754</v>
      </c>
      <c r="M1132" s="6" t="s">
        <v>682</v>
      </c>
      <c r="N1132" s="7" t="s">
        <v>92</v>
      </c>
      <c r="O1132" s="7" t="s">
        <v>93</v>
      </c>
      <c r="P1132" s="3" t="s">
        <v>94</v>
      </c>
      <c r="Q1132" s="3">
        <v>778</v>
      </c>
      <c r="R1132" s="3" t="s">
        <v>523</v>
      </c>
      <c r="S1132" s="9">
        <v>264</v>
      </c>
      <c r="T1132" s="9">
        <v>475</v>
      </c>
      <c r="U1132" s="9">
        <v>0</v>
      </c>
      <c r="V1132" s="9">
        <f t="shared" si="737"/>
        <v>0</v>
      </c>
      <c r="W1132" s="7" t="s">
        <v>97</v>
      </c>
      <c r="X1132" s="2">
        <v>2016</v>
      </c>
      <c r="Y1132" s="2" t="s">
        <v>7793</v>
      </c>
    </row>
    <row r="1133" spans="1:25" s="11" customFormat="1" ht="89.25" customHeight="1" outlineLevel="1" x14ac:dyDescent="0.25">
      <c r="A1133" s="1"/>
      <c r="B1133" s="2" t="s">
        <v>7959</v>
      </c>
      <c r="C1133" s="3" t="s">
        <v>83</v>
      </c>
      <c r="D1133" s="19" t="s">
        <v>2425</v>
      </c>
      <c r="E1133" s="19" t="s">
        <v>2426</v>
      </c>
      <c r="F1133" s="19" t="s">
        <v>2427</v>
      </c>
      <c r="G1133" s="19" t="s">
        <v>2677</v>
      </c>
      <c r="H1133" s="2" t="s">
        <v>88</v>
      </c>
      <c r="I1133" s="4">
        <v>0</v>
      </c>
      <c r="J1133" s="5">
        <v>710000000</v>
      </c>
      <c r="K1133" s="5" t="s">
        <v>89</v>
      </c>
      <c r="L1133" s="2" t="s">
        <v>754</v>
      </c>
      <c r="M1133" s="6" t="s">
        <v>682</v>
      </c>
      <c r="N1133" s="7" t="s">
        <v>92</v>
      </c>
      <c r="O1133" s="7" t="s">
        <v>93</v>
      </c>
      <c r="P1133" s="3" t="s">
        <v>673</v>
      </c>
      <c r="Q1133" s="3">
        <v>778</v>
      </c>
      <c r="R1133" s="3" t="s">
        <v>523</v>
      </c>
      <c r="S1133" s="9">
        <v>264</v>
      </c>
      <c r="T1133" s="9">
        <v>475</v>
      </c>
      <c r="U1133" s="9">
        <f t="shared" ref="U1133" si="774">T1133*S1133</f>
        <v>125400</v>
      </c>
      <c r="V1133" s="9">
        <f t="shared" ref="V1133" si="775">U1133*1.12</f>
        <v>140448</v>
      </c>
      <c r="W1133" s="7"/>
      <c r="X1133" s="2">
        <v>2016</v>
      </c>
      <c r="Y1133" s="2"/>
    </row>
    <row r="1134" spans="1:25" s="11" customFormat="1" ht="89.25" customHeight="1" outlineLevel="1" x14ac:dyDescent="0.2">
      <c r="A1134" s="25"/>
      <c r="B1134" s="2" t="s">
        <v>6066</v>
      </c>
      <c r="C1134" s="6" t="s">
        <v>83</v>
      </c>
      <c r="D1134" s="6" t="s">
        <v>2460</v>
      </c>
      <c r="E1134" s="6" t="s">
        <v>2455</v>
      </c>
      <c r="F1134" s="6" t="s">
        <v>2461</v>
      </c>
      <c r="G1134" s="6" t="s">
        <v>2639</v>
      </c>
      <c r="H1134" s="2" t="s">
        <v>88</v>
      </c>
      <c r="I1134" s="4">
        <v>0.4</v>
      </c>
      <c r="J1134" s="6">
        <v>710000000</v>
      </c>
      <c r="K1134" s="6" t="s">
        <v>89</v>
      </c>
      <c r="L1134" s="2" t="s">
        <v>754</v>
      </c>
      <c r="M1134" s="6" t="s">
        <v>682</v>
      </c>
      <c r="N1134" s="6" t="s">
        <v>92</v>
      </c>
      <c r="O1134" s="6" t="s">
        <v>93</v>
      </c>
      <c r="P1134" s="3" t="s">
        <v>94</v>
      </c>
      <c r="Q1134" s="6">
        <v>715</v>
      </c>
      <c r="R1134" s="6" t="s">
        <v>2459</v>
      </c>
      <c r="S1134" s="9">
        <v>528</v>
      </c>
      <c r="T1134" s="9">
        <v>197</v>
      </c>
      <c r="U1134" s="9">
        <v>0</v>
      </c>
      <c r="V1134" s="9">
        <f t="shared" si="737"/>
        <v>0</v>
      </c>
      <c r="W1134" s="7" t="s">
        <v>97</v>
      </c>
      <c r="X1134" s="2">
        <v>2016</v>
      </c>
      <c r="Y1134" s="9" t="s">
        <v>7793</v>
      </c>
    </row>
    <row r="1135" spans="1:25" s="11" customFormat="1" ht="89.25" customHeight="1" outlineLevel="1" x14ac:dyDescent="0.25">
      <c r="A1135" s="1"/>
      <c r="B1135" s="2" t="s">
        <v>7960</v>
      </c>
      <c r="C1135" s="6" t="s">
        <v>83</v>
      </c>
      <c r="D1135" s="6" t="s">
        <v>2460</v>
      </c>
      <c r="E1135" s="6" t="s">
        <v>2455</v>
      </c>
      <c r="F1135" s="6" t="s">
        <v>2461</v>
      </c>
      <c r="G1135" s="6" t="s">
        <v>2639</v>
      </c>
      <c r="H1135" s="2" t="s">
        <v>88</v>
      </c>
      <c r="I1135" s="4">
        <v>0</v>
      </c>
      <c r="J1135" s="6">
        <v>710000000</v>
      </c>
      <c r="K1135" s="6" t="s">
        <v>89</v>
      </c>
      <c r="L1135" s="2" t="s">
        <v>754</v>
      </c>
      <c r="M1135" s="6" t="s">
        <v>682</v>
      </c>
      <c r="N1135" s="6" t="s">
        <v>92</v>
      </c>
      <c r="O1135" s="6" t="s">
        <v>93</v>
      </c>
      <c r="P1135" s="3" t="s">
        <v>673</v>
      </c>
      <c r="Q1135" s="6">
        <v>715</v>
      </c>
      <c r="R1135" s="6" t="s">
        <v>2459</v>
      </c>
      <c r="S1135" s="9">
        <v>528</v>
      </c>
      <c r="T1135" s="9">
        <v>197</v>
      </c>
      <c r="U1135" s="9">
        <f t="shared" ref="U1135" si="776">T1135*S1135</f>
        <v>104016</v>
      </c>
      <c r="V1135" s="9">
        <f t="shared" ref="V1135" si="777">U1135*1.12</f>
        <v>116497.92000000001</v>
      </c>
      <c r="W1135" s="7"/>
      <c r="X1135" s="2">
        <v>2016</v>
      </c>
      <c r="Y1135" s="9"/>
    </row>
    <row r="1136" spans="1:25" s="36" customFormat="1" ht="89.25" customHeight="1" outlineLevel="1" x14ac:dyDescent="0.2">
      <c r="A1136" s="25"/>
      <c r="B1136" s="2" t="s">
        <v>6067</v>
      </c>
      <c r="C1136" s="3" t="s">
        <v>83</v>
      </c>
      <c r="D1136" s="19" t="s">
        <v>2633</v>
      </c>
      <c r="E1136" s="19" t="s">
        <v>2422</v>
      </c>
      <c r="F1136" s="19" t="s">
        <v>2634</v>
      </c>
      <c r="G1136" s="19" t="s">
        <v>2678</v>
      </c>
      <c r="H1136" s="2" t="s">
        <v>88</v>
      </c>
      <c r="I1136" s="4">
        <v>0.4</v>
      </c>
      <c r="J1136" s="5">
        <v>710000000</v>
      </c>
      <c r="K1136" s="5" t="s">
        <v>89</v>
      </c>
      <c r="L1136" s="2" t="s">
        <v>754</v>
      </c>
      <c r="M1136" s="6" t="s">
        <v>682</v>
      </c>
      <c r="N1136" s="7" t="s">
        <v>92</v>
      </c>
      <c r="O1136" s="7" t="s">
        <v>93</v>
      </c>
      <c r="P1136" s="3" t="s">
        <v>94</v>
      </c>
      <c r="Q1136" s="3">
        <v>796</v>
      </c>
      <c r="R1136" s="3" t="s">
        <v>118</v>
      </c>
      <c r="S1136" s="9">
        <v>528</v>
      </c>
      <c r="T1136" s="9">
        <v>237</v>
      </c>
      <c r="U1136" s="9">
        <v>0</v>
      </c>
      <c r="V1136" s="9">
        <f t="shared" si="737"/>
        <v>0</v>
      </c>
      <c r="W1136" s="7" t="s">
        <v>97</v>
      </c>
      <c r="X1136" s="2">
        <v>2016</v>
      </c>
      <c r="Y1136" s="2" t="s">
        <v>7793</v>
      </c>
    </row>
    <row r="1137" spans="1:25" s="36" customFormat="1" ht="89.25" customHeight="1" outlineLevel="1" x14ac:dyDescent="0.25">
      <c r="A1137" s="1"/>
      <c r="B1137" s="2" t="s">
        <v>7961</v>
      </c>
      <c r="C1137" s="3" t="s">
        <v>83</v>
      </c>
      <c r="D1137" s="19" t="s">
        <v>2633</v>
      </c>
      <c r="E1137" s="19" t="s">
        <v>2422</v>
      </c>
      <c r="F1137" s="19" t="s">
        <v>2634</v>
      </c>
      <c r="G1137" s="19" t="s">
        <v>2678</v>
      </c>
      <c r="H1137" s="2" t="s">
        <v>88</v>
      </c>
      <c r="I1137" s="4">
        <v>0</v>
      </c>
      <c r="J1137" s="5">
        <v>710000000</v>
      </c>
      <c r="K1137" s="5" t="s">
        <v>89</v>
      </c>
      <c r="L1137" s="2" t="s">
        <v>754</v>
      </c>
      <c r="M1137" s="6" t="s">
        <v>682</v>
      </c>
      <c r="N1137" s="7" t="s">
        <v>92</v>
      </c>
      <c r="O1137" s="7" t="s">
        <v>93</v>
      </c>
      <c r="P1137" s="3" t="s">
        <v>673</v>
      </c>
      <c r="Q1137" s="3">
        <v>796</v>
      </c>
      <c r="R1137" s="3" t="s">
        <v>118</v>
      </c>
      <c r="S1137" s="9">
        <v>528</v>
      </c>
      <c r="T1137" s="9">
        <v>237</v>
      </c>
      <c r="U1137" s="9">
        <f t="shared" ref="U1137" si="778">T1137*S1137</f>
        <v>125136</v>
      </c>
      <c r="V1137" s="9">
        <f t="shared" ref="V1137" si="779">U1137*1.12</f>
        <v>140152.32000000001</v>
      </c>
      <c r="W1137" s="7"/>
      <c r="X1137" s="2">
        <v>2016</v>
      </c>
      <c r="Y1137" s="2"/>
    </row>
    <row r="1138" spans="1:25" s="11" customFormat="1" ht="89.25" customHeight="1" outlineLevel="1" x14ac:dyDescent="0.2">
      <c r="A1138" s="25"/>
      <c r="B1138" s="2" t="s">
        <v>6068</v>
      </c>
      <c r="C1138" s="3" t="s">
        <v>83</v>
      </c>
      <c r="D1138" s="19" t="s">
        <v>2664</v>
      </c>
      <c r="E1138" s="19" t="s">
        <v>2660</v>
      </c>
      <c r="F1138" s="19" t="s">
        <v>2665</v>
      </c>
      <c r="G1138" s="19" t="s">
        <v>2679</v>
      </c>
      <c r="H1138" s="2" t="s">
        <v>88</v>
      </c>
      <c r="I1138" s="4">
        <v>0.4</v>
      </c>
      <c r="J1138" s="5">
        <v>710000000</v>
      </c>
      <c r="K1138" s="5" t="s">
        <v>89</v>
      </c>
      <c r="L1138" s="2" t="s">
        <v>754</v>
      </c>
      <c r="M1138" s="6" t="s">
        <v>682</v>
      </c>
      <c r="N1138" s="7" t="s">
        <v>92</v>
      </c>
      <c r="O1138" s="7" t="s">
        <v>93</v>
      </c>
      <c r="P1138" s="3" t="s">
        <v>94</v>
      </c>
      <c r="Q1138" s="3">
        <v>778</v>
      </c>
      <c r="R1138" s="3" t="s">
        <v>523</v>
      </c>
      <c r="S1138" s="9">
        <v>200</v>
      </c>
      <c r="T1138" s="9">
        <v>940</v>
      </c>
      <c r="U1138" s="9">
        <v>0</v>
      </c>
      <c r="V1138" s="9">
        <f t="shared" si="737"/>
        <v>0</v>
      </c>
      <c r="W1138" s="7" t="s">
        <v>97</v>
      </c>
      <c r="X1138" s="2">
        <v>2016</v>
      </c>
      <c r="Y1138" s="2" t="s">
        <v>7793</v>
      </c>
    </row>
    <row r="1139" spans="1:25" s="11" customFormat="1" ht="89.25" customHeight="1" outlineLevel="1" x14ac:dyDescent="0.25">
      <c r="A1139" s="1"/>
      <c r="B1139" s="2" t="s">
        <v>7962</v>
      </c>
      <c r="C1139" s="3" t="s">
        <v>83</v>
      </c>
      <c r="D1139" s="19" t="s">
        <v>2664</v>
      </c>
      <c r="E1139" s="19" t="s">
        <v>2660</v>
      </c>
      <c r="F1139" s="19" t="s">
        <v>2665</v>
      </c>
      <c r="G1139" s="19" t="s">
        <v>2679</v>
      </c>
      <c r="H1139" s="2" t="s">
        <v>88</v>
      </c>
      <c r="I1139" s="4">
        <v>0</v>
      </c>
      <c r="J1139" s="5">
        <v>710000000</v>
      </c>
      <c r="K1139" s="5" t="s">
        <v>89</v>
      </c>
      <c r="L1139" s="2" t="s">
        <v>754</v>
      </c>
      <c r="M1139" s="6" t="s">
        <v>682</v>
      </c>
      <c r="N1139" s="7" t="s">
        <v>92</v>
      </c>
      <c r="O1139" s="7" t="s">
        <v>93</v>
      </c>
      <c r="P1139" s="3" t="s">
        <v>94</v>
      </c>
      <c r="Q1139" s="3">
        <v>778</v>
      </c>
      <c r="R1139" s="3" t="s">
        <v>523</v>
      </c>
      <c r="S1139" s="9">
        <v>200</v>
      </c>
      <c r="T1139" s="9">
        <v>940</v>
      </c>
      <c r="U1139" s="9">
        <f t="shared" ref="U1139" si="780">T1139*S1139</f>
        <v>188000</v>
      </c>
      <c r="V1139" s="9">
        <f t="shared" ref="V1139" si="781">U1139*1.12</f>
        <v>210560.00000000003</v>
      </c>
      <c r="W1139" s="7"/>
      <c r="X1139" s="2">
        <v>2016</v>
      </c>
      <c r="Y1139" s="2"/>
    </row>
    <row r="1140" spans="1:25" s="11" customFormat="1" ht="89.25" customHeight="1" outlineLevel="1" x14ac:dyDescent="0.2">
      <c r="A1140" s="25"/>
      <c r="B1140" s="2" t="s">
        <v>6069</v>
      </c>
      <c r="C1140" s="3" t="s">
        <v>83</v>
      </c>
      <c r="D1140" s="19" t="s">
        <v>2557</v>
      </c>
      <c r="E1140" s="19" t="s">
        <v>2426</v>
      </c>
      <c r="F1140" s="19" t="s">
        <v>2558</v>
      </c>
      <c r="G1140" s="19" t="s">
        <v>2680</v>
      </c>
      <c r="H1140" s="2" t="s">
        <v>88</v>
      </c>
      <c r="I1140" s="4">
        <v>0.4</v>
      </c>
      <c r="J1140" s="5">
        <v>710000000</v>
      </c>
      <c r="K1140" s="5" t="s">
        <v>89</v>
      </c>
      <c r="L1140" s="2" t="s">
        <v>754</v>
      </c>
      <c r="M1140" s="6" t="s">
        <v>682</v>
      </c>
      <c r="N1140" s="7" t="s">
        <v>92</v>
      </c>
      <c r="O1140" s="7" t="s">
        <v>93</v>
      </c>
      <c r="P1140" s="3" t="s">
        <v>94</v>
      </c>
      <c r="Q1140" s="3">
        <v>796</v>
      </c>
      <c r="R1140" s="3" t="s">
        <v>118</v>
      </c>
      <c r="S1140" s="9">
        <v>180</v>
      </c>
      <c r="T1140" s="9">
        <v>335</v>
      </c>
      <c r="U1140" s="9">
        <v>0</v>
      </c>
      <c r="V1140" s="9">
        <f t="shared" si="737"/>
        <v>0</v>
      </c>
      <c r="W1140" s="7" t="s">
        <v>97</v>
      </c>
      <c r="X1140" s="2">
        <v>2016</v>
      </c>
      <c r="Y1140" s="2" t="s">
        <v>7793</v>
      </c>
    </row>
    <row r="1141" spans="1:25" s="11" customFormat="1" ht="89.25" customHeight="1" outlineLevel="1" x14ac:dyDescent="0.25">
      <c r="A1141" s="1"/>
      <c r="B1141" s="2" t="s">
        <v>7963</v>
      </c>
      <c r="C1141" s="3" t="s">
        <v>83</v>
      </c>
      <c r="D1141" s="19" t="s">
        <v>2557</v>
      </c>
      <c r="E1141" s="19" t="s">
        <v>2426</v>
      </c>
      <c r="F1141" s="19" t="s">
        <v>2558</v>
      </c>
      <c r="G1141" s="19" t="s">
        <v>2680</v>
      </c>
      <c r="H1141" s="2" t="s">
        <v>88</v>
      </c>
      <c r="I1141" s="4">
        <v>0</v>
      </c>
      <c r="J1141" s="5">
        <v>710000000</v>
      </c>
      <c r="K1141" s="5" t="s">
        <v>89</v>
      </c>
      <c r="L1141" s="2" t="s">
        <v>754</v>
      </c>
      <c r="M1141" s="6" t="s">
        <v>682</v>
      </c>
      <c r="N1141" s="7" t="s">
        <v>92</v>
      </c>
      <c r="O1141" s="7" t="s">
        <v>93</v>
      </c>
      <c r="P1141" s="3" t="s">
        <v>673</v>
      </c>
      <c r="Q1141" s="3">
        <v>796</v>
      </c>
      <c r="R1141" s="3" t="s">
        <v>118</v>
      </c>
      <c r="S1141" s="9">
        <v>180</v>
      </c>
      <c r="T1141" s="9">
        <v>335</v>
      </c>
      <c r="U1141" s="9">
        <f t="shared" ref="U1141" si="782">T1141*S1141</f>
        <v>60300</v>
      </c>
      <c r="V1141" s="9">
        <f t="shared" ref="V1141" si="783">U1141*1.12</f>
        <v>67536</v>
      </c>
      <c r="W1141" s="7"/>
      <c r="X1141" s="2">
        <v>2016</v>
      </c>
      <c r="Y1141" s="2"/>
    </row>
    <row r="1142" spans="1:25" s="11" customFormat="1" ht="89.25" customHeight="1" outlineLevel="1" x14ac:dyDescent="0.2">
      <c r="A1142" s="25"/>
      <c r="B1142" s="2" t="s">
        <v>6070</v>
      </c>
      <c r="C1142" s="3" t="s">
        <v>83</v>
      </c>
      <c r="D1142" s="19" t="s">
        <v>2557</v>
      </c>
      <c r="E1142" s="19" t="s">
        <v>2426</v>
      </c>
      <c r="F1142" s="19" t="s">
        <v>2558</v>
      </c>
      <c r="G1142" s="19" t="s">
        <v>2681</v>
      </c>
      <c r="H1142" s="2" t="s">
        <v>88</v>
      </c>
      <c r="I1142" s="4">
        <v>0.4</v>
      </c>
      <c r="J1142" s="5">
        <v>710000000</v>
      </c>
      <c r="K1142" s="5" t="s">
        <v>89</v>
      </c>
      <c r="L1142" s="2" t="s">
        <v>754</v>
      </c>
      <c r="M1142" s="6" t="s">
        <v>682</v>
      </c>
      <c r="N1142" s="7" t="s">
        <v>92</v>
      </c>
      <c r="O1142" s="7" t="s">
        <v>93</v>
      </c>
      <c r="P1142" s="3" t="s">
        <v>94</v>
      </c>
      <c r="Q1142" s="3">
        <v>796</v>
      </c>
      <c r="R1142" s="3" t="s">
        <v>118</v>
      </c>
      <c r="S1142" s="9">
        <v>500</v>
      </c>
      <c r="T1142" s="9">
        <v>88</v>
      </c>
      <c r="U1142" s="9">
        <v>0</v>
      </c>
      <c r="V1142" s="9">
        <f t="shared" si="737"/>
        <v>0</v>
      </c>
      <c r="W1142" s="7" t="s">
        <v>97</v>
      </c>
      <c r="X1142" s="2">
        <v>2016</v>
      </c>
      <c r="Y1142" s="2" t="s">
        <v>7793</v>
      </c>
    </row>
    <row r="1143" spans="1:25" s="11" customFormat="1" ht="89.25" customHeight="1" outlineLevel="1" x14ac:dyDescent="0.25">
      <c r="A1143" s="1"/>
      <c r="B1143" s="2" t="s">
        <v>7964</v>
      </c>
      <c r="C1143" s="3" t="s">
        <v>83</v>
      </c>
      <c r="D1143" s="19" t="s">
        <v>2557</v>
      </c>
      <c r="E1143" s="19" t="s">
        <v>2426</v>
      </c>
      <c r="F1143" s="19" t="s">
        <v>2558</v>
      </c>
      <c r="G1143" s="19" t="s">
        <v>2681</v>
      </c>
      <c r="H1143" s="2" t="s">
        <v>88</v>
      </c>
      <c r="I1143" s="4">
        <v>0</v>
      </c>
      <c r="J1143" s="5">
        <v>710000000</v>
      </c>
      <c r="K1143" s="5" t="s">
        <v>89</v>
      </c>
      <c r="L1143" s="2" t="s">
        <v>754</v>
      </c>
      <c r="M1143" s="6" t="s">
        <v>682</v>
      </c>
      <c r="N1143" s="7" t="s">
        <v>92</v>
      </c>
      <c r="O1143" s="7" t="s">
        <v>93</v>
      </c>
      <c r="P1143" s="3" t="s">
        <v>94</v>
      </c>
      <c r="Q1143" s="3">
        <v>796</v>
      </c>
      <c r="R1143" s="3" t="s">
        <v>118</v>
      </c>
      <c r="S1143" s="9">
        <v>500</v>
      </c>
      <c r="T1143" s="9">
        <v>88</v>
      </c>
      <c r="U1143" s="9">
        <f t="shared" ref="U1143" si="784">T1143*S1143</f>
        <v>44000</v>
      </c>
      <c r="V1143" s="9">
        <f t="shared" ref="V1143" si="785">U1143*1.12</f>
        <v>49280.000000000007</v>
      </c>
      <c r="W1143" s="7"/>
      <c r="X1143" s="2">
        <v>2016</v>
      </c>
      <c r="Y1143" s="2"/>
    </row>
    <row r="1144" spans="1:25" s="11" customFormat="1" ht="89.25" customHeight="1" outlineLevel="1" x14ac:dyDescent="0.25">
      <c r="A1144" s="1"/>
      <c r="B1144" s="2" t="s">
        <v>6071</v>
      </c>
      <c r="C1144" s="3" t="s">
        <v>83</v>
      </c>
      <c r="D1144" s="19" t="s">
        <v>2466</v>
      </c>
      <c r="E1144" s="19" t="s">
        <v>2341</v>
      </c>
      <c r="F1144" s="19" t="s">
        <v>2467</v>
      </c>
      <c r="G1144" s="19" t="s">
        <v>2468</v>
      </c>
      <c r="H1144" s="2" t="s">
        <v>88</v>
      </c>
      <c r="I1144" s="4">
        <v>0.4</v>
      </c>
      <c r="J1144" s="5">
        <v>710000000</v>
      </c>
      <c r="K1144" s="5" t="s">
        <v>89</v>
      </c>
      <c r="L1144" s="2" t="s">
        <v>754</v>
      </c>
      <c r="M1144" s="6" t="s">
        <v>682</v>
      </c>
      <c r="N1144" s="7" t="s">
        <v>92</v>
      </c>
      <c r="O1144" s="7" t="s">
        <v>93</v>
      </c>
      <c r="P1144" s="3" t="s">
        <v>94</v>
      </c>
      <c r="Q1144" s="3">
        <v>796</v>
      </c>
      <c r="R1144" s="3" t="s">
        <v>118</v>
      </c>
      <c r="S1144" s="9">
        <v>80</v>
      </c>
      <c r="T1144" s="9">
        <v>369.38</v>
      </c>
      <c r="U1144" s="9">
        <v>29550.400000000001</v>
      </c>
      <c r="V1144" s="9">
        <v>33096.448000000004</v>
      </c>
      <c r="W1144" s="7" t="s">
        <v>97</v>
      </c>
      <c r="X1144" s="2">
        <v>2016</v>
      </c>
      <c r="Y1144" s="2"/>
    </row>
    <row r="1145" spans="1:25" s="11" customFormat="1" ht="382.5" customHeight="1" outlineLevel="1" x14ac:dyDescent="0.2">
      <c r="A1145" s="25"/>
      <c r="B1145" s="2" t="s">
        <v>6072</v>
      </c>
      <c r="C1145" s="6" t="s">
        <v>83</v>
      </c>
      <c r="D1145" s="6" t="s">
        <v>2344</v>
      </c>
      <c r="E1145" s="6" t="s">
        <v>2341</v>
      </c>
      <c r="F1145" s="6" t="s">
        <v>2345</v>
      </c>
      <c r="G1145" s="6" t="s">
        <v>2613</v>
      </c>
      <c r="H1145" s="2" t="s">
        <v>88</v>
      </c>
      <c r="I1145" s="4">
        <v>0.4</v>
      </c>
      <c r="J1145" s="6">
        <v>710000000</v>
      </c>
      <c r="K1145" s="6" t="s">
        <v>89</v>
      </c>
      <c r="L1145" s="2" t="s">
        <v>754</v>
      </c>
      <c r="M1145" s="6" t="s">
        <v>2682</v>
      </c>
      <c r="N1145" s="6" t="s">
        <v>92</v>
      </c>
      <c r="O1145" s="6" t="s">
        <v>93</v>
      </c>
      <c r="P1145" s="3" t="s">
        <v>94</v>
      </c>
      <c r="Q1145" s="6">
        <v>868</v>
      </c>
      <c r="R1145" s="6" t="s">
        <v>585</v>
      </c>
      <c r="S1145" s="9">
        <v>12</v>
      </c>
      <c r="T1145" s="9">
        <v>12500</v>
      </c>
      <c r="U1145" s="9">
        <v>0</v>
      </c>
      <c r="V1145" s="9">
        <f t="shared" si="737"/>
        <v>0</v>
      </c>
      <c r="W1145" s="7" t="s">
        <v>97</v>
      </c>
      <c r="X1145" s="2">
        <v>2016</v>
      </c>
      <c r="Y1145" s="9" t="s">
        <v>7793</v>
      </c>
    </row>
    <row r="1146" spans="1:25" s="11" customFormat="1" ht="382.5" customHeight="1" outlineLevel="1" x14ac:dyDescent="0.25">
      <c r="A1146" s="1"/>
      <c r="B1146" s="2" t="s">
        <v>7965</v>
      </c>
      <c r="C1146" s="6" t="s">
        <v>83</v>
      </c>
      <c r="D1146" s="6" t="s">
        <v>2344</v>
      </c>
      <c r="E1146" s="6" t="s">
        <v>2341</v>
      </c>
      <c r="F1146" s="6" t="s">
        <v>2345</v>
      </c>
      <c r="G1146" s="6" t="s">
        <v>2613</v>
      </c>
      <c r="H1146" s="2" t="s">
        <v>88</v>
      </c>
      <c r="I1146" s="4">
        <v>0</v>
      </c>
      <c r="J1146" s="6">
        <v>710000000</v>
      </c>
      <c r="K1146" s="6" t="s">
        <v>89</v>
      </c>
      <c r="L1146" s="2" t="s">
        <v>754</v>
      </c>
      <c r="M1146" s="6" t="s">
        <v>2682</v>
      </c>
      <c r="N1146" s="6" t="s">
        <v>92</v>
      </c>
      <c r="O1146" s="6" t="s">
        <v>93</v>
      </c>
      <c r="P1146" s="3" t="s">
        <v>673</v>
      </c>
      <c r="Q1146" s="6">
        <v>868</v>
      </c>
      <c r="R1146" s="6" t="s">
        <v>585</v>
      </c>
      <c r="S1146" s="9">
        <v>12</v>
      </c>
      <c r="T1146" s="9">
        <v>12500</v>
      </c>
      <c r="U1146" s="9">
        <f t="shared" ref="U1146" si="786">T1146*S1146</f>
        <v>150000</v>
      </c>
      <c r="V1146" s="9">
        <f t="shared" ref="V1146" si="787">U1146*1.12</f>
        <v>168000.00000000003</v>
      </c>
      <c r="W1146" s="7"/>
      <c r="X1146" s="2">
        <v>2016</v>
      </c>
      <c r="Y1146" s="9"/>
    </row>
    <row r="1147" spans="1:25" s="36" customFormat="1" ht="409.5" customHeight="1" outlineLevel="1" x14ac:dyDescent="0.2">
      <c r="A1147" s="25"/>
      <c r="B1147" s="2" t="s">
        <v>6073</v>
      </c>
      <c r="C1147" s="6" t="s">
        <v>83</v>
      </c>
      <c r="D1147" s="6" t="s">
        <v>2363</v>
      </c>
      <c r="E1147" s="6" t="s">
        <v>2341</v>
      </c>
      <c r="F1147" s="6" t="s">
        <v>2364</v>
      </c>
      <c r="G1147" s="6" t="s">
        <v>2614</v>
      </c>
      <c r="H1147" s="2" t="s">
        <v>88</v>
      </c>
      <c r="I1147" s="4">
        <v>0.4</v>
      </c>
      <c r="J1147" s="6">
        <v>710000000</v>
      </c>
      <c r="K1147" s="6" t="s">
        <v>89</v>
      </c>
      <c r="L1147" s="2" t="s">
        <v>754</v>
      </c>
      <c r="M1147" s="6" t="s">
        <v>2682</v>
      </c>
      <c r="N1147" s="6" t="s">
        <v>92</v>
      </c>
      <c r="O1147" s="6" t="s">
        <v>93</v>
      </c>
      <c r="P1147" s="3" t="s">
        <v>94</v>
      </c>
      <c r="Q1147" s="6">
        <v>796</v>
      </c>
      <c r="R1147" s="6" t="s">
        <v>118</v>
      </c>
      <c r="S1147" s="9">
        <v>6</v>
      </c>
      <c r="T1147" s="9">
        <v>16070</v>
      </c>
      <c r="U1147" s="9">
        <v>0</v>
      </c>
      <c r="V1147" s="9">
        <f t="shared" si="737"/>
        <v>0</v>
      </c>
      <c r="W1147" s="7" t="s">
        <v>97</v>
      </c>
      <c r="X1147" s="2">
        <v>2016</v>
      </c>
      <c r="Y1147" s="9" t="s">
        <v>7793</v>
      </c>
    </row>
    <row r="1148" spans="1:25" s="36" customFormat="1" ht="409.5" customHeight="1" outlineLevel="1" x14ac:dyDescent="0.25">
      <c r="A1148" s="1"/>
      <c r="B1148" s="2" t="s">
        <v>7966</v>
      </c>
      <c r="C1148" s="6" t="s">
        <v>83</v>
      </c>
      <c r="D1148" s="6" t="s">
        <v>2363</v>
      </c>
      <c r="E1148" s="6" t="s">
        <v>2341</v>
      </c>
      <c r="F1148" s="6" t="s">
        <v>2364</v>
      </c>
      <c r="G1148" s="6" t="s">
        <v>2614</v>
      </c>
      <c r="H1148" s="2" t="s">
        <v>88</v>
      </c>
      <c r="I1148" s="4">
        <v>0</v>
      </c>
      <c r="J1148" s="6">
        <v>710000000</v>
      </c>
      <c r="K1148" s="6" t="s">
        <v>89</v>
      </c>
      <c r="L1148" s="2" t="s">
        <v>754</v>
      </c>
      <c r="M1148" s="6" t="s">
        <v>2682</v>
      </c>
      <c r="N1148" s="6" t="s">
        <v>92</v>
      </c>
      <c r="O1148" s="6" t="s">
        <v>93</v>
      </c>
      <c r="P1148" s="3" t="s">
        <v>673</v>
      </c>
      <c r="Q1148" s="6">
        <v>796</v>
      </c>
      <c r="R1148" s="6" t="s">
        <v>118</v>
      </c>
      <c r="S1148" s="9">
        <v>6</v>
      </c>
      <c r="T1148" s="9">
        <v>16070</v>
      </c>
      <c r="U1148" s="9">
        <f t="shared" ref="U1148" si="788">T1148*S1148</f>
        <v>96420</v>
      </c>
      <c r="V1148" s="9">
        <f t="shared" ref="V1148" si="789">U1148*1.12</f>
        <v>107990.40000000001</v>
      </c>
      <c r="W1148" s="7"/>
      <c r="X1148" s="2">
        <v>2016</v>
      </c>
      <c r="Y1148" s="9"/>
    </row>
    <row r="1149" spans="1:25" s="36" customFormat="1" ht="255" customHeight="1" outlineLevel="1" x14ac:dyDescent="0.25">
      <c r="A1149" s="1"/>
      <c r="B1149" s="2" t="s">
        <v>6074</v>
      </c>
      <c r="C1149" s="6" t="s">
        <v>83</v>
      </c>
      <c r="D1149" s="6" t="s">
        <v>2350</v>
      </c>
      <c r="E1149" s="6" t="s">
        <v>2341</v>
      </c>
      <c r="F1149" s="6" t="s">
        <v>2351</v>
      </c>
      <c r="G1149" s="6" t="s">
        <v>2615</v>
      </c>
      <c r="H1149" s="2" t="s">
        <v>88</v>
      </c>
      <c r="I1149" s="4">
        <v>0.4</v>
      </c>
      <c r="J1149" s="6">
        <v>710000000</v>
      </c>
      <c r="K1149" s="6" t="s">
        <v>89</v>
      </c>
      <c r="L1149" s="2" t="s">
        <v>754</v>
      </c>
      <c r="M1149" s="6" t="s">
        <v>2682</v>
      </c>
      <c r="N1149" s="6" t="s">
        <v>92</v>
      </c>
      <c r="O1149" s="6" t="s">
        <v>93</v>
      </c>
      <c r="P1149" s="3" t="s">
        <v>94</v>
      </c>
      <c r="Q1149" s="6">
        <v>796</v>
      </c>
      <c r="R1149" s="6" t="s">
        <v>118</v>
      </c>
      <c r="S1149" s="9">
        <v>6</v>
      </c>
      <c r="T1149" s="9">
        <v>15180</v>
      </c>
      <c r="U1149" s="9">
        <v>0</v>
      </c>
      <c r="V1149" s="9">
        <f t="shared" si="737"/>
        <v>0</v>
      </c>
      <c r="W1149" s="7" t="s">
        <v>97</v>
      </c>
      <c r="X1149" s="2">
        <v>2016</v>
      </c>
      <c r="Y1149" s="9" t="s">
        <v>7793</v>
      </c>
    </row>
    <row r="1150" spans="1:25" s="36" customFormat="1" ht="255" customHeight="1" outlineLevel="1" x14ac:dyDescent="0.25">
      <c r="A1150" s="1"/>
      <c r="B1150" s="2" t="s">
        <v>7967</v>
      </c>
      <c r="C1150" s="6" t="s">
        <v>83</v>
      </c>
      <c r="D1150" s="6" t="s">
        <v>2350</v>
      </c>
      <c r="E1150" s="6" t="s">
        <v>2341</v>
      </c>
      <c r="F1150" s="6" t="s">
        <v>2351</v>
      </c>
      <c r="G1150" s="6" t="s">
        <v>2615</v>
      </c>
      <c r="H1150" s="2" t="s">
        <v>88</v>
      </c>
      <c r="I1150" s="4">
        <v>0</v>
      </c>
      <c r="J1150" s="6">
        <v>710000000</v>
      </c>
      <c r="K1150" s="6" t="s">
        <v>89</v>
      </c>
      <c r="L1150" s="2" t="s">
        <v>754</v>
      </c>
      <c r="M1150" s="6" t="s">
        <v>2682</v>
      </c>
      <c r="N1150" s="6" t="s">
        <v>92</v>
      </c>
      <c r="O1150" s="6" t="s">
        <v>93</v>
      </c>
      <c r="P1150" s="3" t="s">
        <v>673</v>
      </c>
      <c r="Q1150" s="6">
        <v>796</v>
      </c>
      <c r="R1150" s="6" t="s">
        <v>118</v>
      </c>
      <c r="S1150" s="9">
        <v>6</v>
      </c>
      <c r="T1150" s="9">
        <v>15180</v>
      </c>
      <c r="U1150" s="9">
        <f t="shared" ref="U1150" si="790">T1150*S1150</f>
        <v>91080</v>
      </c>
      <c r="V1150" s="9">
        <f t="shared" ref="V1150" si="791">U1150*1.12</f>
        <v>102009.60000000001</v>
      </c>
      <c r="W1150" s="7">
        <v>0</v>
      </c>
      <c r="X1150" s="2">
        <v>2016</v>
      </c>
      <c r="Y1150" s="9"/>
    </row>
    <row r="1151" spans="1:25" s="36" customFormat="1" ht="409.5" customHeight="1" outlineLevel="1" x14ac:dyDescent="0.25">
      <c r="A1151" s="1"/>
      <c r="B1151" s="2" t="s">
        <v>6075</v>
      </c>
      <c r="C1151" s="6" t="s">
        <v>83</v>
      </c>
      <c r="D1151" s="6" t="s">
        <v>2340</v>
      </c>
      <c r="E1151" s="6" t="s">
        <v>2341</v>
      </c>
      <c r="F1151" s="6" t="s">
        <v>2342</v>
      </c>
      <c r="G1151" s="6" t="s">
        <v>2616</v>
      </c>
      <c r="H1151" s="2" t="s">
        <v>88</v>
      </c>
      <c r="I1151" s="4">
        <v>0.4</v>
      </c>
      <c r="J1151" s="6">
        <v>710000000</v>
      </c>
      <c r="K1151" s="6" t="s">
        <v>89</v>
      </c>
      <c r="L1151" s="2" t="s">
        <v>754</v>
      </c>
      <c r="M1151" s="6" t="s">
        <v>2682</v>
      </c>
      <c r="N1151" s="6" t="s">
        <v>92</v>
      </c>
      <c r="O1151" s="6" t="s">
        <v>93</v>
      </c>
      <c r="P1151" s="3" t="s">
        <v>94</v>
      </c>
      <c r="Q1151" s="6">
        <v>796</v>
      </c>
      <c r="R1151" s="6" t="s">
        <v>118</v>
      </c>
      <c r="S1151" s="9">
        <v>6</v>
      </c>
      <c r="T1151" s="9">
        <v>13395</v>
      </c>
      <c r="U1151" s="9">
        <v>0</v>
      </c>
      <c r="V1151" s="9">
        <f t="shared" si="737"/>
        <v>0</v>
      </c>
      <c r="W1151" s="7" t="s">
        <v>97</v>
      </c>
      <c r="X1151" s="2">
        <v>2016</v>
      </c>
      <c r="Y1151" s="9" t="s">
        <v>7793</v>
      </c>
    </row>
    <row r="1152" spans="1:25" s="36" customFormat="1" ht="409.5" customHeight="1" outlineLevel="1" x14ac:dyDescent="0.25">
      <c r="A1152" s="1"/>
      <c r="B1152" s="2" t="s">
        <v>7968</v>
      </c>
      <c r="C1152" s="6" t="s">
        <v>83</v>
      </c>
      <c r="D1152" s="6" t="s">
        <v>2340</v>
      </c>
      <c r="E1152" s="6" t="s">
        <v>2341</v>
      </c>
      <c r="F1152" s="6" t="s">
        <v>2342</v>
      </c>
      <c r="G1152" s="6" t="s">
        <v>2616</v>
      </c>
      <c r="H1152" s="2" t="s">
        <v>88</v>
      </c>
      <c r="I1152" s="4">
        <v>0</v>
      </c>
      <c r="J1152" s="6">
        <v>710000000</v>
      </c>
      <c r="K1152" s="6" t="s">
        <v>89</v>
      </c>
      <c r="L1152" s="2" t="s">
        <v>754</v>
      </c>
      <c r="M1152" s="6" t="s">
        <v>2682</v>
      </c>
      <c r="N1152" s="6" t="s">
        <v>92</v>
      </c>
      <c r="O1152" s="6" t="s">
        <v>93</v>
      </c>
      <c r="P1152" s="3" t="s">
        <v>673</v>
      </c>
      <c r="Q1152" s="6">
        <v>796</v>
      </c>
      <c r="R1152" s="6" t="s">
        <v>118</v>
      </c>
      <c r="S1152" s="9">
        <v>6</v>
      </c>
      <c r="T1152" s="9">
        <v>13395</v>
      </c>
      <c r="U1152" s="9">
        <f t="shared" ref="U1152" si="792">T1152*S1152</f>
        <v>80370</v>
      </c>
      <c r="V1152" s="9">
        <f t="shared" ref="V1152" si="793">U1152*1.12</f>
        <v>90014.400000000009</v>
      </c>
      <c r="W1152" s="7"/>
      <c r="X1152" s="2">
        <v>2016</v>
      </c>
      <c r="Y1152" s="9"/>
    </row>
    <row r="1153" spans="1:25" s="36" customFormat="1" ht="409.5" customHeight="1" outlineLevel="1" x14ac:dyDescent="0.25">
      <c r="A1153" s="1"/>
      <c r="B1153" s="2" t="s">
        <v>6076</v>
      </c>
      <c r="C1153" s="6" t="s">
        <v>83</v>
      </c>
      <c r="D1153" s="6" t="s">
        <v>2617</v>
      </c>
      <c r="E1153" s="6" t="s">
        <v>2358</v>
      </c>
      <c r="F1153" s="6" t="s">
        <v>2618</v>
      </c>
      <c r="G1153" s="6" t="s">
        <v>2619</v>
      </c>
      <c r="H1153" s="2" t="s">
        <v>88</v>
      </c>
      <c r="I1153" s="4">
        <v>0.4</v>
      </c>
      <c r="J1153" s="6">
        <v>710000000</v>
      </c>
      <c r="K1153" s="6" t="s">
        <v>89</v>
      </c>
      <c r="L1153" s="2" t="s">
        <v>754</v>
      </c>
      <c r="M1153" s="6" t="s">
        <v>2682</v>
      </c>
      <c r="N1153" s="6" t="s">
        <v>92</v>
      </c>
      <c r="O1153" s="6" t="s">
        <v>93</v>
      </c>
      <c r="P1153" s="3" t="s">
        <v>94</v>
      </c>
      <c r="Q1153" s="6">
        <v>796</v>
      </c>
      <c r="R1153" s="6" t="s">
        <v>118</v>
      </c>
      <c r="S1153" s="9">
        <v>24</v>
      </c>
      <c r="T1153" s="9">
        <v>6700</v>
      </c>
      <c r="U1153" s="9">
        <v>0</v>
      </c>
      <c r="V1153" s="9">
        <f t="shared" si="737"/>
        <v>0</v>
      </c>
      <c r="W1153" s="7" t="s">
        <v>97</v>
      </c>
      <c r="X1153" s="2">
        <v>2016</v>
      </c>
      <c r="Y1153" s="9" t="s">
        <v>7793</v>
      </c>
    </row>
    <row r="1154" spans="1:25" s="36" customFormat="1" ht="409.5" customHeight="1" outlineLevel="1" x14ac:dyDescent="0.25">
      <c r="A1154" s="1"/>
      <c r="B1154" s="2" t="s">
        <v>7969</v>
      </c>
      <c r="C1154" s="6" t="s">
        <v>83</v>
      </c>
      <c r="D1154" s="6" t="s">
        <v>2617</v>
      </c>
      <c r="E1154" s="6" t="s">
        <v>2358</v>
      </c>
      <c r="F1154" s="6" t="s">
        <v>2618</v>
      </c>
      <c r="G1154" s="6" t="s">
        <v>2619</v>
      </c>
      <c r="H1154" s="2" t="s">
        <v>88</v>
      </c>
      <c r="I1154" s="4">
        <v>0</v>
      </c>
      <c r="J1154" s="6">
        <v>710000000</v>
      </c>
      <c r="K1154" s="6" t="s">
        <v>89</v>
      </c>
      <c r="L1154" s="2" t="s">
        <v>754</v>
      </c>
      <c r="M1154" s="6" t="s">
        <v>2682</v>
      </c>
      <c r="N1154" s="6" t="s">
        <v>92</v>
      </c>
      <c r="O1154" s="6" t="s">
        <v>93</v>
      </c>
      <c r="P1154" s="3" t="s">
        <v>673</v>
      </c>
      <c r="Q1154" s="6">
        <v>796</v>
      </c>
      <c r="R1154" s="6" t="s">
        <v>118</v>
      </c>
      <c r="S1154" s="9">
        <v>24</v>
      </c>
      <c r="T1154" s="9">
        <v>6700</v>
      </c>
      <c r="U1154" s="9">
        <f t="shared" ref="U1154" si="794">T1154*S1154</f>
        <v>160800</v>
      </c>
      <c r="V1154" s="9">
        <f t="shared" ref="V1154" si="795">U1154*1.12</f>
        <v>180096.00000000003</v>
      </c>
      <c r="W1154" s="7"/>
      <c r="X1154" s="2">
        <v>2016</v>
      </c>
      <c r="Y1154" s="9"/>
    </row>
    <row r="1155" spans="1:25" s="36" customFormat="1" ht="344.25" customHeight="1" outlineLevel="1" x14ac:dyDescent="0.25">
      <c r="A1155" s="1"/>
      <c r="B1155" s="2" t="s">
        <v>6077</v>
      </c>
      <c r="C1155" s="6" t="s">
        <v>83</v>
      </c>
      <c r="D1155" s="6" t="s">
        <v>2620</v>
      </c>
      <c r="E1155" s="6" t="s">
        <v>2367</v>
      </c>
      <c r="F1155" s="6" t="s">
        <v>2368</v>
      </c>
      <c r="G1155" s="6" t="s">
        <v>2621</v>
      </c>
      <c r="H1155" s="2" t="s">
        <v>88</v>
      </c>
      <c r="I1155" s="4">
        <v>0.4</v>
      </c>
      <c r="J1155" s="6">
        <v>710000000</v>
      </c>
      <c r="K1155" s="6" t="s">
        <v>89</v>
      </c>
      <c r="L1155" s="2" t="s">
        <v>754</v>
      </c>
      <c r="M1155" s="6" t="s">
        <v>2682</v>
      </c>
      <c r="N1155" s="6" t="s">
        <v>92</v>
      </c>
      <c r="O1155" s="6" t="s">
        <v>93</v>
      </c>
      <c r="P1155" s="3" t="s">
        <v>94</v>
      </c>
      <c r="Q1155" s="6">
        <v>778</v>
      </c>
      <c r="R1155" s="6" t="s">
        <v>523</v>
      </c>
      <c r="S1155" s="9">
        <v>4</v>
      </c>
      <c r="T1155" s="9">
        <v>13395</v>
      </c>
      <c r="U1155" s="9">
        <v>0</v>
      </c>
      <c r="V1155" s="9">
        <f t="shared" si="737"/>
        <v>0</v>
      </c>
      <c r="W1155" s="7" t="s">
        <v>97</v>
      </c>
      <c r="X1155" s="2">
        <v>2016</v>
      </c>
      <c r="Y1155" s="9" t="s">
        <v>7793</v>
      </c>
    </row>
    <row r="1156" spans="1:25" s="36" customFormat="1" ht="344.25" customHeight="1" outlineLevel="1" x14ac:dyDescent="0.25">
      <c r="A1156" s="1"/>
      <c r="B1156" s="2" t="s">
        <v>7970</v>
      </c>
      <c r="C1156" s="6" t="s">
        <v>83</v>
      </c>
      <c r="D1156" s="6" t="s">
        <v>2620</v>
      </c>
      <c r="E1156" s="6" t="s">
        <v>2367</v>
      </c>
      <c r="F1156" s="6" t="s">
        <v>2368</v>
      </c>
      <c r="G1156" s="6" t="s">
        <v>2621</v>
      </c>
      <c r="H1156" s="2" t="s">
        <v>88</v>
      </c>
      <c r="I1156" s="4">
        <v>0</v>
      </c>
      <c r="J1156" s="6">
        <v>710000000</v>
      </c>
      <c r="K1156" s="6" t="s">
        <v>89</v>
      </c>
      <c r="L1156" s="2" t="s">
        <v>754</v>
      </c>
      <c r="M1156" s="6" t="s">
        <v>2682</v>
      </c>
      <c r="N1156" s="6" t="s">
        <v>92</v>
      </c>
      <c r="O1156" s="6" t="s">
        <v>93</v>
      </c>
      <c r="P1156" s="3" t="s">
        <v>673</v>
      </c>
      <c r="Q1156" s="6">
        <v>778</v>
      </c>
      <c r="R1156" s="6" t="s">
        <v>523</v>
      </c>
      <c r="S1156" s="9">
        <v>4</v>
      </c>
      <c r="T1156" s="9">
        <v>13395</v>
      </c>
      <c r="U1156" s="9">
        <f t="shared" ref="U1156" si="796">T1156*S1156</f>
        <v>53580</v>
      </c>
      <c r="V1156" s="9">
        <f t="shared" ref="V1156" si="797">U1156*1.12</f>
        <v>60009.600000000006</v>
      </c>
      <c r="W1156" s="7"/>
      <c r="X1156" s="2">
        <v>2016</v>
      </c>
      <c r="Y1156" s="9"/>
    </row>
    <row r="1157" spans="1:25" s="36" customFormat="1" ht="178.5" customHeight="1" outlineLevel="1" x14ac:dyDescent="0.25">
      <c r="A1157" s="1"/>
      <c r="B1157" s="2" t="s">
        <v>6078</v>
      </c>
      <c r="C1157" s="6" t="s">
        <v>83</v>
      </c>
      <c r="D1157" s="6" t="s">
        <v>2627</v>
      </c>
      <c r="E1157" s="6" t="s">
        <v>2426</v>
      </c>
      <c r="F1157" s="6" t="s">
        <v>2628</v>
      </c>
      <c r="G1157" s="6" t="s">
        <v>2629</v>
      </c>
      <c r="H1157" s="2" t="s">
        <v>88</v>
      </c>
      <c r="I1157" s="4">
        <v>0.4</v>
      </c>
      <c r="J1157" s="6">
        <v>710000000</v>
      </c>
      <c r="K1157" s="6" t="s">
        <v>89</v>
      </c>
      <c r="L1157" s="2" t="s">
        <v>754</v>
      </c>
      <c r="M1157" s="6" t="s">
        <v>2682</v>
      </c>
      <c r="N1157" s="6" t="s">
        <v>92</v>
      </c>
      <c r="O1157" s="6" t="s">
        <v>93</v>
      </c>
      <c r="P1157" s="3" t="s">
        <v>94</v>
      </c>
      <c r="Q1157" s="6">
        <v>796</v>
      </c>
      <c r="R1157" s="6" t="s">
        <v>118</v>
      </c>
      <c r="S1157" s="9">
        <v>54</v>
      </c>
      <c r="T1157" s="9">
        <v>535</v>
      </c>
      <c r="U1157" s="9">
        <v>0</v>
      </c>
      <c r="V1157" s="9">
        <f t="shared" si="737"/>
        <v>0</v>
      </c>
      <c r="W1157" s="7" t="s">
        <v>97</v>
      </c>
      <c r="X1157" s="2">
        <v>2016</v>
      </c>
      <c r="Y1157" s="9" t="s">
        <v>7793</v>
      </c>
    </row>
    <row r="1158" spans="1:25" s="36" customFormat="1" ht="178.5" customHeight="1" outlineLevel="1" x14ac:dyDescent="0.25">
      <c r="A1158" s="1"/>
      <c r="B1158" s="2" t="s">
        <v>7971</v>
      </c>
      <c r="C1158" s="6" t="s">
        <v>83</v>
      </c>
      <c r="D1158" s="6" t="s">
        <v>2627</v>
      </c>
      <c r="E1158" s="6" t="s">
        <v>2426</v>
      </c>
      <c r="F1158" s="6" t="s">
        <v>2628</v>
      </c>
      <c r="G1158" s="6" t="s">
        <v>2629</v>
      </c>
      <c r="H1158" s="2" t="s">
        <v>88</v>
      </c>
      <c r="I1158" s="4">
        <v>0</v>
      </c>
      <c r="J1158" s="6">
        <v>710000000</v>
      </c>
      <c r="K1158" s="6" t="s">
        <v>89</v>
      </c>
      <c r="L1158" s="2" t="s">
        <v>754</v>
      </c>
      <c r="M1158" s="6" t="s">
        <v>2682</v>
      </c>
      <c r="N1158" s="6" t="s">
        <v>92</v>
      </c>
      <c r="O1158" s="6" t="s">
        <v>93</v>
      </c>
      <c r="P1158" s="3" t="s">
        <v>673</v>
      </c>
      <c r="Q1158" s="6">
        <v>796</v>
      </c>
      <c r="R1158" s="6" t="s">
        <v>118</v>
      </c>
      <c r="S1158" s="9">
        <v>54</v>
      </c>
      <c r="T1158" s="9">
        <v>535</v>
      </c>
      <c r="U1158" s="9">
        <f t="shared" ref="U1158" si="798">T1158*S1158</f>
        <v>28890</v>
      </c>
      <c r="V1158" s="9">
        <f t="shared" ref="V1158" si="799">U1158*1.12</f>
        <v>32356.800000000003</v>
      </c>
      <c r="W1158" s="7"/>
      <c r="X1158" s="2">
        <v>2016</v>
      </c>
      <c r="Y1158" s="9"/>
    </row>
    <row r="1159" spans="1:25" s="36" customFormat="1" ht="178.5" customHeight="1" outlineLevel="1" x14ac:dyDescent="0.25">
      <c r="A1159" s="1"/>
      <c r="B1159" s="2" t="s">
        <v>6079</v>
      </c>
      <c r="C1159" s="6" t="s">
        <v>83</v>
      </c>
      <c r="D1159" s="6" t="s">
        <v>2627</v>
      </c>
      <c r="E1159" s="6" t="s">
        <v>2426</v>
      </c>
      <c r="F1159" s="6" t="s">
        <v>2628</v>
      </c>
      <c r="G1159" s="6" t="s">
        <v>2630</v>
      </c>
      <c r="H1159" s="2" t="s">
        <v>88</v>
      </c>
      <c r="I1159" s="4">
        <v>0.4</v>
      </c>
      <c r="J1159" s="6">
        <v>710000000</v>
      </c>
      <c r="K1159" s="6" t="s">
        <v>89</v>
      </c>
      <c r="L1159" s="2" t="s">
        <v>754</v>
      </c>
      <c r="M1159" s="6" t="s">
        <v>2682</v>
      </c>
      <c r="N1159" s="6" t="s">
        <v>92</v>
      </c>
      <c r="O1159" s="6" t="s">
        <v>93</v>
      </c>
      <c r="P1159" s="3" t="s">
        <v>94</v>
      </c>
      <c r="Q1159" s="6">
        <v>796</v>
      </c>
      <c r="R1159" s="6" t="s">
        <v>118</v>
      </c>
      <c r="S1159" s="9">
        <v>54</v>
      </c>
      <c r="T1159" s="9">
        <v>535</v>
      </c>
      <c r="U1159" s="9">
        <v>0</v>
      </c>
      <c r="V1159" s="9">
        <f t="shared" si="737"/>
        <v>0</v>
      </c>
      <c r="W1159" s="7" t="s">
        <v>97</v>
      </c>
      <c r="X1159" s="2">
        <v>2016</v>
      </c>
      <c r="Y1159" s="9" t="s">
        <v>7793</v>
      </c>
    </row>
    <row r="1160" spans="1:25" s="36" customFormat="1" ht="178.5" customHeight="1" outlineLevel="1" x14ac:dyDescent="0.25">
      <c r="A1160" s="1"/>
      <c r="B1160" s="2" t="s">
        <v>7972</v>
      </c>
      <c r="C1160" s="6" t="s">
        <v>83</v>
      </c>
      <c r="D1160" s="6" t="s">
        <v>2627</v>
      </c>
      <c r="E1160" s="6" t="s">
        <v>2426</v>
      </c>
      <c r="F1160" s="6" t="s">
        <v>2628</v>
      </c>
      <c r="G1160" s="6" t="s">
        <v>2630</v>
      </c>
      <c r="H1160" s="2" t="s">
        <v>88</v>
      </c>
      <c r="I1160" s="4">
        <v>0</v>
      </c>
      <c r="J1160" s="6">
        <v>710000000</v>
      </c>
      <c r="K1160" s="6" t="s">
        <v>89</v>
      </c>
      <c r="L1160" s="2" t="s">
        <v>754</v>
      </c>
      <c r="M1160" s="6" t="s">
        <v>2682</v>
      </c>
      <c r="N1160" s="6" t="s">
        <v>92</v>
      </c>
      <c r="O1160" s="6" t="s">
        <v>93</v>
      </c>
      <c r="P1160" s="3" t="s">
        <v>673</v>
      </c>
      <c r="Q1160" s="6">
        <v>796</v>
      </c>
      <c r="R1160" s="6" t="s">
        <v>118</v>
      </c>
      <c r="S1160" s="9">
        <v>54</v>
      </c>
      <c r="T1160" s="9">
        <v>535</v>
      </c>
      <c r="U1160" s="9">
        <f t="shared" ref="U1160" si="800">T1160*S1160</f>
        <v>28890</v>
      </c>
      <c r="V1160" s="9">
        <f t="shared" ref="V1160" si="801">U1160*1.12</f>
        <v>32356.800000000003</v>
      </c>
      <c r="W1160" s="7"/>
      <c r="X1160" s="2">
        <v>2016</v>
      </c>
      <c r="Y1160" s="9"/>
    </row>
    <row r="1161" spans="1:25" s="36" customFormat="1" ht="178.5" customHeight="1" outlineLevel="1" x14ac:dyDescent="0.2">
      <c r="A1161" s="25"/>
      <c r="B1161" s="2" t="s">
        <v>6080</v>
      </c>
      <c r="C1161" s="6" t="s">
        <v>83</v>
      </c>
      <c r="D1161" s="6" t="s">
        <v>2627</v>
      </c>
      <c r="E1161" s="6" t="s">
        <v>2426</v>
      </c>
      <c r="F1161" s="6" t="s">
        <v>2628</v>
      </c>
      <c r="G1161" s="6" t="s">
        <v>2631</v>
      </c>
      <c r="H1161" s="2" t="s">
        <v>88</v>
      </c>
      <c r="I1161" s="4">
        <v>0.4</v>
      </c>
      <c r="J1161" s="6">
        <v>710000000</v>
      </c>
      <c r="K1161" s="6" t="s">
        <v>89</v>
      </c>
      <c r="L1161" s="2" t="s">
        <v>754</v>
      </c>
      <c r="M1161" s="6" t="s">
        <v>2682</v>
      </c>
      <c r="N1161" s="6" t="s">
        <v>92</v>
      </c>
      <c r="O1161" s="6" t="s">
        <v>93</v>
      </c>
      <c r="P1161" s="3" t="s">
        <v>94</v>
      </c>
      <c r="Q1161" s="6">
        <v>796</v>
      </c>
      <c r="R1161" s="6" t="s">
        <v>118</v>
      </c>
      <c r="S1161" s="9">
        <v>54</v>
      </c>
      <c r="T1161" s="9">
        <v>535</v>
      </c>
      <c r="U1161" s="9">
        <v>0</v>
      </c>
      <c r="V1161" s="9">
        <f t="shared" si="737"/>
        <v>0</v>
      </c>
      <c r="W1161" s="7" t="s">
        <v>97</v>
      </c>
      <c r="X1161" s="2">
        <v>2016</v>
      </c>
      <c r="Y1161" s="9" t="s">
        <v>7793</v>
      </c>
    </row>
    <row r="1162" spans="1:25" s="36" customFormat="1" ht="178.5" customHeight="1" outlineLevel="1" x14ac:dyDescent="0.25">
      <c r="A1162" s="1"/>
      <c r="B1162" s="2" t="s">
        <v>7973</v>
      </c>
      <c r="C1162" s="6" t="s">
        <v>83</v>
      </c>
      <c r="D1162" s="6" t="s">
        <v>2627</v>
      </c>
      <c r="E1162" s="6" t="s">
        <v>2426</v>
      </c>
      <c r="F1162" s="6" t="s">
        <v>2628</v>
      </c>
      <c r="G1162" s="6" t="s">
        <v>2631</v>
      </c>
      <c r="H1162" s="2" t="s">
        <v>88</v>
      </c>
      <c r="I1162" s="4">
        <v>0</v>
      </c>
      <c r="J1162" s="6">
        <v>710000000</v>
      </c>
      <c r="K1162" s="6" t="s">
        <v>89</v>
      </c>
      <c r="L1162" s="2" t="s">
        <v>754</v>
      </c>
      <c r="M1162" s="6" t="s">
        <v>2682</v>
      </c>
      <c r="N1162" s="6" t="s">
        <v>92</v>
      </c>
      <c r="O1162" s="6" t="s">
        <v>93</v>
      </c>
      <c r="P1162" s="3" t="s">
        <v>673</v>
      </c>
      <c r="Q1162" s="6">
        <v>796</v>
      </c>
      <c r="R1162" s="6" t="s">
        <v>118</v>
      </c>
      <c r="S1162" s="9">
        <v>54</v>
      </c>
      <c r="T1162" s="9">
        <v>535</v>
      </c>
      <c r="U1162" s="9">
        <f t="shared" ref="U1162" si="802">T1162*S1162</f>
        <v>28890</v>
      </c>
      <c r="V1162" s="9">
        <f t="shared" ref="V1162" si="803">U1162*1.12</f>
        <v>32356.800000000003</v>
      </c>
      <c r="W1162" s="7"/>
      <c r="X1162" s="2">
        <v>2016</v>
      </c>
      <c r="Y1162" s="9"/>
    </row>
    <row r="1163" spans="1:25" s="36" customFormat="1" ht="178.5" customHeight="1" outlineLevel="1" x14ac:dyDescent="0.2">
      <c r="A1163" s="25"/>
      <c r="B1163" s="2" t="s">
        <v>6081</v>
      </c>
      <c r="C1163" s="6" t="s">
        <v>83</v>
      </c>
      <c r="D1163" s="6" t="s">
        <v>2627</v>
      </c>
      <c r="E1163" s="6" t="s">
        <v>2426</v>
      </c>
      <c r="F1163" s="6" t="s">
        <v>2628</v>
      </c>
      <c r="G1163" s="6" t="s">
        <v>2632</v>
      </c>
      <c r="H1163" s="2" t="s">
        <v>88</v>
      </c>
      <c r="I1163" s="4">
        <v>0.4</v>
      </c>
      <c r="J1163" s="6">
        <v>710000000</v>
      </c>
      <c r="K1163" s="6" t="s">
        <v>89</v>
      </c>
      <c r="L1163" s="2" t="s">
        <v>754</v>
      </c>
      <c r="M1163" s="6" t="s">
        <v>2682</v>
      </c>
      <c r="N1163" s="6" t="s">
        <v>92</v>
      </c>
      <c r="O1163" s="6" t="s">
        <v>93</v>
      </c>
      <c r="P1163" s="3" t="s">
        <v>94</v>
      </c>
      <c r="Q1163" s="6">
        <v>796</v>
      </c>
      <c r="R1163" s="6" t="s">
        <v>118</v>
      </c>
      <c r="S1163" s="9">
        <v>54</v>
      </c>
      <c r="T1163" s="9">
        <v>535</v>
      </c>
      <c r="U1163" s="9">
        <v>0</v>
      </c>
      <c r="V1163" s="9">
        <f t="shared" si="737"/>
        <v>0</v>
      </c>
      <c r="W1163" s="7" t="s">
        <v>97</v>
      </c>
      <c r="X1163" s="2">
        <v>2016</v>
      </c>
      <c r="Y1163" s="9" t="s">
        <v>7793</v>
      </c>
    </row>
    <row r="1164" spans="1:25" s="36" customFormat="1" ht="178.5" customHeight="1" outlineLevel="1" x14ac:dyDescent="0.25">
      <c r="A1164" s="1"/>
      <c r="B1164" s="2" t="s">
        <v>7974</v>
      </c>
      <c r="C1164" s="6" t="s">
        <v>83</v>
      </c>
      <c r="D1164" s="6" t="s">
        <v>2627</v>
      </c>
      <c r="E1164" s="6" t="s">
        <v>2426</v>
      </c>
      <c r="F1164" s="6" t="s">
        <v>2628</v>
      </c>
      <c r="G1164" s="6" t="s">
        <v>2632</v>
      </c>
      <c r="H1164" s="2" t="s">
        <v>88</v>
      </c>
      <c r="I1164" s="4">
        <v>0</v>
      </c>
      <c r="J1164" s="6">
        <v>710000000</v>
      </c>
      <c r="K1164" s="6" t="s">
        <v>89</v>
      </c>
      <c r="L1164" s="2" t="s">
        <v>754</v>
      </c>
      <c r="M1164" s="6" t="s">
        <v>2682</v>
      </c>
      <c r="N1164" s="6" t="s">
        <v>92</v>
      </c>
      <c r="O1164" s="6" t="s">
        <v>93</v>
      </c>
      <c r="P1164" s="3" t="s">
        <v>94</v>
      </c>
      <c r="Q1164" s="6">
        <v>796</v>
      </c>
      <c r="R1164" s="6" t="s">
        <v>118</v>
      </c>
      <c r="S1164" s="9">
        <v>54</v>
      </c>
      <c r="T1164" s="9">
        <v>535</v>
      </c>
      <c r="U1164" s="9">
        <f t="shared" ref="U1164" si="804">T1164*S1164</f>
        <v>28890</v>
      </c>
      <c r="V1164" s="9">
        <f t="shared" ref="V1164" si="805">U1164*1.12</f>
        <v>32356.800000000003</v>
      </c>
      <c r="W1164" s="7"/>
      <c r="X1164" s="2">
        <v>2016</v>
      </c>
      <c r="Y1164" s="9"/>
    </row>
    <row r="1165" spans="1:25" s="36" customFormat="1" ht="409.5" customHeight="1" outlineLevel="1" x14ac:dyDescent="0.2">
      <c r="A1165" s="25"/>
      <c r="B1165" s="2" t="s">
        <v>6082</v>
      </c>
      <c r="C1165" s="6" t="s">
        <v>83</v>
      </c>
      <c r="D1165" s="6" t="s">
        <v>2627</v>
      </c>
      <c r="E1165" s="6" t="s">
        <v>2426</v>
      </c>
      <c r="F1165" s="6" t="s">
        <v>2628</v>
      </c>
      <c r="G1165" s="6" t="s">
        <v>2683</v>
      </c>
      <c r="H1165" s="2" t="s">
        <v>88</v>
      </c>
      <c r="I1165" s="4">
        <v>0.4</v>
      </c>
      <c r="J1165" s="6">
        <v>710000000</v>
      </c>
      <c r="K1165" s="6" t="s">
        <v>89</v>
      </c>
      <c r="L1165" s="2" t="s">
        <v>754</v>
      </c>
      <c r="M1165" s="6" t="s">
        <v>2682</v>
      </c>
      <c r="N1165" s="6" t="s">
        <v>92</v>
      </c>
      <c r="O1165" s="6" t="s">
        <v>93</v>
      </c>
      <c r="P1165" s="3" t="s">
        <v>94</v>
      </c>
      <c r="Q1165" s="6">
        <v>796</v>
      </c>
      <c r="R1165" s="6" t="s">
        <v>118</v>
      </c>
      <c r="S1165" s="9">
        <v>54</v>
      </c>
      <c r="T1165" s="9">
        <v>535</v>
      </c>
      <c r="U1165" s="9">
        <v>0</v>
      </c>
      <c r="V1165" s="9">
        <f t="shared" si="737"/>
        <v>0</v>
      </c>
      <c r="W1165" s="7" t="s">
        <v>97</v>
      </c>
      <c r="X1165" s="2">
        <v>2016</v>
      </c>
      <c r="Y1165" s="9" t="s">
        <v>7793</v>
      </c>
    </row>
    <row r="1166" spans="1:25" s="36" customFormat="1" ht="409.5" customHeight="1" outlineLevel="1" x14ac:dyDescent="0.25">
      <c r="A1166" s="1"/>
      <c r="B1166" s="2" t="s">
        <v>7975</v>
      </c>
      <c r="C1166" s="6" t="s">
        <v>83</v>
      </c>
      <c r="D1166" s="6" t="s">
        <v>2627</v>
      </c>
      <c r="E1166" s="6" t="s">
        <v>2426</v>
      </c>
      <c r="F1166" s="6" t="s">
        <v>2628</v>
      </c>
      <c r="G1166" s="6" t="s">
        <v>2683</v>
      </c>
      <c r="H1166" s="2" t="s">
        <v>88</v>
      </c>
      <c r="I1166" s="4">
        <v>0</v>
      </c>
      <c r="J1166" s="6">
        <v>710000000</v>
      </c>
      <c r="K1166" s="6" t="s">
        <v>89</v>
      </c>
      <c r="L1166" s="2" t="s">
        <v>754</v>
      </c>
      <c r="M1166" s="6" t="s">
        <v>2682</v>
      </c>
      <c r="N1166" s="6" t="s">
        <v>92</v>
      </c>
      <c r="O1166" s="6" t="s">
        <v>93</v>
      </c>
      <c r="P1166" s="3" t="s">
        <v>673</v>
      </c>
      <c r="Q1166" s="6">
        <v>796</v>
      </c>
      <c r="R1166" s="6" t="s">
        <v>118</v>
      </c>
      <c r="S1166" s="9">
        <v>54</v>
      </c>
      <c r="T1166" s="9">
        <v>535</v>
      </c>
      <c r="U1166" s="9">
        <f t="shared" ref="U1166" si="806">T1166*S1166</f>
        <v>28890</v>
      </c>
      <c r="V1166" s="9">
        <f t="shared" ref="V1166" si="807">U1166*1.12</f>
        <v>32356.800000000003</v>
      </c>
      <c r="W1166" s="7"/>
      <c r="X1166" s="2">
        <v>2016</v>
      </c>
      <c r="Y1166" s="9"/>
    </row>
    <row r="1167" spans="1:25" s="36" customFormat="1" ht="409.5" customHeight="1" outlineLevel="1" x14ac:dyDescent="0.2">
      <c r="A1167" s="25"/>
      <c r="B1167" s="2" t="s">
        <v>6083</v>
      </c>
      <c r="C1167" s="6" t="s">
        <v>83</v>
      </c>
      <c r="D1167" s="6" t="s">
        <v>2627</v>
      </c>
      <c r="E1167" s="6" t="s">
        <v>2426</v>
      </c>
      <c r="F1167" s="6" t="s">
        <v>2628</v>
      </c>
      <c r="G1167" s="6" t="s">
        <v>2684</v>
      </c>
      <c r="H1167" s="2" t="s">
        <v>88</v>
      </c>
      <c r="I1167" s="4">
        <v>0.4</v>
      </c>
      <c r="J1167" s="6">
        <v>710000000</v>
      </c>
      <c r="K1167" s="6" t="s">
        <v>89</v>
      </c>
      <c r="L1167" s="2" t="s">
        <v>754</v>
      </c>
      <c r="M1167" s="6" t="s">
        <v>2682</v>
      </c>
      <c r="N1167" s="6" t="s">
        <v>92</v>
      </c>
      <c r="O1167" s="6" t="s">
        <v>93</v>
      </c>
      <c r="P1167" s="3" t="s">
        <v>94</v>
      </c>
      <c r="Q1167" s="6">
        <v>796</v>
      </c>
      <c r="R1167" s="6" t="s">
        <v>118</v>
      </c>
      <c r="S1167" s="9">
        <v>54</v>
      </c>
      <c r="T1167" s="9">
        <v>535</v>
      </c>
      <c r="U1167" s="9">
        <v>0</v>
      </c>
      <c r="V1167" s="9">
        <f t="shared" si="737"/>
        <v>0</v>
      </c>
      <c r="W1167" s="7" t="s">
        <v>97</v>
      </c>
      <c r="X1167" s="2">
        <v>2016</v>
      </c>
      <c r="Y1167" s="9" t="s">
        <v>7793</v>
      </c>
    </row>
    <row r="1168" spans="1:25" s="36" customFormat="1" ht="409.5" customHeight="1" outlineLevel="1" x14ac:dyDescent="0.25">
      <c r="A1168" s="1"/>
      <c r="B1168" s="2" t="s">
        <v>7976</v>
      </c>
      <c r="C1168" s="6" t="s">
        <v>83</v>
      </c>
      <c r="D1168" s="6" t="s">
        <v>2627</v>
      </c>
      <c r="E1168" s="6" t="s">
        <v>2426</v>
      </c>
      <c r="F1168" s="6" t="s">
        <v>2628</v>
      </c>
      <c r="G1168" s="6" t="s">
        <v>2684</v>
      </c>
      <c r="H1168" s="2" t="s">
        <v>88</v>
      </c>
      <c r="I1168" s="4">
        <v>0</v>
      </c>
      <c r="J1168" s="6">
        <v>710000000</v>
      </c>
      <c r="K1168" s="6" t="s">
        <v>89</v>
      </c>
      <c r="L1168" s="2" t="s">
        <v>754</v>
      </c>
      <c r="M1168" s="6" t="s">
        <v>2682</v>
      </c>
      <c r="N1168" s="6" t="s">
        <v>92</v>
      </c>
      <c r="O1168" s="6" t="s">
        <v>93</v>
      </c>
      <c r="P1168" s="3" t="s">
        <v>673</v>
      </c>
      <c r="Q1168" s="6">
        <v>796</v>
      </c>
      <c r="R1168" s="6" t="s">
        <v>118</v>
      </c>
      <c r="S1168" s="9">
        <v>54</v>
      </c>
      <c r="T1168" s="9">
        <v>535</v>
      </c>
      <c r="U1168" s="9">
        <f t="shared" ref="U1168" si="808">T1168*S1168</f>
        <v>28890</v>
      </c>
      <c r="V1168" s="9">
        <f t="shared" ref="V1168" si="809">U1168*1.12</f>
        <v>32356.800000000003</v>
      </c>
      <c r="W1168" s="7"/>
      <c r="X1168" s="2">
        <v>2016</v>
      </c>
      <c r="Y1168" s="9"/>
    </row>
    <row r="1169" spans="1:25" s="36" customFormat="1" ht="409.5" customHeight="1" outlineLevel="1" x14ac:dyDescent="0.25">
      <c r="A1169" s="1"/>
      <c r="B1169" s="2" t="s">
        <v>6084</v>
      </c>
      <c r="C1169" s="6" t="s">
        <v>83</v>
      </c>
      <c r="D1169" s="6" t="s">
        <v>2627</v>
      </c>
      <c r="E1169" s="6" t="s">
        <v>2426</v>
      </c>
      <c r="F1169" s="6" t="s">
        <v>2628</v>
      </c>
      <c r="G1169" s="6" t="s">
        <v>2685</v>
      </c>
      <c r="H1169" s="2" t="s">
        <v>88</v>
      </c>
      <c r="I1169" s="4">
        <v>0.4</v>
      </c>
      <c r="J1169" s="6">
        <v>710000000</v>
      </c>
      <c r="K1169" s="6" t="s">
        <v>89</v>
      </c>
      <c r="L1169" s="2" t="s">
        <v>754</v>
      </c>
      <c r="M1169" s="6" t="s">
        <v>2682</v>
      </c>
      <c r="N1169" s="6" t="s">
        <v>92</v>
      </c>
      <c r="O1169" s="6" t="s">
        <v>93</v>
      </c>
      <c r="P1169" s="3" t="s">
        <v>94</v>
      </c>
      <c r="Q1169" s="6">
        <v>796</v>
      </c>
      <c r="R1169" s="6" t="s">
        <v>118</v>
      </c>
      <c r="S1169" s="9">
        <v>54</v>
      </c>
      <c r="T1169" s="9">
        <v>535</v>
      </c>
      <c r="U1169" s="9">
        <v>0</v>
      </c>
      <c r="V1169" s="9">
        <f t="shared" si="737"/>
        <v>0</v>
      </c>
      <c r="W1169" s="7" t="s">
        <v>97</v>
      </c>
      <c r="X1169" s="2">
        <v>2016</v>
      </c>
      <c r="Y1169" s="9" t="s">
        <v>7793</v>
      </c>
    </row>
    <row r="1170" spans="1:25" s="36" customFormat="1" ht="409.5" customHeight="1" outlineLevel="1" x14ac:dyDescent="0.25">
      <c r="A1170" s="1"/>
      <c r="B1170" s="2" t="s">
        <v>7977</v>
      </c>
      <c r="C1170" s="6" t="s">
        <v>83</v>
      </c>
      <c r="D1170" s="6" t="s">
        <v>2627</v>
      </c>
      <c r="E1170" s="6" t="s">
        <v>2426</v>
      </c>
      <c r="F1170" s="6" t="s">
        <v>2628</v>
      </c>
      <c r="G1170" s="6" t="s">
        <v>2685</v>
      </c>
      <c r="H1170" s="2" t="s">
        <v>88</v>
      </c>
      <c r="I1170" s="4">
        <v>0</v>
      </c>
      <c r="J1170" s="6">
        <v>710000000</v>
      </c>
      <c r="K1170" s="6" t="s">
        <v>89</v>
      </c>
      <c r="L1170" s="2" t="s">
        <v>754</v>
      </c>
      <c r="M1170" s="6" t="s">
        <v>2682</v>
      </c>
      <c r="N1170" s="6" t="s">
        <v>92</v>
      </c>
      <c r="O1170" s="6" t="s">
        <v>93</v>
      </c>
      <c r="P1170" s="3" t="s">
        <v>673</v>
      </c>
      <c r="Q1170" s="6">
        <v>796</v>
      </c>
      <c r="R1170" s="6" t="s">
        <v>118</v>
      </c>
      <c r="S1170" s="9">
        <v>54</v>
      </c>
      <c r="T1170" s="9">
        <v>535</v>
      </c>
      <c r="U1170" s="9">
        <f t="shared" ref="U1170" si="810">T1170*S1170</f>
        <v>28890</v>
      </c>
      <c r="V1170" s="9">
        <f t="shared" ref="V1170" si="811">U1170*1.12</f>
        <v>32356.800000000003</v>
      </c>
      <c r="W1170" s="7"/>
      <c r="X1170" s="2">
        <v>2016</v>
      </c>
      <c r="Y1170" s="9"/>
    </row>
    <row r="1171" spans="1:25" s="36" customFormat="1" ht="409.5" customHeight="1" outlineLevel="1" x14ac:dyDescent="0.25">
      <c r="A1171" s="1"/>
      <c r="B1171" s="2" t="s">
        <v>6085</v>
      </c>
      <c r="C1171" s="6" t="s">
        <v>83</v>
      </c>
      <c r="D1171" s="6" t="s">
        <v>2627</v>
      </c>
      <c r="E1171" s="6" t="s">
        <v>2426</v>
      </c>
      <c r="F1171" s="6" t="s">
        <v>2628</v>
      </c>
      <c r="G1171" s="6" t="s">
        <v>2686</v>
      </c>
      <c r="H1171" s="2" t="s">
        <v>88</v>
      </c>
      <c r="I1171" s="4">
        <v>0.4</v>
      </c>
      <c r="J1171" s="6">
        <v>710000000</v>
      </c>
      <c r="K1171" s="6" t="s">
        <v>89</v>
      </c>
      <c r="L1171" s="2" t="s">
        <v>754</v>
      </c>
      <c r="M1171" s="6" t="s">
        <v>2682</v>
      </c>
      <c r="N1171" s="6" t="s">
        <v>92</v>
      </c>
      <c r="O1171" s="6" t="s">
        <v>93</v>
      </c>
      <c r="P1171" s="3" t="s">
        <v>94</v>
      </c>
      <c r="Q1171" s="6">
        <v>796</v>
      </c>
      <c r="R1171" s="6" t="s">
        <v>118</v>
      </c>
      <c r="S1171" s="9">
        <v>54</v>
      </c>
      <c r="T1171" s="9">
        <v>535</v>
      </c>
      <c r="U1171" s="9">
        <v>0</v>
      </c>
      <c r="V1171" s="9">
        <f t="shared" si="737"/>
        <v>0</v>
      </c>
      <c r="W1171" s="7" t="s">
        <v>97</v>
      </c>
      <c r="X1171" s="2">
        <v>2016</v>
      </c>
      <c r="Y1171" s="9" t="s">
        <v>7793</v>
      </c>
    </row>
    <row r="1172" spans="1:25" s="36" customFormat="1" ht="409.5" customHeight="1" outlineLevel="1" x14ac:dyDescent="0.25">
      <c r="A1172" s="1"/>
      <c r="B1172" s="2" t="s">
        <v>7978</v>
      </c>
      <c r="C1172" s="6" t="s">
        <v>83</v>
      </c>
      <c r="D1172" s="6" t="s">
        <v>2627</v>
      </c>
      <c r="E1172" s="6" t="s">
        <v>2426</v>
      </c>
      <c r="F1172" s="6" t="s">
        <v>2628</v>
      </c>
      <c r="G1172" s="6" t="s">
        <v>2686</v>
      </c>
      <c r="H1172" s="2" t="s">
        <v>88</v>
      </c>
      <c r="I1172" s="4">
        <v>0</v>
      </c>
      <c r="J1172" s="6">
        <v>710000000</v>
      </c>
      <c r="K1172" s="6" t="s">
        <v>89</v>
      </c>
      <c r="L1172" s="2" t="s">
        <v>754</v>
      </c>
      <c r="M1172" s="6" t="s">
        <v>2682</v>
      </c>
      <c r="N1172" s="6" t="s">
        <v>92</v>
      </c>
      <c r="O1172" s="6" t="s">
        <v>93</v>
      </c>
      <c r="P1172" s="3" t="s">
        <v>673</v>
      </c>
      <c r="Q1172" s="6">
        <v>796</v>
      </c>
      <c r="R1172" s="6" t="s">
        <v>118</v>
      </c>
      <c r="S1172" s="9">
        <v>54</v>
      </c>
      <c r="T1172" s="9">
        <v>535</v>
      </c>
      <c r="U1172" s="9">
        <f t="shared" ref="U1172" si="812">T1172*S1172</f>
        <v>28890</v>
      </c>
      <c r="V1172" s="9">
        <f t="shared" ref="V1172" si="813">U1172*1.12</f>
        <v>32356.800000000003</v>
      </c>
      <c r="W1172" s="7"/>
      <c r="X1172" s="2">
        <v>2016</v>
      </c>
      <c r="Y1172" s="9"/>
    </row>
    <row r="1173" spans="1:25" s="36" customFormat="1" ht="229.5" customHeight="1" outlineLevel="1" x14ac:dyDescent="0.25">
      <c r="A1173" s="1"/>
      <c r="B1173" s="2" t="s">
        <v>6086</v>
      </c>
      <c r="C1173" s="6" t="s">
        <v>83</v>
      </c>
      <c r="D1173" s="6" t="s">
        <v>2633</v>
      </c>
      <c r="E1173" s="6" t="s">
        <v>2422</v>
      </c>
      <c r="F1173" s="6" t="s">
        <v>2634</v>
      </c>
      <c r="G1173" s="13" t="s">
        <v>2687</v>
      </c>
      <c r="H1173" s="2" t="s">
        <v>88</v>
      </c>
      <c r="I1173" s="4">
        <v>0.4</v>
      </c>
      <c r="J1173" s="6">
        <v>710000000</v>
      </c>
      <c r="K1173" s="6" t="s">
        <v>89</v>
      </c>
      <c r="L1173" s="2" t="s">
        <v>754</v>
      </c>
      <c r="M1173" s="6" t="s">
        <v>2682</v>
      </c>
      <c r="N1173" s="6" t="s">
        <v>92</v>
      </c>
      <c r="O1173" s="6" t="s">
        <v>93</v>
      </c>
      <c r="P1173" s="3" t="s">
        <v>94</v>
      </c>
      <c r="Q1173" s="6">
        <v>796</v>
      </c>
      <c r="R1173" s="6" t="s">
        <v>118</v>
      </c>
      <c r="S1173" s="9">
        <v>72</v>
      </c>
      <c r="T1173" s="9">
        <v>401</v>
      </c>
      <c r="U1173" s="9">
        <v>0</v>
      </c>
      <c r="V1173" s="9">
        <f t="shared" si="737"/>
        <v>0</v>
      </c>
      <c r="W1173" s="7" t="s">
        <v>97</v>
      </c>
      <c r="X1173" s="2">
        <v>2016</v>
      </c>
      <c r="Y1173" s="9" t="s">
        <v>7793</v>
      </c>
    </row>
    <row r="1174" spans="1:25" s="36" customFormat="1" ht="229.5" customHeight="1" outlineLevel="1" x14ac:dyDescent="0.25">
      <c r="A1174" s="1"/>
      <c r="B1174" s="2" t="s">
        <v>7979</v>
      </c>
      <c r="C1174" s="6" t="s">
        <v>83</v>
      </c>
      <c r="D1174" s="6" t="s">
        <v>2633</v>
      </c>
      <c r="E1174" s="6" t="s">
        <v>2422</v>
      </c>
      <c r="F1174" s="6" t="s">
        <v>2634</v>
      </c>
      <c r="G1174" s="13" t="s">
        <v>2687</v>
      </c>
      <c r="H1174" s="2" t="s">
        <v>88</v>
      </c>
      <c r="I1174" s="4">
        <v>0</v>
      </c>
      <c r="J1174" s="6">
        <v>710000000</v>
      </c>
      <c r="K1174" s="6" t="s">
        <v>89</v>
      </c>
      <c r="L1174" s="2" t="s">
        <v>754</v>
      </c>
      <c r="M1174" s="6" t="s">
        <v>2682</v>
      </c>
      <c r="N1174" s="6" t="s">
        <v>92</v>
      </c>
      <c r="O1174" s="6" t="s">
        <v>93</v>
      </c>
      <c r="P1174" s="3" t="s">
        <v>673</v>
      </c>
      <c r="Q1174" s="6">
        <v>796</v>
      </c>
      <c r="R1174" s="6" t="s">
        <v>118</v>
      </c>
      <c r="S1174" s="9">
        <v>72</v>
      </c>
      <c r="T1174" s="9">
        <v>401</v>
      </c>
      <c r="U1174" s="9">
        <f t="shared" ref="U1174" si="814">T1174*S1174</f>
        <v>28872</v>
      </c>
      <c r="V1174" s="9">
        <f t="shared" ref="V1174" si="815">U1174*1.12</f>
        <v>32336.640000000003</v>
      </c>
      <c r="W1174" s="7"/>
      <c r="X1174" s="2">
        <v>2016</v>
      </c>
      <c r="Y1174" s="9"/>
    </row>
    <row r="1175" spans="1:25" s="36" customFormat="1" ht="229.5" customHeight="1" outlineLevel="1" x14ac:dyDescent="0.2">
      <c r="A1175" s="25"/>
      <c r="B1175" s="2" t="s">
        <v>6087</v>
      </c>
      <c r="C1175" s="6" t="s">
        <v>83</v>
      </c>
      <c r="D1175" s="6" t="s">
        <v>2633</v>
      </c>
      <c r="E1175" s="6" t="s">
        <v>2422</v>
      </c>
      <c r="F1175" s="6" t="s">
        <v>2634</v>
      </c>
      <c r="G1175" s="13" t="s">
        <v>2688</v>
      </c>
      <c r="H1175" s="2" t="s">
        <v>88</v>
      </c>
      <c r="I1175" s="4">
        <v>0.4</v>
      </c>
      <c r="J1175" s="6">
        <v>710000000</v>
      </c>
      <c r="K1175" s="6" t="s">
        <v>89</v>
      </c>
      <c r="L1175" s="2" t="s">
        <v>754</v>
      </c>
      <c r="M1175" s="6" t="s">
        <v>2682</v>
      </c>
      <c r="N1175" s="6" t="s">
        <v>92</v>
      </c>
      <c r="O1175" s="6" t="s">
        <v>93</v>
      </c>
      <c r="P1175" s="3" t="s">
        <v>94</v>
      </c>
      <c r="Q1175" s="6">
        <v>796</v>
      </c>
      <c r="R1175" s="6" t="s">
        <v>118</v>
      </c>
      <c r="S1175" s="9">
        <v>72</v>
      </c>
      <c r="T1175" s="9">
        <v>401</v>
      </c>
      <c r="U1175" s="9">
        <v>0</v>
      </c>
      <c r="V1175" s="9">
        <f t="shared" si="737"/>
        <v>0</v>
      </c>
      <c r="W1175" s="7" t="s">
        <v>97</v>
      </c>
      <c r="X1175" s="2">
        <v>2016</v>
      </c>
      <c r="Y1175" s="9" t="s">
        <v>7793</v>
      </c>
    </row>
    <row r="1176" spans="1:25" s="36" customFormat="1" ht="229.5" customHeight="1" outlineLevel="1" x14ac:dyDescent="0.25">
      <c r="A1176" s="1"/>
      <c r="B1176" s="2" t="s">
        <v>7980</v>
      </c>
      <c r="C1176" s="6" t="s">
        <v>83</v>
      </c>
      <c r="D1176" s="6" t="s">
        <v>2633</v>
      </c>
      <c r="E1176" s="6" t="s">
        <v>2422</v>
      </c>
      <c r="F1176" s="6" t="s">
        <v>2634</v>
      </c>
      <c r="G1176" s="13" t="s">
        <v>2688</v>
      </c>
      <c r="H1176" s="2" t="s">
        <v>88</v>
      </c>
      <c r="I1176" s="4">
        <v>0</v>
      </c>
      <c r="J1176" s="6">
        <v>710000000</v>
      </c>
      <c r="K1176" s="6" t="s">
        <v>89</v>
      </c>
      <c r="L1176" s="2" t="s">
        <v>754</v>
      </c>
      <c r="M1176" s="6" t="s">
        <v>2682</v>
      </c>
      <c r="N1176" s="6" t="s">
        <v>92</v>
      </c>
      <c r="O1176" s="6" t="s">
        <v>93</v>
      </c>
      <c r="P1176" s="3" t="s">
        <v>673</v>
      </c>
      <c r="Q1176" s="6">
        <v>796</v>
      </c>
      <c r="R1176" s="6" t="s">
        <v>118</v>
      </c>
      <c r="S1176" s="9">
        <v>72</v>
      </c>
      <c r="T1176" s="9">
        <v>401</v>
      </c>
      <c r="U1176" s="9">
        <f t="shared" ref="U1176" si="816">T1176*S1176</f>
        <v>28872</v>
      </c>
      <c r="V1176" s="9">
        <f t="shared" ref="V1176" si="817">U1176*1.12</f>
        <v>32336.640000000003</v>
      </c>
      <c r="W1176" s="7"/>
      <c r="X1176" s="2">
        <v>2016</v>
      </c>
      <c r="Y1176" s="9"/>
    </row>
    <row r="1177" spans="1:25" s="36" customFormat="1" ht="229.5" customHeight="1" outlineLevel="1" x14ac:dyDescent="0.25">
      <c r="A1177" s="1"/>
      <c r="B1177" s="2" t="s">
        <v>6088</v>
      </c>
      <c r="C1177" s="6" t="s">
        <v>83</v>
      </c>
      <c r="D1177" s="6" t="s">
        <v>2633</v>
      </c>
      <c r="E1177" s="6" t="s">
        <v>2422</v>
      </c>
      <c r="F1177" s="6" t="s">
        <v>2634</v>
      </c>
      <c r="G1177" s="13" t="s">
        <v>2689</v>
      </c>
      <c r="H1177" s="2" t="s">
        <v>88</v>
      </c>
      <c r="I1177" s="4">
        <v>0.4</v>
      </c>
      <c r="J1177" s="6">
        <v>710000000</v>
      </c>
      <c r="K1177" s="6" t="s">
        <v>89</v>
      </c>
      <c r="L1177" s="2" t="s">
        <v>754</v>
      </c>
      <c r="M1177" s="6" t="s">
        <v>2682</v>
      </c>
      <c r="N1177" s="6" t="s">
        <v>92</v>
      </c>
      <c r="O1177" s="6" t="s">
        <v>93</v>
      </c>
      <c r="P1177" s="3" t="s">
        <v>94</v>
      </c>
      <c r="Q1177" s="6">
        <v>796</v>
      </c>
      <c r="R1177" s="6" t="s">
        <v>118</v>
      </c>
      <c r="S1177" s="9">
        <v>72</v>
      </c>
      <c r="T1177" s="9">
        <v>401</v>
      </c>
      <c r="U1177" s="9">
        <v>0</v>
      </c>
      <c r="V1177" s="9">
        <f t="shared" si="737"/>
        <v>0</v>
      </c>
      <c r="W1177" s="7" t="s">
        <v>97</v>
      </c>
      <c r="X1177" s="2">
        <v>2016</v>
      </c>
      <c r="Y1177" s="9" t="s">
        <v>7793</v>
      </c>
    </row>
    <row r="1178" spans="1:25" s="36" customFormat="1" ht="229.5" customHeight="1" outlineLevel="1" x14ac:dyDescent="0.25">
      <c r="A1178" s="1"/>
      <c r="B1178" s="2" t="s">
        <v>7981</v>
      </c>
      <c r="C1178" s="6" t="s">
        <v>83</v>
      </c>
      <c r="D1178" s="6" t="s">
        <v>2633</v>
      </c>
      <c r="E1178" s="6" t="s">
        <v>2422</v>
      </c>
      <c r="F1178" s="6" t="s">
        <v>2634</v>
      </c>
      <c r="G1178" s="13" t="s">
        <v>2689</v>
      </c>
      <c r="H1178" s="2" t="s">
        <v>88</v>
      </c>
      <c r="I1178" s="4">
        <v>0</v>
      </c>
      <c r="J1178" s="6">
        <v>710000000</v>
      </c>
      <c r="K1178" s="6" t="s">
        <v>89</v>
      </c>
      <c r="L1178" s="2" t="s">
        <v>754</v>
      </c>
      <c r="M1178" s="6" t="s">
        <v>2682</v>
      </c>
      <c r="N1178" s="6" t="s">
        <v>92</v>
      </c>
      <c r="O1178" s="6" t="s">
        <v>93</v>
      </c>
      <c r="P1178" s="3" t="s">
        <v>673</v>
      </c>
      <c r="Q1178" s="6">
        <v>796</v>
      </c>
      <c r="R1178" s="6" t="s">
        <v>118</v>
      </c>
      <c r="S1178" s="9">
        <v>72</v>
      </c>
      <c r="T1178" s="9">
        <v>401</v>
      </c>
      <c r="U1178" s="9">
        <f t="shared" ref="U1178" si="818">T1178*S1178</f>
        <v>28872</v>
      </c>
      <c r="V1178" s="9">
        <f t="shared" ref="V1178" si="819">U1178*1.12</f>
        <v>32336.640000000003</v>
      </c>
      <c r="W1178" s="7"/>
      <c r="X1178" s="2">
        <v>2016</v>
      </c>
      <c r="Y1178" s="9"/>
    </row>
    <row r="1179" spans="1:25" s="36" customFormat="1" ht="229.5" customHeight="1" outlineLevel="1" x14ac:dyDescent="0.25">
      <c r="A1179" s="1"/>
      <c r="B1179" s="2" t="s">
        <v>6089</v>
      </c>
      <c r="C1179" s="6" t="s">
        <v>83</v>
      </c>
      <c r="D1179" s="6" t="s">
        <v>2633</v>
      </c>
      <c r="E1179" s="6" t="s">
        <v>2422</v>
      </c>
      <c r="F1179" s="6" t="s">
        <v>2634</v>
      </c>
      <c r="G1179" s="13" t="s">
        <v>2690</v>
      </c>
      <c r="H1179" s="2" t="s">
        <v>88</v>
      </c>
      <c r="I1179" s="4">
        <v>0.4</v>
      </c>
      <c r="J1179" s="6">
        <v>710000000</v>
      </c>
      <c r="K1179" s="6" t="s">
        <v>89</v>
      </c>
      <c r="L1179" s="2" t="s">
        <v>754</v>
      </c>
      <c r="M1179" s="6" t="s">
        <v>2682</v>
      </c>
      <c r="N1179" s="6" t="s">
        <v>92</v>
      </c>
      <c r="O1179" s="6" t="s">
        <v>93</v>
      </c>
      <c r="P1179" s="3" t="s">
        <v>94</v>
      </c>
      <c r="Q1179" s="6">
        <v>796</v>
      </c>
      <c r="R1179" s="6" t="s">
        <v>118</v>
      </c>
      <c r="S1179" s="9">
        <v>72</v>
      </c>
      <c r="T1179" s="9">
        <v>401</v>
      </c>
      <c r="U1179" s="9">
        <v>0</v>
      </c>
      <c r="V1179" s="9">
        <f t="shared" si="737"/>
        <v>0</v>
      </c>
      <c r="W1179" s="7" t="s">
        <v>97</v>
      </c>
      <c r="X1179" s="2">
        <v>2016</v>
      </c>
      <c r="Y1179" s="9" t="s">
        <v>7793</v>
      </c>
    </row>
    <row r="1180" spans="1:25" s="36" customFormat="1" ht="229.5" customHeight="1" outlineLevel="1" x14ac:dyDescent="0.25">
      <c r="A1180" s="1"/>
      <c r="B1180" s="2" t="s">
        <v>7982</v>
      </c>
      <c r="C1180" s="6" t="s">
        <v>83</v>
      </c>
      <c r="D1180" s="6" t="s">
        <v>2633</v>
      </c>
      <c r="E1180" s="6" t="s">
        <v>2422</v>
      </c>
      <c r="F1180" s="6" t="s">
        <v>2634</v>
      </c>
      <c r="G1180" s="13" t="s">
        <v>2690</v>
      </c>
      <c r="H1180" s="2" t="s">
        <v>88</v>
      </c>
      <c r="I1180" s="4">
        <v>0</v>
      </c>
      <c r="J1180" s="6">
        <v>710000000</v>
      </c>
      <c r="K1180" s="6" t="s">
        <v>89</v>
      </c>
      <c r="L1180" s="2" t="s">
        <v>754</v>
      </c>
      <c r="M1180" s="6" t="s">
        <v>2682</v>
      </c>
      <c r="N1180" s="6" t="s">
        <v>92</v>
      </c>
      <c r="O1180" s="6" t="s">
        <v>93</v>
      </c>
      <c r="P1180" s="3" t="s">
        <v>673</v>
      </c>
      <c r="Q1180" s="6">
        <v>796</v>
      </c>
      <c r="R1180" s="6" t="s">
        <v>118</v>
      </c>
      <c r="S1180" s="9">
        <v>72</v>
      </c>
      <c r="T1180" s="9">
        <v>401</v>
      </c>
      <c r="U1180" s="9">
        <f t="shared" ref="U1180" si="820">T1180*S1180</f>
        <v>28872</v>
      </c>
      <c r="V1180" s="9">
        <f t="shared" ref="V1180" si="821">U1180*1.12</f>
        <v>32336.640000000003</v>
      </c>
      <c r="W1180" s="7"/>
      <c r="X1180" s="2">
        <v>2016</v>
      </c>
      <c r="Y1180" s="9"/>
    </row>
    <row r="1181" spans="1:25" s="36" customFormat="1" ht="140.25" customHeight="1" outlineLevel="1" x14ac:dyDescent="0.2">
      <c r="A1181" s="25"/>
      <c r="B1181" s="2" t="s">
        <v>6090</v>
      </c>
      <c r="C1181" s="3" t="s">
        <v>83</v>
      </c>
      <c r="D1181" s="19" t="s">
        <v>2417</v>
      </c>
      <c r="E1181" s="19" t="s">
        <v>2418</v>
      </c>
      <c r="F1181" s="19" t="s">
        <v>2419</v>
      </c>
      <c r="G1181" s="19" t="s">
        <v>2691</v>
      </c>
      <c r="H1181" s="2" t="s">
        <v>88</v>
      </c>
      <c r="I1181" s="4">
        <v>0.4</v>
      </c>
      <c r="J1181" s="5">
        <v>710000000</v>
      </c>
      <c r="K1181" s="5" t="s">
        <v>89</v>
      </c>
      <c r="L1181" s="2" t="s">
        <v>754</v>
      </c>
      <c r="M1181" s="6" t="s">
        <v>2682</v>
      </c>
      <c r="N1181" s="7" t="s">
        <v>92</v>
      </c>
      <c r="O1181" s="7" t="s">
        <v>93</v>
      </c>
      <c r="P1181" s="3" t="s">
        <v>94</v>
      </c>
      <c r="Q1181" s="8">
        <v>796</v>
      </c>
      <c r="R1181" s="7" t="s">
        <v>118</v>
      </c>
      <c r="S1181" s="9">
        <v>24</v>
      </c>
      <c r="T1181" s="9">
        <v>893</v>
      </c>
      <c r="U1181" s="9">
        <v>0</v>
      </c>
      <c r="V1181" s="9">
        <f t="shared" si="737"/>
        <v>0</v>
      </c>
      <c r="W1181" s="7" t="s">
        <v>97</v>
      </c>
      <c r="X1181" s="2">
        <v>2016</v>
      </c>
      <c r="Y1181" s="2" t="s">
        <v>7793</v>
      </c>
    </row>
    <row r="1182" spans="1:25" s="36" customFormat="1" ht="140.25" customHeight="1" outlineLevel="1" x14ac:dyDescent="0.25">
      <c r="A1182" s="1"/>
      <c r="B1182" s="2" t="s">
        <v>7983</v>
      </c>
      <c r="C1182" s="3" t="s">
        <v>83</v>
      </c>
      <c r="D1182" s="19" t="s">
        <v>2417</v>
      </c>
      <c r="E1182" s="19" t="s">
        <v>2418</v>
      </c>
      <c r="F1182" s="19" t="s">
        <v>2419</v>
      </c>
      <c r="G1182" s="19" t="s">
        <v>2691</v>
      </c>
      <c r="H1182" s="2" t="s">
        <v>88</v>
      </c>
      <c r="I1182" s="4">
        <v>0</v>
      </c>
      <c r="J1182" s="5">
        <v>710000000</v>
      </c>
      <c r="K1182" s="5" t="s">
        <v>89</v>
      </c>
      <c r="L1182" s="2" t="s">
        <v>754</v>
      </c>
      <c r="M1182" s="6" t="s">
        <v>2682</v>
      </c>
      <c r="N1182" s="7" t="s">
        <v>92</v>
      </c>
      <c r="O1182" s="7" t="s">
        <v>93</v>
      </c>
      <c r="P1182" s="3" t="s">
        <v>673</v>
      </c>
      <c r="Q1182" s="8">
        <v>796</v>
      </c>
      <c r="R1182" s="7" t="s">
        <v>118</v>
      </c>
      <c r="S1182" s="9">
        <v>24</v>
      </c>
      <c r="T1182" s="9">
        <v>893</v>
      </c>
      <c r="U1182" s="9">
        <f t="shared" ref="U1182" si="822">T1182*S1182</f>
        <v>21432</v>
      </c>
      <c r="V1182" s="9">
        <f t="shared" ref="V1182" si="823">U1182*1.12</f>
        <v>24003.840000000004</v>
      </c>
      <c r="W1182" s="7"/>
      <c r="X1182" s="2">
        <v>2016</v>
      </c>
      <c r="Y1182" s="2"/>
    </row>
    <row r="1183" spans="1:25" s="11" customFormat="1" ht="267.75" customHeight="1" outlineLevel="1" x14ac:dyDescent="0.25">
      <c r="A1183" s="1"/>
      <c r="B1183" s="2" t="s">
        <v>6091</v>
      </c>
      <c r="C1183" s="3" t="s">
        <v>83</v>
      </c>
      <c r="D1183" s="19" t="s">
        <v>2692</v>
      </c>
      <c r="E1183" s="19" t="s">
        <v>2510</v>
      </c>
      <c r="F1183" s="19" t="s">
        <v>2693</v>
      </c>
      <c r="G1183" s="19" t="s">
        <v>2694</v>
      </c>
      <c r="H1183" s="2" t="s">
        <v>88</v>
      </c>
      <c r="I1183" s="4">
        <v>0.4</v>
      </c>
      <c r="J1183" s="5">
        <v>710000000</v>
      </c>
      <c r="K1183" s="5" t="s">
        <v>89</v>
      </c>
      <c r="L1183" s="2" t="s">
        <v>754</v>
      </c>
      <c r="M1183" s="6" t="s">
        <v>2682</v>
      </c>
      <c r="N1183" s="7" t="s">
        <v>92</v>
      </c>
      <c r="O1183" s="7" t="s">
        <v>93</v>
      </c>
      <c r="P1183" s="3" t="s">
        <v>94</v>
      </c>
      <c r="Q1183" s="8" t="s">
        <v>522</v>
      </c>
      <c r="R1183" s="7" t="s">
        <v>523</v>
      </c>
      <c r="S1183" s="9">
        <v>12</v>
      </c>
      <c r="T1183" s="9">
        <v>2200</v>
      </c>
      <c r="U1183" s="9">
        <v>0</v>
      </c>
      <c r="V1183" s="9">
        <f t="shared" si="737"/>
        <v>0</v>
      </c>
      <c r="W1183" s="7" t="s">
        <v>97</v>
      </c>
      <c r="X1183" s="2">
        <v>2016</v>
      </c>
      <c r="Y1183" s="2" t="s">
        <v>7793</v>
      </c>
    </row>
    <row r="1184" spans="1:25" s="11" customFormat="1" ht="267.75" customHeight="1" outlineLevel="1" x14ac:dyDescent="0.25">
      <c r="A1184" s="1"/>
      <c r="B1184" s="2" t="s">
        <v>7984</v>
      </c>
      <c r="C1184" s="3" t="s">
        <v>83</v>
      </c>
      <c r="D1184" s="19" t="s">
        <v>2692</v>
      </c>
      <c r="E1184" s="19" t="s">
        <v>2510</v>
      </c>
      <c r="F1184" s="19" t="s">
        <v>2693</v>
      </c>
      <c r="G1184" s="19" t="s">
        <v>2694</v>
      </c>
      <c r="H1184" s="2" t="s">
        <v>88</v>
      </c>
      <c r="I1184" s="4">
        <v>0</v>
      </c>
      <c r="J1184" s="5">
        <v>710000000</v>
      </c>
      <c r="K1184" s="5" t="s">
        <v>89</v>
      </c>
      <c r="L1184" s="2" t="s">
        <v>754</v>
      </c>
      <c r="M1184" s="6" t="s">
        <v>2682</v>
      </c>
      <c r="N1184" s="7" t="s">
        <v>92</v>
      </c>
      <c r="O1184" s="7" t="s">
        <v>93</v>
      </c>
      <c r="P1184" s="3" t="s">
        <v>673</v>
      </c>
      <c r="Q1184" s="8" t="s">
        <v>522</v>
      </c>
      <c r="R1184" s="7" t="s">
        <v>523</v>
      </c>
      <c r="S1184" s="9">
        <v>12</v>
      </c>
      <c r="T1184" s="9">
        <v>2200</v>
      </c>
      <c r="U1184" s="9">
        <f t="shared" ref="U1184" si="824">T1184*S1184</f>
        <v>26400</v>
      </c>
      <c r="V1184" s="9">
        <f t="shared" ref="V1184" si="825">U1184*1.12</f>
        <v>29568.000000000004</v>
      </c>
      <c r="W1184" s="7"/>
      <c r="X1184" s="2">
        <v>2016</v>
      </c>
      <c r="Y1184" s="2"/>
    </row>
    <row r="1185" spans="1:25" s="11" customFormat="1" ht="89.25" customHeight="1" outlineLevel="1" x14ac:dyDescent="0.25">
      <c r="A1185" s="1"/>
      <c r="B1185" s="2" t="s">
        <v>6092</v>
      </c>
      <c r="C1185" s="6" t="s">
        <v>83</v>
      </c>
      <c r="D1185" s="6" t="s">
        <v>2636</v>
      </c>
      <c r="E1185" s="6" t="s">
        <v>2451</v>
      </c>
      <c r="F1185" s="6" t="s">
        <v>2637</v>
      </c>
      <c r="G1185" s="6" t="s">
        <v>2695</v>
      </c>
      <c r="H1185" s="2" t="s">
        <v>88</v>
      </c>
      <c r="I1185" s="4">
        <v>0.4</v>
      </c>
      <c r="J1185" s="6">
        <v>710000000</v>
      </c>
      <c r="K1185" s="6" t="s">
        <v>89</v>
      </c>
      <c r="L1185" s="2" t="s">
        <v>754</v>
      </c>
      <c r="M1185" s="6" t="s">
        <v>2682</v>
      </c>
      <c r="N1185" s="6" t="s">
        <v>92</v>
      </c>
      <c r="O1185" s="6" t="s">
        <v>93</v>
      </c>
      <c r="P1185" s="3" t="s">
        <v>94</v>
      </c>
      <c r="Q1185" s="6">
        <v>796</v>
      </c>
      <c r="R1185" s="6" t="s">
        <v>118</v>
      </c>
      <c r="S1185" s="9">
        <v>144</v>
      </c>
      <c r="T1185" s="9">
        <v>983</v>
      </c>
      <c r="U1185" s="9">
        <v>0</v>
      </c>
      <c r="V1185" s="9">
        <f t="shared" si="737"/>
        <v>0</v>
      </c>
      <c r="W1185" s="7" t="s">
        <v>97</v>
      </c>
      <c r="X1185" s="2">
        <v>2016</v>
      </c>
      <c r="Y1185" s="9" t="s">
        <v>7793</v>
      </c>
    </row>
    <row r="1186" spans="1:25" s="11" customFormat="1" ht="89.25" customHeight="1" outlineLevel="1" x14ac:dyDescent="0.25">
      <c r="A1186" s="1"/>
      <c r="B1186" s="2" t="s">
        <v>7985</v>
      </c>
      <c r="C1186" s="6" t="s">
        <v>83</v>
      </c>
      <c r="D1186" s="6" t="s">
        <v>2636</v>
      </c>
      <c r="E1186" s="6" t="s">
        <v>2451</v>
      </c>
      <c r="F1186" s="6" t="s">
        <v>2637</v>
      </c>
      <c r="G1186" s="6" t="s">
        <v>2695</v>
      </c>
      <c r="H1186" s="2" t="s">
        <v>88</v>
      </c>
      <c r="I1186" s="4">
        <v>0</v>
      </c>
      <c r="J1186" s="6">
        <v>710000000</v>
      </c>
      <c r="K1186" s="6" t="s">
        <v>89</v>
      </c>
      <c r="L1186" s="2" t="s">
        <v>754</v>
      </c>
      <c r="M1186" s="6" t="s">
        <v>2682</v>
      </c>
      <c r="N1186" s="6" t="s">
        <v>92</v>
      </c>
      <c r="O1186" s="6" t="s">
        <v>93</v>
      </c>
      <c r="P1186" s="3" t="s">
        <v>673</v>
      </c>
      <c r="Q1186" s="6">
        <v>796</v>
      </c>
      <c r="R1186" s="6" t="s">
        <v>118</v>
      </c>
      <c r="S1186" s="9">
        <v>144</v>
      </c>
      <c r="T1186" s="9">
        <v>983</v>
      </c>
      <c r="U1186" s="9">
        <f t="shared" ref="U1186" si="826">T1186*S1186</f>
        <v>141552</v>
      </c>
      <c r="V1186" s="9">
        <f t="shared" ref="V1186" si="827">U1186*1.12</f>
        <v>158538.24000000002</v>
      </c>
      <c r="W1186" s="7"/>
      <c r="X1186" s="2">
        <v>2016</v>
      </c>
      <c r="Y1186" s="9"/>
    </row>
    <row r="1187" spans="1:25" s="36" customFormat="1" ht="89.25" customHeight="1" outlineLevel="1" x14ac:dyDescent="0.25">
      <c r="A1187" s="1"/>
      <c r="B1187" s="2" t="s">
        <v>6093</v>
      </c>
      <c r="C1187" s="6" t="s">
        <v>83</v>
      </c>
      <c r="D1187" s="6" t="s">
        <v>2460</v>
      </c>
      <c r="E1187" s="6" t="s">
        <v>2455</v>
      </c>
      <c r="F1187" s="6" t="s">
        <v>2461</v>
      </c>
      <c r="G1187" s="6" t="s">
        <v>2639</v>
      </c>
      <c r="H1187" s="2" t="s">
        <v>88</v>
      </c>
      <c r="I1187" s="4">
        <v>0.4</v>
      </c>
      <c r="J1187" s="6">
        <v>710000000</v>
      </c>
      <c r="K1187" s="6" t="s">
        <v>89</v>
      </c>
      <c r="L1187" s="2" t="s">
        <v>754</v>
      </c>
      <c r="M1187" s="6" t="s">
        <v>2682</v>
      </c>
      <c r="N1187" s="6" t="s">
        <v>92</v>
      </c>
      <c r="O1187" s="6" t="s">
        <v>93</v>
      </c>
      <c r="P1187" s="3" t="s">
        <v>94</v>
      </c>
      <c r="Q1187" s="6">
        <v>715</v>
      </c>
      <c r="R1187" s="6" t="s">
        <v>2459</v>
      </c>
      <c r="S1187" s="9">
        <v>430</v>
      </c>
      <c r="T1187" s="9">
        <v>214</v>
      </c>
      <c r="U1187" s="9">
        <v>0</v>
      </c>
      <c r="V1187" s="9">
        <f t="shared" si="737"/>
        <v>0</v>
      </c>
      <c r="W1187" s="7" t="s">
        <v>97</v>
      </c>
      <c r="X1187" s="2">
        <v>2016</v>
      </c>
      <c r="Y1187" s="9" t="s">
        <v>7793</v>
      </c>
    </row>
    <row r="1188" spans="1:25" s="36" customFormat="1" ht="89.25" customHeight="1" outlineLevel="1" x14ac:dyDescent="0.25">
      <c r="A1188" s="1"/>
      <c r="B1188" s="2" t="s">
        <v>7986</v>
      </c>
      <c r="C1188" s="6" t="s">
        <v>83</v>
      </c>
      <c r="D1188" s="6" t="s">
        <v>2460</v>
      </c>
      <c r="E1188" s="6" t="s">
        <v>2455</v>
      </c>
      <c r="F1188" s="6" t="s">
        <v>2461</v>
      </c>
      <c r="G1188" s="6" t="s">
        <v>2639</v>
      </c>
      <c r="H1188" s="2" t="s">
        <v>88</v>
      </c>
      <c r="I1188" s="4">
        <v>0</v>
      </c>
      <c r="J1188" s="6">
        <v>710000000</v>
      </c>
      <c r="K1188" s="6" t="s">
        <v>89</v>
      </c>
      <c r="L1188" s="2" t="s">
        <v>754</v>
      </c>
      <c r="M1188" s="6" t="s">
        <v>2682</v>
      </c>
      <c r="N1188" s="6" t="s">
        <v>92</v>
      </c>
      <c r="O1188" s="6" t="s">
        <v>93</v>
      </c>
      <c r="P1188" s="3" t="s">
        <v>673</v>
      </c>
      <c r="Q1188" s="6">
        <v>715</v>
      </c>
      <c r="R1188" s="6" t="s">
        <v>2459</v>
      </c>
      <c r="S1188" s="9">
        <v>430</v>
      </c>
      <c r="T1188" s="9">
        <v>214</v>
      </c>
      <c r="U1188" s="9">
        <f t="shared" ref="U1188" si="828">T1188*S1188</f>
        <v>92020</v>
      </c>
      <c r="V1188" s="9">
        <f t="shared" ref="V1188" si="829">U1188*1.12</f>
        <v>103062.40000000001</v>
      </c>
      <c r="W1188" s="7"/>
      <c r="X1188" s="2">
        <v>2016</v>
      </c>
      <c r="Y1188" s="9"/>
    </row>
    <row r="1189" spans="1:25" s="36" customFormat="1" ht="89.25" customHeight="1" outlineLevel="1" x14ac:dyDescent="0.25">
      <c r="A1189" s="1"/>
      <c r="B1189" s="2" t="s">
        <v>6094</v>
      </c>
      <c r="C1189" s="6" t="s">
        <v>83</v>
      </c>
      <c r="D1189" s="6" t="s">
        <v>2640</v>
      </c>
      <c r="E1189" s="6" t="s">
        <v>2641</v>
      </c>
      <c r="F1189" s="6" t="s">
        <v>2642</v>
      </c>
      <c r="G1189" s="6" t="s">
        <v>2643</v>
      </c>
      <c r="H1189" s="2" t="s">
        <v>88</v>
      </c>
      <c r="I1189" s="4">
        <v>0.4</v>
      </c>
      <c r="J1189" s="6">
        <v>710000000</v>
      </c>
      <c r="K1189" s="6" t="s">
        <v>89</v>
      </c>
      <c r="L1189" s="2" t="s">
        <v>754</v>
      </c>
      <c r="M1189" s="6" t="s">
        <v>2682</v>
      </c>
      <c r="N1189" s="6" t="s">
        <v>92</v>
      </c>
      <c r="O1189" s="6" t="s">
        <v>93</v>
      </c>
      <c r="P1189" s="3" t="s">
        <v>94</v>
      </c>
      <c r="Q1189" s="6">
        <v>796</v>
      </c>
      <c r="R1189" s="6" t="s">
        <v>118</v>
      </c>
      <c r="S1189" s="9">
        <v>2</v>
      </c>
      <c r="T1189" s="9">
        <v>160715</v>
      </c>
      <c r="U1189" s="9">
        <v>0</v>
      </c>
      <c r="V1189" s="9">
        <f t="shared" si="737"/>
        <v>0</v>
      </c>
      <c r="W1189" s="7" t="s">
        <v>97</v>
      </c>
      <c r="X1189" s="2">
        <v>2016</v>
      </c>
      <c r="Y1189" s="9" t="s">
        <v>7793</v>
      </c>
    </row>
    <row r="1190" spans="1:25" s="36" customFormat="1" ht="89.25" customHeight="1" outlineLevel="1" x14ac:dyDescent="0.25">
      <c r="A1190" s="1"/>
      <c r="B1190" s="2" t="s">
        <v>7987</v>
      </c>
      <c r="C1190" s="6" t="s">
        <v>83</v>
      </c>
      <c r="D1190" s="6" t="s">
        <v>2640</v>
      </c>
      <c r="E1190" s="6" t="s">
        <v>2641</v>
      </c>
      <c r="F1190" s="6" t="s">
        <v>2642</v>
      </c>
      <c r="G1190" s="6" t="s">
        <v>2643</v>
      </c>
      <c r="H1190" s="2" t="s">
        <v>88</v>
      </c>
      <c r="I1190" s="4">
        <v>0</v>
      </c>
      <c r="J1190" s="6">
        <v>710000000</v>
      </c>
      <c r="K1190" s="6" t="s">
        <v>89</v>
      </c>
      <c r="L1190" s="2" t="s">
        <v>754</v>
      </c>
      <c r="M1190" s="6" t="s">
        <v>2682</v>
      </c>
      <c r="N1190" s="6" t="s">
        <v>92</v>
      </c>
      <c r="O1190" s="6" t="s">
        <v>93</v>
      </c>
      <c r="P1190" s="3" t="s">
        <v>673</v>
      </c>
      <c r="Q1190" s="6">
        <v>796</v>
      </c>
      <c r="R1190" s="6" t="s">
        <v>118</v>
      </c>
      <c r="S1190" s="9">
        <v>2</v>
      </c>
      <c r="T1190" s="9">
        <v>160715</v>
      </c>
      <c r="U1190" s="9">
        <f t="shared" ref="U1190" si="830">T1190*S1190</f>
        <v>321430</v>
      </c>
      <c r="V1190" s="9">
        <f t="shared" ref="V1190" si="831">U1190*1.12</f>
        <v>360001.60000000003</v>
      </c>
      <c r="W1190" s="7"/>
      <c r="X1190" s="2">
        <v>2016</v>
      </c>
      <c r="Y1190" s="9"/>
    </row>
    <row r="1191" spans="1:25" s="36" customFormat="1" ht="89.25" customHeight="1" outlineLevel="1" x14ac:dyDescent="0.25">
      <c r="A1191" s="1"/>
      <c r="B1191" s="2" t="s">
        <v>6095</v>
      </c>
      <c r="C1191" s="6" t="s">
        <v>83</v>
      </c>
      <c r="D1191" s="6" t="s">
        <v>2644</v>
      </c>
      <c r="E1191" s="6" t="s">
        <v>2645</v>
      </c>
      <c r="F1191" s="6" t="s">
        <v>2646</v>
      </c>
      <c r="G1191" s="6" t="s">
        <v>2647</v>
      </c>
      <c r="H1191" s="2" t="s">
        <v>88</v>
      </c>
      <c r="I1191" s="4">
        <v>0.4</v>
      </c>
      <c r="J1191" s="6">
        <v>710000000</v>
      </c>
      <c r="K1191" s="6" t="s">
        <v>89</v>
      </c>
      <c r="L1191" s="2" t="s">
        <v>754</v>
      </c>
      <c r="M1191" s="6" t="s">
        <v>2682</v>
      </c>
      <c r="N1191" s="6" t="s">
        <v>92</v>
      </c>
      <c r="O1191" s="6" t="s">
        <v>93</v>
      </c>
      <c r="P1191" s="3" t="s">
        <v>94</v>
      </c>
      <c r="Q1191" s="6">
        <v>796</v>
      </c>
      <c r="R1191" s="6" t="s">
        <v>118</v>
      </c>
      <c r="S1191" s="9">
        <v>23</v>
      </c>
      <c r="T1191" s="9">
        <v>1965</v>
      </c>
      <c r="U1191" s="9">
        <v>0</v>
      </c>
      <c r="V1191" s="9">
        <f t="shared" si="737"/>
        <v>0</v>
      </c>
      <c r="W1191" s="7" t="s">
        <v>97</v>
      </c>
      <c r="X1191" s="2">
        <v>2016</v>
      </c>
      <c r="Y1191" s="9" t="s">
        <v>7793</v>
      </c>
    </row>
    <row r="1192" spans="1:25" s="36" customFormat="1" ht="89.25" customHeight="1" outlineLevel="1" x14ac:dyDescent="0.25">
      <c r="A1192" s="1"/>
      <c r="B1192" s="2" t="s">
        <v>7988</v>
      </c>
      <c r="C1192" s="6" t="s">
        <v>83</v>
      </c>
      <c r="D1192" s="6" t="s">
        <v>2644</v>
      </c>
      <c r="E1192" s="6" t="s">
        <v>2645</v>
      </c>
      <c r="F1192" s="6" t="s">
        <v>2646</v>
      </c>
      <c r="G1192" s="6" t="s">
        <v>2647</v>
      </c>
      <c r="H1192" s="2" t="s">
        <v>88</v>
      </c>
      <c r="I1192" s="4">
        <v>0</v>
      </c>
      <c r="J1192" s="6">
        <v>710000000</v>
      </c>
      <c r="K1192" s="6" t="s">
        <v>89</v>
      </c>
      <c r="L1192" s="2" t="s">
        <v>754</v>
      </c>
      <c r="M1192" s="6" t="s">
        <v>2682</v>
      </c>
      <c r="N1192" s="6" t="s">
        <v>92</v>
      </c>
      <c r="O1192" s="6" t="s">
        <v>93</v>
      </c>
      <c r="P1192" s="3" t="s">
        <v>673</v>
      </c>
      <c r="Q1192" s="6">
        <v>796</v>
      </c>
      <c r="R1192" s="6" t="s">
        <v>118</v>
      </c>
      <c r="S1192" s="9">
        <v>23</v>
      </c>
      <c r="T1192" s="9">
        <v>1965</v>
      </c>
      <c r="U1192" s="9">
        <f t="shared" ref="U1192" si="832">T1192*S1192</f>
        <v>45195</v>
      </c>
      <c r="V1192" s="9">
        <f t="shared" ref="V1192" si="833">U1192*1.12</f>
        <v>50618.400000000001</v>
      </c>
      <c r="W1192" s="7"/>
      <c r="X1192" s="2">
        <v>2016</v>
      </c>
      <c r="Y1192" s="9"/>
    </row>
    <row r="1193" spans="1:25" s="36" customFormat="1" ht="89.25" customHeight="1" outlineLevel="1" x14ac:dyDescent="0.25">
      <c r="A1193" s="1"/>
      <c r="B1193" s="2" t="s">
        <v>6096</v>
      </c>
      <c r="C1193" s="6" t="s">
        <v>83</v>
      </c>
      <c r="D1193" s="6" t="s">
        <v>2644</v>
      </c>
      <c r="E1193" s="6" t="s">
        <v>2645</v>
      </c>
      <c r="F1193" s="6" t="s">
        <v>2646</v>
      </c>
      <c r="G1193" s="6" t="s">
        <v>2648</v>
      </c>
      <c r="H1193" s="2" t="s">
        <v>88</v>
      </c>
      <c r="I1193" s="4">
        <v>0.4</v>
      </c>
      <c r="J1193" s="6">
        <v>710000000</v>
      </c>
      <c r="K1193" s="6" t="s">
        <v>89</v>
      </c>
      <c r="L1193" s="2" t="s">
        <v>754</v>
      </c>
      <c r="M1193" s="6" t="s">
        <v>2682</v>
      </c>
      <c r="N1193" s="6" t="s">
        <v>92</v>
      </c>
      <c r="O1193" s="6" t="s">
        <v>93</v>
      </c>
      <c r="P1193" s="3" t="s">
        <v>94</v>
      </c>
      <c r="Q1193" s="6">
        <v>796</v>
      </c>
      <c r="R1193" s="6" t="s">
        <v>118</v>
      </c>
      <c r="S1193" s="9">
        <v>23</v>
      </c>
      <c r="T1193" s="9">
        <v>1965</v>
      </c>
      <c r="U1193" s="9">
        <v>0</v>
      </c>
      <c r="V1193" s="9">
        <f t="shared" si="737"/>
        <v>0</v>
      </c>
      <c r="W1193" s="7" t="s">
        <v>97</v>
      </c>
      <c r="X1193" s="2">
        <v>2016</v>
      </c>
      <c r="Y1193" s="9" t="s">
        <v>7793</v>
      </c>
    </row>
    <row r="1194" spans="1:25" s="36" customFormat="1" ht="89.25" customHeight="1" outlineLevel="1" x14ac:dyDescent="0.25">
      <c r="A1194" s="1"/>
      <c r="B1194" s="2" t="s">
        <v>7989</v>
      </c>
      <c r="C1194" s="6" t="s">
        <v>83</v>
      </c>
      <c r="D1194" s="6" t="s">
        <v>2644</v>
      </c>
      <c r="E1194" s="6" t="s">
        <v>2645</v>
      </c>
      <c r="F1194" s="6" t="s">
        <v>2646</v>
      </c>
      <c r="G1194" s="6" t="s">
        <v>2648</v>
      </c>
      <c r="H1194" s="2" t="s">
        <v>88</v>
      </c>
      <c r="I1194" s="4">
        <v>0</v>
      </c>
      <c r="J1194" s="6">
        <v>710000000</v>
      </c>
      <c r="K1194" s="6" t="s">
        <v>89</v>
      </c>
      <c r="L1194" s="2" t="s">
        <v>754</v>
      </c>
      <c r="M1194" s="6" t="s">
        <v>2682</v>
      </c>
      <c r="N1194" s="6" t="s">
        <v>92</v>
      </c>
      <c r="O1194" s="6" t="s">
        <v>93</v>
      </c>
      <c r="P1194" s="3" t="s">
        <v>673</v>
      </c>
      <c r="Q1194" s="6">
        <v>796</v>
      </c>
      <c r="R1194" s="6" t="s">
        <v>118</v>
      </c>
      <c r="S1194" s="9">
        <v>23</v>
      </c>
      <c r="T1194" s="9">
        <v>1965</v>
      </c>
      <c r="U1194" s="9">
        <f t="shared" ref="U1194" si="834">T1194*S1194</f>
        <v>45195</v>
      </c>
      <c r="V1194" s="9">
        <f t="shared" ref="V1194" si="835">U1194*1.12</f>
        <v>50618.400000000001</v>
      </c>
      <c r="W1194" s="7"/>
      <c r="X1194" s="2">
        <v>2016</v>
      </c>
      <c r="Y1194" s="9"/>
    </row>
    <row r="1195" spans="1:25" s="36" customFormat="1" ht="89.25" customHeight="1" outlineLevel="1" x14ac:dyDescent="0.25">
      <c r="A1195" s="1"/>
      <c r="B1195" s="2" t="s">
        <v>6097</v>
      </c>
      <c r="C1195" s="6" t="s">
        <v>83</v>
      </c>
      <c r="D1195" s="6" t="s">
        <v>2644</v>
      </c>
      <c r="E1195" s="6" t="s">
        <v>2645</v>
      </c>
      <c r="F1195" s="6" t="s">
        <v>2646</v>
      </c>
      <c r="G1195" s="6" t="s">
        <v>2649</v>
      </c>
      <c r="H1195" s="2" t="s">
        <v>88</v>
      </c>
      <c r="I1195" s="4">
        <v>0.4</v>
      </c>
      <c r="J1195" s="6">
        <v>710000000</v>
      </c>
      <c r="K1195" s="6" t="s">
        <v>89</v>
      </c>
      <c r="L1195" s="2" t="s">
        <v>754</v>
      </c>
      <c r="M1195" s="6" t="s">
        <v>2682</v>
      </c>
      <c r="N1195" s="6" t="s">
        <v>92</v>
      </c>
      <c r="O1195" s="6" t="s">
        <v>93</v>
      </c>
      <c r="P1195" s="3" t="s">
        <v>94</v>
      </c>
      <c r="Q1195" s="6">
        <v>796</v>
      </c>
      <c r="R1195" s="6" t="s">
        <v>118</v>
      </c>
      <c r="S1195" s="9">
        <v>23</v>
      </c>
      <c r="T1195" s="9">
        <v>1965</v>
      </c>
      <c r="U1195" s="9">
        <v>0</v>
      </c>
      <c r="V1195" s="9">
        <f t="shared" si="737"/>
        <v>0</v>
      </c>
      <c r="W1195" s="7" t="s">
        <v>97</v>
      </c>
      <c r="X1195" s="2">
        <v>2016</v>
      </c>
      <c r="Y1195" s="9" t="s">
        <v>7793</v>
      </c>
    </row>
    <row r="1196" spans="1:25" s="36" customFormat="1" ht="89.25" customHeight="1" outlineLevel="1" x14ac:dyDescent="0.25">
      <c r="A1196" s="1"/>
      <c r="B1196" s="2" t="s">
        <v>7990</v>
      </c>
      <c r="C1196" s="6" t="s">
        <v>83</v>
      </c>
      <c r="D1196" s="6" t="s">
        <v>2644</v>
      </c>
      <c r="E1196" s="6" t="s">
        <v>2645</v>
      </c>
      <c r="F1196" s="6" t="s">
        <v>2646</v>
      </c>
      <c r="G1196" s="6" t="s">
        <v>2649</v>
      </c>
      <c r="H1196" s="2" t="s">
        <v>88</v>
      </c>
      <c r="I1196" s="4">
        <v>0</v>
      </c>
      <c r="J1196" s="6">
        <v>710000000</v>
      </c>
      <c r="K1196" s="6" t="s">
        <v>89</v>
      </c>
      <c r="L1196" s="2" t="s">
        <v>754</v>
      </c>
      <c r="M1196" s="6" t="s">
        <v>2682</v>
      </c>
      <c r="N1196" s="6" t="s">
        <v>92</v>
      </c>
      <c r="O1196" s="6" t="s">
        <v>93</v>
      </c>
      <c r="P1196" s="3" t="s">
        <v>673</v>
      </c>
      <c r="Q1196" s="6">
        <v>796</v>
      </c>
      <c r="R1196" s="6" t="s">
        <v>118</v>
      </c>
      <c r="S1196" s="9">
        <v>23</v>
      </c>
      <c r="T1196" s="9">
        <v>1965</v>
      </c>
      <c r="U1196" s="9">
        <f t="shared" ref="U1196" si="836">T1196*S1196</f>
        <v>45195</v>
      </c>
      <c r="V1196" s="9">
        <f t="shared" ref="V1196" si="837">U1196*1.12</f>
        <v>50618.400000000001</v>
      </c>
      <c r="W1196" s="7"/>
      <c r="X1196" s="2">
        <v>2016</v>
      </c>
      <c r="Y1196" s="9"/>
    </row>
    <row r="1197" spans="1:25" s="36" customFormat="1" ht="89.25" customHeight="1" outlineLevel="1" x14ac:dyDescent="0.25">
      <c r="A1197" s="1"/>
      <c r="B1197" s="2" t="s">
        <v>6098</v>
      </c>
      <c r="C1197" s="6" t="s">
        <v>83</v>
      </c>
      <c r="D1197" s="6" t="s">
        <v>2644</v>
      </c>
      <c r="E1197" s="6" t="s">
        <v>2645</v>
      </c>
      <c r="F1197" s="6" t="s">
        <v>2646</v>
      </c>
      <c r="G1197" s="6" t="s">
        <v>2650</v>
      </c>
      <c r="H1197" s="2" t="s">
        <v>88</v>
      </c>
      <c r="I1197" s="4">
        <v>0.4</v>
      </c>
      <c r="J1197" s="6">
        <v>710000000</v>
      </c>
      <c r="K1197" s="6" t="s">
        <v>89</v>
      </c>
      <c r="L1197" s="2" t="s">
        <v>754</v>
      </c>
      <c r="M1197" s="6" t="s">
        <v>2682</v>
      </c>
      <c r="N1197" s="6" t="s">
        <v>92</v>
      </c>
      <c r="O1197" s="6" t="s">
        <v>93</v>
      </c>
      <c r="P1197" s="3" t="s">
        <v>94</v>
      </c>
      <c r="Q1197" s="6">
        <v>796</v>
      </c>
      <c r="R1197" s="6" t="s">
        <v>118</v>
      </c>
      <c r="S1197" s="9">
        <v>23</v>
      </c>
      <c r="T1197" s="9">
        <v>1965</v>
      </c>
      <c r="U1197" s="9">
        <v>0</v>
      </c>
      <c r="V1197" s="9">
        <f t="shared" si="737"/>
        <v>0</v>
      </c>
      <c r="W1197" s="7" t="s">
        <v>97</v>
      </c>
      <c r="X1197" s="2">
        <v>2016</v>
      </c>
      <c r="Y1197" s="9" t="s">
        <v>7793</v>
      </c>
    </row>
    <row r="1198" spans="1:25" s="36" customFormat="1" ht="89.25" customHeight="1" outlineLevel="1" x14ac:dyDescent="0.25">
      <c r="A1198" s="1"/>
      <c r="B1198" s="2" t="s">
        <v>7991</v>
      </c>
      <c r="C1198" s="6" t="s">
        <v>83</v>
      </c>
      <c r="D1198" s="6" t="s">
        <v>2644</v>
      </c>
      <c r="E1198" s="6" t="s">
        <v>2645</v>
      </c>
      <c r="F1198" s="6" t="s">
        <v>2646</v>
      </c>
      <c r="G1198" s="6" t="s">
        <v>2650</v>
      </c>
      <c r="H1198" s="2" t="s">
        <v>88</v>
      </c>
      <c r="I1198" s="4">
        <v>0</v>
      </c>
      <c r="J1198" s="6">
        <v>710000000</v>
      </c>
      <c r="K1198" s="6" t="s">
        <v>89</v>
      </c>
      <c r="L1198" s="2" t="s">
        <v>754</v>
      </c>
      <c r="M1198" s="6" t="s">
        <v>2682</v>
      </c>
      <c r="N1198" s="6" t="s">
        <v>92</v>
      </c>
      <c r="O1198" s="6" t="s">
        <v>93</v>
      </c>
      <c r="P1198" s="3" t="s">
        <v>673</v>
      </c>
      <c r="Q1198" s="6">
        <v>796</v>
      </c>
      <c r="R1198" s="6" t="s">
        <v>118</v>
      </c>
      <c r="S1198" s="9">
        <v>23</v>
      </c>
      <c r="T1198" s="9">
        <v>1965</v>
      </c>
      <c r="U1198" s="9">
        <f t="shared" ref="U1198" si="838">T1198*S1198</f>
        <v>45195</v>
      </c>
      <c r="V1198" s="9">
        <f t="shared" ref="V1198" si="839">U1198*1.12</f>
        <v>50618.400000000001</v>
      </c>
      <c r="W1198" s="7"/>
      <c r="X1198" s="2">
        <v>2016</v>
      </c>
      <c r="Y1198" s="9"/>
    </row>
    <row r="1199" spans="1:25" s="36" customFormat="1" ht="89.25" customHeight="1" outlineLevel="1" x14ac:dyDescent="0.25">
      <c r="A1199" s="1"/>
      <c r="B1199" s="2" t="s">
        <v>6099</v>
      </c>
      <c r="C1199" s="3" t="s">
        <v>83</v>
      </c>
      <c r="D1199" s="19" t="s">
        <v>2408</v>
      </c>
      <c r="E1199" s="19" t="s">
        <v>2409</v>
      </c>
      <c r="F1199" s="19" t="s">
        <v>2410</v>
      </c>
      <c r="G1199" s="19" t="s">
        <v>2653</v>
      </c>
      <c r="H1199" s="2" t="s">
        <v>88</v>
      </c>
      <c r="I1199" s="4">
        <v>0.4</v>
      </c>
      <c r="J1199" s="5">
        <v>710000000</v>
      </c>
      <c r="K1199" s="5" t="s">
        <v>89</v>
      </c>
      <c r="L1199" s="2" t="s">
        <v>754</v>
      </c>
      <c r="M1199" s="6" t="s">
        <v>2682</v>
      </c>
      <c r="N1199" s="7" t="s">
        <v>92</v>
      </c>
      <c r="O1199" s="7" t="s">
        <v>93</v>
      </c>
      <c r="P1199" s="3" t="s">
        <v>94</v>
      </c>
      <c r="Q1199" s="3">
        <v>736</v>
      </c>
      <c r="R1199" s="3" t="s">
        <v>2412</v>
      </c>
      <c r="S1199" s="9">
        <f>346+1728</f>
        <v>2074</v>
      </c>
      <c r="T1199" s="9">
        <v>100</v>
      </c>
      <c r="U1199" s="9">
        <v>0</v>
      </c>
      <c r="V1199" s="9">
        <f t="shared" si="737"/>
        <v>0</v>
      </c>
      <c r="W1199" s="7" t="s">
        <v>97</v>
      </c>
      <c r="X1199" s="2">
        <v>2016</v>
      </c>
      <c r="Y1199" s="2" t="s">
        <v>7793</v>
      </c>
    </row>
    <row r="1200" spans="1:25" s="36" customFormat="1" ht="89.25" customHeight="1" outlineLevel="1" x14ac:dyDescent="0.25">
      <c r="A1200" s="1"/>
      <c r="B1200" s="2" t="s">
        <v>7992</v>
      </c>
      <c r="C1200" s="3" t="s">
        <v>83</v>
      </c>
      <c r="D1200" s="19" t="s">
        <v>2408</v>
      </c>
      <c r="E1200" s="19" t="s">
        <v>2409</v>
      </c>
      <c r="F1200" s="19" t="s">
        <v>2410</v>
      </c>
      <c r="G1200" s="19" t="s">
        <v>2653</v>
      </c>
      <c r="H1200" s="2" t="s">
        <v>88</v>
      </c>
      <c r="I1200" s="4">
        <v>0</v>
      </c>
      <c r="J1200" s="5">
        <v>710000000</v>
      </c>
      <c r="K1200" s="5" t="s">
        <v>89</v>
      </c>
      <c r="L1200" s="2" t="s">
        <v>754</v>
      </c>
      <c r="M1200" s="6" t="s">
        <v>2682</v>
      </c>
      <c r="N1200" s="7" t="s">
        <v>92</v>
      </c>
      <c r="O1200" s="7" t="s">
        <v>93</v>
      </c>
      <c r="P1200" s="3" t="s">
        <v>673</v>
      </c>
      <c r="Q1200" s="3">
        <v>736</v>
      </c>
      <c r="R1200" s="3" t="s">
        <v>2412</v>
      </c>
      <c r="S1200" s="9">
        <f>346+1728</f>
        <v>2074</v>
      </c>
      <c r="T1200" s="9">
        <v>100</v>
      </c>
      <c r="U1200" s="9">
        <f t="shared" ref="U1200" si="840">T1200*S1200</f>
        <v>207400</v>
      </c>
      <c r="V1200" s="9">
        <f t="shared" ref="V1200" si="841">U1200*1.12</f>
        <v>232288.00000000003</v>
      </c>
      <c r="W1200" s="7"/>
      <c r="X1200" s="2">
        <v>2016</v>
      </c>
      <c r="Y1200" s="2"/>
    </row>
    <row r="1201" spans="1:25" s="11" customFormat="1" ht="89.25" customHeight="1" outlineLevel="1" x14ac:dyDescent="0.25">
      <c r="A1201" s="1"/>
      <c r="B1201" s="2" t="s">
        <v>6100</v>
      </c>
      <c r="C1201" s="3" t="s">
        <v>83</v>
      </c>
      <c r="D1201" s="19" t="s">
        <v>2565</v>
      </c>
      <c r="E1201" s="19" t="s">
        <v>2414</v>
      </c>
      <c r="F1201" s="19" t="s">
        <v>2566</v>
      </c>
      <c r="G1201" s="19" t="s">
        <v>2696</v>
      </c>
      <c r="H1201" s="2" t="s">
        <v>88</v>
      </c>
      <c r="I1201" s="4">
        <v>0.4</v>
      </c>
      <c r="J1201" s="5">
        <v>710000000</v>
      </c>
      <c r="K1201" s="5" t="s">
        <v>89</v>
      </c>
      <c r="L1201" s="2" t="s">
        <v>754</v>
      </c>
      <c r="M1201" s="6" t="s">
        <v>2682</v>
      </c>
      <c r="N1201" s="7" t="s">
        <v>92</v>
      </c>
      <c r="O1201" s="7" t="s">
        <v>93</v>
      </c>
      <c r="P1201" s="3" t="s">
        <v>94</v>
      </c>
      <c r="Q1201" s="3">
        <v>736</v>
      </c>
      <c r="R1201" s="3" t="s">
        <v>2412</v>
      </c>
      <c r="S1201" s="9">
        <v>172</v>
      </c>
      <c r="T1201" s="9">
        <v>290</v>
      </c>
      <c r="U1201" s="9">
        <v>0</v>
      </c>
      <c r="V1201" s="9">
        <f t="shared" si="737"/>
        <v>0</v>
      </c>
      <c r="W1201" s="7" t="s">
        <v>97</v>
      </c>
      <c r="X1201" s="2">
        <v>2016</v>
      </c>
      <c r="Y1201" s="2" t="s">
        <v>7793</v>
      </c>
    </row>
    <row r="1202" spans="1:25" s="11" customFormat="1" ht="89.25" customHeight="1" outlineLevel="1" x14ac:dyDescent="0.25">
      <c r="A1202" s="1"/>
      <c r="B1202" s="2" t="s">
        <v>7993</v>
      </c>
      <c r="C1202" s="3" t="s">
        <v>83</v>
      </c>
      <c r="D1202" s="19" t="s">
        <v>2565</v>
      </c>
      <c r="E1202" s="19" t="s">
        <v>2414</v>
      </c>
      <c r="F1202" s="19" t="s">
        <v>2566</v>
      </c>
      <c r="G1202" s="19" t="s">
        <v>2696</v>
      </c>
      <c r="H1202" s="2" t="s">
        <v>88</v>
      </c>
      <c r="I1202" s="4">
        <v>0</v>
      </c>
      <c r="J1202" s="5">
        <v>710000000</v>
      </c>
      <c r="K1202" s="5" t="s">
        <v>89</v>
      </c>
      <c r="L1202" s="2" t="s">
        <v>754</v>
      </c>
      <c r="M1202" s="6" t="s">
        <v>2682</v>
      </c>
      <c r="N1202" s="7" t="s">
        <v>92</v>
      </c>
      <c r="O1202" s="7" t="s">
        <v>93</v>
      </c>
      <c r="P1202" s="3" t="s">
        <v>673</v>
      </c>
      <c r="Q1202" s="3">
        <v>736</v>
      </c>
      <c r="R1202" s="3" t="s">
        <v>2412</v>
      </c>
      <c r="S1202" s="9">
        <v>172</v>
      </c>
      <c r="T1202" s="9">
        <v>290</v>
      </c>
      <c r="U1202" s="9">
        <f t="shared" ref="U1202" si="842">T1202*S1202</f>
        <v>49880</v>
      </c>
      <c r="V1202" s="9">
        <f t="shared" ref="V1202" si="843">U1202*1.12</f>
        <v>55865.600000000006</v>
      </c>
      <c r="W1202" s="7"/>
      <c r="X1202" s="2">
        <v>2016</v>
      </c>
      <c r="Y1202" s="2"/>
    </row>
    <row r="1203" spans="1:25" s="11" customFormat="1" ht="89.25" customHeight="1" outlineLevel="1" x14ac:dyDescent="0.25">
      <c r="A1203" s="1"/>
      <c r="B1203" s="2" t="s">
        <v>6101</v>
      </c>
      <c r="C1203" s="3" t="s">
        <v>83</v>
      </c>
      <c r="D1203" s="19" t="s">
        <v>2672</v>
      </c>
      <c r="E1203" s="19" t="s">
        <v>2673</v>
      </c>
      <c r="F1203" s="19" t="s">
        <v>2674</v>
      </c>
      <c r="G1203" s="19" t="s">
        <v>2697</v>
      </c>
      <c r="H1203" s="2" t="s">
        <v>88</v>
      </c>
      <c r="I1203" s="4">
        <v>0.4</v>
      </c>
      <c r="J1203" s="5">
        <v>710000000</v>
      </c>
      <c r="K1203" s="5" t="s">
        <v>89</v>
      </c>
      <c r="L1203" s="2" t="s">
        <v>754</v>
      </c>
      <c r="M1203" s="6" t="s">
        <v>2682</v>
      </c>
      <c r="N1203" s="7" t="s">
        <v>92</v>
      </c>
      <c r="O1203" s="7" t="s">
        <v>93</v>
      </c>
      <c r="P1203" s="3" t="s">
        <v>94</v>
      </c>
      <c r="Q1203" s="6">
        <v>778</v>
      </c>
      <c r="R1203" s="6" t="s">
        <v>523</v>
      </c>
      <c r="S1203" s="9">
        <v>2304</v>
      </c>
      <c r="T1203" s="9">
        <v>344</v>
      </c>
      <c r="U1203" s="9">
        <v>792576</v>
      </c>
      <c r="V1203" s="9">
        <v>887685.12000000011</v>
      </c>
      <c r="W1203" s="7" t="s">
        <v>97</v>
      </c>
      <c r="X1203" s="2">
        <v>2016</v>
      </c>
      <c r="Y1203" s="2"/>
    </row>
    <row r="1204" spans="1:25" s="11" customFormat="1" ht="89.25" customHeight="1" outlineLevel="1" x14ac:dyDescent="0.25">
      <c r="A1204" s="1"/>
      <c r="B1204" s="2" t="s">
        <v>6102</v>
      </c>
      <c r="C1204" s="3" t="s">
        <v>83</v>
      </c>
      <c r="D1204" s="19" t="s">
        <v>2655</v>
      </c>
      <c r="E1204" s="19" t="s">
        <v>2374</v>
      </c>
      <c r="F1204" s="19" t="s">
        <v>2385</v>
      </c>
      <c r="G1204" s="19" t="s">
        <v>2656</v>
      </c>
      <c r="H1204" s="2" t="s">
        <v>88</v>
      </c>
      <c r="I1204" s="4">
        <v>0.4</v>
      </c>
      <c r="J1204" s="5">
        <v>710000000</v>
      </c>
      <c r="K1204" s="5" t="s">
        <v>89</v>
      </c>
      <c r="L1204" s="2" t="s">
        <v>754</v>
      </c>
      <c r="M1204" s="6" t="s">
        <v>2682</v>
      </c>
      <c r="N1204" s="7" t="s">
        <v>92</v>
      </c>
      <c r="O1204" s="7" t="s">
        <v>93</v>
      </c>
      <c r="P1204" s="3" t="s">
        <v>94</v>
      </c>
      <c r="Q1204" s="3">
        <v>778</v>
      </c>
      <c r="R1204" s="3" t="s">
        <v>523</v>
      </c>
      <c r="S1204" s="9">
        <v>72</v>
      </c>
      <c r="T1204" s="9">
        <v>1100</v>
      </c>
      <c r="U1204" s="9">
        <v>79200</v>
      </c>
      <c r="V1204" s="9">
        <v>88704.000000000015</v>
      </c>
      <c r="W1204" s="7" t="s">
        <v>97</v>
      </c>
      <c r="X1204" s="2">
        <v>2016</v>
      </c>
      <c r="Y1204" s="2"/>
    </row>
    <row r="1205" spans="1:25" s="11" customFormat="1" ht="89.25" customHeight="1" outlineLevel="1" x14ac:dyDescent="0.25">
      <c r="A1205" s="1"/>
      <c r="B1205" s="2" t="s">
        <v>6103</v>
      </c>
      <c r="C1205" s="3" t="s">
        <v>83</v>
      </c>
      <c r="D1205" s="19" t="s">
        <v>2659</v>
      </c>
      <c r="E1205" s="19" t="s">
        <v>2660</v>
      </c>
      <c r="F1205" s="19" t="s">
        <v>2661</v>
      </c>
      <c r="G1205" s="19" t="s">
        <v>2698</v>
      </c>
      <c r="H1205" s="2" t="s">
        <v>88</v>
      </c>
      <c r="I1205" s="4">
        <v>0.4</v>
      </c>
      <c r="J1205" s="5">
        <v>710000000</v>
      </c>
      <c r="K1205" s="5" t="s">
        <v>89</v>
      </c>
      <c r="L1205" s="2" t="s">
        <v>754</v>
      </c>
      <c r="M1205" s="6" t="s">
        <v>2682</v>
      </c>
      <c r="N1205" s="7" t="s">
        <v>92</v>
      </c>
      <c r="O1205" s="7" t="s">
        <v>93</v>
      </c>
      <c r="P1205" s="3" t="s">
        <v>94</v>
      </c>
      <c r="Q1205" s="3">
        <v>736</v>
      </c>
      <c r="R1205" s="3" t="s">
        <v>2412</v>
      </c>
      <c r="S1205" s="9">
        <v>1920</v>
      </c>
      <c r="T1205" s="9">
        <v>400</v>
      </c>
      <c r="U1205" s="9">
        <v>768000</v>
      </c>
      <c r="V1205" s="9">
        <v>860160.00000000012</v>
      </c>
      <c r="W1205" s="7" t="s">
        <v>97</v>
      </c>
      <c r="X1205" s="2">
        <v>2016</v>
      </c>
      <c r="Y1205" s="2"/>
    </row>
    <row r="1206" spans="1:25" s="11" customFormat="1" ht="382.5" customHeight="1" outlineLevel="1" x14ac:dyDescent="0.25">
      <c r="A1206" s="1"/>
      <c r="B1206" s="2" t="s">
        <v>6104</v>
      </c>
      <c r="C1206" s="6" t="s">
        <v>83</v>
      </c>
      <c r="D1206" s="6" t="s">
        <v>2344</v>
      </c>
      <c r="E1206" s="6" t="s">
        <v>2341</v>
      </c>
      <c r="F1206" s="6" t="s">
        <v>2345</v>
      </c>
      <c r="G1206" s="6" t="s">
        <v>2613</v>
      </c>
      <c r="H1206" s="2" t="s">
        <v>88</v>
      </c>
      <c r="I1206" s="4">
        <v>0.4</v>
      </c>
      <c r="J1206" s="6">
        <v>710000000</v>
      </c>
      <c r="K1206" s="6" t="s">
        <v>89</v>
      </c>
      <c r="L1206" s="2" t="s">
        <v>754</v>
      </c>
      <c r="M1206" s="6" t="s">
        <v>2699</v>
      </c>
      <c r="N1206" s="6" t="s">
        <v>92</v>
      </c>
      <c r="O1206" s="6" t="s">
        <v>93</v>
      </c>
      <c r="P1206" s="3" t="s">
        <v>94</v>
      </c>
      <c r="Q1206" s="6">
        <v>868</v>
      </c>
      <c r="R1206" s="6" t="s">
        <v>585</v>
      </c>
      <c r="S1206" s="9">
        <v>19</v>
      </c>
      <c r="T1206" s="9">
        <v>12500</v>
      </c>
      <c r="U1206" s="9">
        <v>0</v>
      </c>
      <c r="V1206" s="9">
        <f t="shared" si="737"/>
        <v>0</v>
      </c>
      <c r="W1206" s="7" t="s">
        <v>97</v>
      </c>
      <c r="X1206" s="2">
        <v>2016</v>
      </c>
      <c r="Y1206" s="9" t="s">
        <v>7793</v>
      </c>
    </row>
    <row r="1207" spans="1:25" s="11" customFormat="1" ht="382.5" customHeight="1" outlineLevel="1" x14ac:dyDescent="0.25">
      <c r="A1207" s="1"/>
      <c r="B1207" s="2" t="s">
        <v>7994</v>
      </c>
      <c r="C1207" s="6" t="s">
        <v>83</v>
      </c>
      <c r="D1207" s="6" t="s">
        <v>2344</v>
      </c>
      <c r="E1207" s="6" t="s">
        <v>2341</v>
      </c>
      <c r="F1207" s="6" t="s">
        <v>2345</v>
      </c>
      <c r="G1207" s="6" t="s">
        <v>2613</v>
      </c>
      <c r="H1207" s="2" t="s">
        <v>88</v>
      </c>
      <c r="I1207" s="4">
        <v>0</v>
      </c>
      <c r="J1207" s="6">
        <v>710000000</v>
      </c>
      <c r="K1207" s="6" t="s">
        <v>89</v>
      </c>
      <c r="L1207" s="2" t="s">
        <v>754</v>
      </c>
      <c r="M1207" s="6" t="s">
        <v>2699</v>
      </c>
      <c r="N1207" s="6" t="s">
        <v>92</v>
      </c>
      <c r="O1207" s="6" t="s">
        <v>93</v>
      </c>
      <c r="P1207" s="3" t="s">
        <v>673</v>
      </c>
      <c r="Q1207" s="6">
        <v>868</v>
      </c>
      <c r="R1207" s="6" t="s">
        <v>585</v>
      </c>
      <c r="S1207" s="9">
        <v>19</v>
      </c>
      <c r="T1207" s="9">
        <v>12500</v>
      </c>
      <c r="U1207" s="9">
        <f t="shared" ref="U1207" si="844">T1207*S1207</f>
        <v>237500</v>
      </c>
      <c r="V1207" s="9">
        <f t="shared" ref="V1207" si="845">U1207*1.12</f>
        <v>266000</v>
      </c>
      <c r="W1207" s="7"/>
      <c r="X1207" s="2">
        <v>2016</v>
      </c>
      <c r="Y1207" s="9"/>
    </row>
    <row r="1208" spans="1:25" s="36" customFormat="1" ht="409.5" customHeight="1" outlineLevel="1" x14ac:dyDescent="0.25">
      <c r="A1208" s="1"/>
      <c r="B1208" s="2" t="s">
        <v>6105</v>
      </c>
      <c r="C1208" s="6" t="s">
        <v>83</v>
      </c>
      <c r="D1208" s="6" t="s">
        <v>2363</v>
      </c>
      <c r="E1208" s="6" t="s">
        <v>2341</v>
      </c>
      <c r="F1208" s="6" t="s">
        <v>2364</v>
      </c>
      <c r="G1208" s="6" t="s">
        <v>2614</v>
      </c>
      <c r="H1208" s="2" t="s">
        <v>88</v>
      </c>
      <c r="I1208" s="4">
        <v>0.4</v>
      </c>
      <c r="J1208" s="6">
        <v>710000000</v>
      </c>
      <c r="K1208" s="6" t="s">
        <v>89</v>
      </c>
      <c r="L1208" s="2" t="s">
        <v>754</v>
      </c>
      <c r="M1208" s="6" t="s">
        <v>2699</v>
      </c>
      <c r="N1208" s="6" t="s">
        <v>92</v>
      </c>
      <c r="O1208" s="6" t="s">
        <v>93</v>
      </c>
      <c r="P1208" s="3" t="s">
        <v>94</v>
      </c>
      <c r="Q1208" s="6">
        <v>796</v>
      </c>
      <c r="R1208" s="6" t="s">
        <v>118</v>
      </c>
      <c r="S1208" s="9">
        <v>10</v>
      </c>
      <c r="T1208" s="9">
        <v>16070</v>
      </c>
      <c r="U1208" s="9">
        <v>0</v>
      </c>
      <c r="V1208" s="9">
        <f t="shared" si="737"/>
        <v>0</v>
      </c>
      <c r="W1208" s="7" t="s">
        <v>97</v>
      </c>
      <c r="X1208" s="2">
        <v>2016</v>
      </c>
      <c r="Y1208" s="9" t="s">
        <v>7793</v>
      </c>
    </row>
    <row r="1209" spans="1:25" s="36" customFormat="1" ht="409.5" customHeight="1" outlineLevel="1" x14ac:dyDescent="0.25">
      <c r="A1209" s="1"/>
      <c r="B1209" s="2" t="s">
        <v>7995</v>
      </c>
      <c r="C1209" s="6" t="s">
        <v>83</v>
      </c>
      <c r="D1209" s="6" t="s">
        <v>2363</v>
      </c>
      <c r="E1209" s="6" t="s">
        <v>2341</v>
      </c>
      <c r="F1209" s="6" t="s">
        <v>2364</v>
      </c>
      <c r="G1209" s="6" t="s">
        <v>2614</v>
      </c>
      <c r="H1209" s="2" t="s">
        <v>88</v>
      </c>
      <c r="I1209" s="4">
        <v>0</v>
      </c>
      <c r="J1209" s="6">
        <v>710000000</v>
      </c>
      <c r="K1209" s="6" t="s">
        <v>89</v>
      </c>
      <c r="L1209" s="2" t="s">
        <v>754</v>
      </c>
      <c r="M1209" s="6" t="s">
        <v>2699</v>
      </c>
      <c r="N1209" s="6" t="s">
        <v>92</v>
      </c>
      <c r="O1209" s="6" t="s">
        <v>93</v>
      </c>
      <c r="P1209" s="3" t="s">
        <v>673</v>
      </c>
      <c r="Q1209" s="6">
        <v>796</v>
      </c>
      <c r="R1209" s="6" t="s">
        <v>118</v>
      </c>
      <c r="S1209" s="9">
        <v>10</v>
      </c>
      <c r="T1209" s="9">
        <v>16070</v>
      </c>
      <c r="U1209" s="9">
        <f t="shared" ref="U1209" si="846">T1209*S1209</f>
        <v>160700</v>
      </c>
      <c r="V1209" s="9">
        <f t="shared" ref="V1209" si="847">U1209*1.12</f>
        <v>179984.00000000003</v>
      </c>
      <c r="W1209" s="7"/>
      <c r="X1209" s="2">
        <v>2016</v>
      </c>
      <c r="Y1209" s="9"/>
    </row>
    <row r="1210" spans="1:25" s="36" customFormat="1" ht="255" customHeight="1" outlineLevel="1" x14ac:dyDescent="0.2">
      <c r="A1210" s="25"/>
      <c r="B1210" s="2" t="s">
        <v>6106</v>
      </c>
      <c r="C1210" s="6" t="s">
        <v>83</v>
      </c>
      <c r="D1210" s="6" t="s">
        <v>2350</v>
      </c>
      <c r="E1210" s="6" t="s">
        <v>2341</v>
      </c>
      <c r="F1210" s="6" t="s">
        <v>2351</v>
      </c>
      <c r="G1210" s="6" t="s">
        <v>2615</v>
      </c>
      <c r="H1210" s="2" t="s">
        <v>88</v>
      </c>
      <c r="I1210" s="4">
        <v>0.4</v>
      </c>
      <c r="J1210" s="6">
        <v>710000000</v>
      </c>
      <c r="K1210" s="6" t="s">
        <v>89</v>
      </c>
      <c r="L1210" s="2" t="s">
        <v>754</v>
      </c>
      <c r="M1210" s="6" t="s">
        <v>2699</v>
      </c>
      <c r="N1210" s="6" t="s">
        <v>92</v>
      </c>
      <c r="O1210" s="6" t="s">
        <v>93</v>
      </c>
      <c r="P1210" s="3" t="s">
        <v>94</v>
      </c>
      <c r="Q1210" s="6">
        <v>796</v>
      </c>
      <c r="R1210" s="6" t="s">
        <v>118</v>
      </c>
      <c r="S1210" s="9">
        <v>10</v>
      </c>
      <c r="T1210" s="9">
        <v>15180</v>
      </c>
      <c r="U1210" s="9">
        <v>0</v>
      </c>
      <c r="V1210" s="9">
        <f t="shared" si="737"/>
        <v>0</v>
      </c>
      <c r="W1210" s="7" t="s">
        <v>97</v>
      </c>
      <c r="X1210" s="2">
        <v>2016</v>
      </c>
      <c r="Y1210" s="9" t="s">
        <v>7793</v>
      </c>
    </row>
    <row r="1211" spans="1:25" s="36" customFormat="1" ht="255" customHeight="1" outlineLevel="1" x14ac:dyDescent="0.25">
      <c r="A1211" s="1"/>
      <c r="B1211" s="2" t="s">
        <v>7996</v>
      </c>
      <c r="C1211" s="6" t="s">
        <v>83</v>
      </c>
      <c r="D1211" s="6" t="s">
        <v>2350</v>
      </c>
      <c r="E1211" s="6" t="s">
        <v>2341</v>
      </c>
      <c r="F1211" s="6" t="s">
        <v>2351</v>
      </c>
      <c r="G1211" s="6" t="s">
        <v>2615</v>
      </c>
      <c r="H1211" s="2" t="s">
        <v>88</v>
      </c>
      <c r="I1211" s="4">
        <v>0</v>
      </c>
      <c r="J1211" s="6">
        <v>710000000</v>
      </c>
      <c r="K1211" s="6" t="s">
        <v>89</v>
      </c>
      <c r="L1211" s="2" t="s">
        <v>754</v>
      </c>
      <c r="M1211" s="6" t="s">
        <v>2699</v>
      </c>
      <c r="N1211" s="6" t="s">
        <v>92</v>
      </c>
      <c r="O1211" s="6" t="s">
        <v>93</v>
      </c>
      <c r="P1211" s="3" t="s">
        <v>673</v>
      </c>
      <c r="Q1211" s="6">
        <v>796</v>
      </c>
      <c r="R1211" s="6" t="s">
        <v>118</v>
      </c>
      <c r="S1211" s="9">
        <v>10</v>
      </c>
      <c r="T1211" s="9">
        <v>15180</v>
      </c>
      <c r="U1211" s="9">
        <f t="shared" ref="U1211" si="848">T1211*S1211</f>
        <v>151800</v>
      </c>
      <c r="V1211" s="9">
        <f t="shared" ref="V1211" si="849">U1211*1.12</f>
        <v>170016.00000000003</v>
      </c>
      <c r="W1211" s="7"/>
      <c r="X1211" s="2">
        <v>2016</v>
      </c>
      <c r="Y1211" s="9"/>
    </row>
    <row r="1212" spans="1:25" s="36" customFormat="1" ht="409.5" customHeight="1" outlineLevel="1" x14ac:dyDescent="0.2">
      <c r="A1212" s="25"/>
      <c r="B1212" s="2" t="s">
        <v>6107</v>
      </c>
      <c r="C1212" s="6" t="s">
        <v>83</v>
      </c>
      <c r="D1212" s="6" t="s">
        <v>2340</v>
      </c>
      <c r="E1212" s="6" t="s">
        <v>2341</v>
      </c>
      <c r="F1212" s="6" t="s">
        <v>2342</v>
      </c>
      <c r="G1212" s="6" t="s">
        <v>2616</v>
      </c>
      <c r="H1212" s="2" t="s">
        <v>88</v>
      </c>
      <c r="I1212" s="4">
        <v>0.4</v>
      </c>
      <c r="J1212" s="6">
        <v>710000000</v>
      </c>
      <c r="K1212" s="6" t="s">
        <v>89</v>
      </c>
      <c r="L1212" s="2" t="s">
        <v>754</v>
      </c>
      <c r="M1212" s="6" t="s">
        <v>2699</v>
      </c>
      <c r="N1212" s="6" t="s">
        <v>92</v>
      </c>
      <c r="O1212" s="6" t="s">
        <v>93</v>
      </c>
      <c r="P1212" s="3" t="s">
        <v>94</v>
      </c>
      <c r="Q1212" s="6">
        <v>796</v>
      </c>
      <c r="R1212" s="6" t="s">
        <v>118</v>
      </c>
      <c r="S1212" s="9">
        <v>10</v>
      </c>
      <c r="T1212" s="9">
        <v>13395</v>
      </c>
      <c r="U1212" s="9">
        <v>0</v>
      </c>
      <c r="V1212" s="9">
        <f t="shared" si="737"/>
        <v>0</v>
      </c>
      <c r="W1212" s="7" t="s">
        <v>97</v>
      </c>
      <c r="X1212" s="2">
        <v>2016</v>
      </c>
      <c r="Y1212" s="9" t="s">
        <v>7793</v>
      </c>
    </row>
    <row r="1213" spans="1:25" s="36" customFormat="1" ht="409.5" customHeight="1" outlineLevel="1" x14ac:dyDescent="0.25">
      <c r="A1213" s="1"/>
      <c r="B1213" s="2" t="s">
        <v>7997</v>
      </c>
      <c r="C1213" s="6" t="s">
        <v>83</v>
      </c>
      <c r="D1213" s="6" t="s">
        <v>2340</v>
      </c>
      <c r="E1213" s="6" t="s">
        <v>2341</v>
      </c>
      <c r="F1213" s="6" t="s">
        <v>2342</v>
      </c>
      <c r="G1213" s="6" t="s">
        <v>2616</v>
      </c>
      <c r="H1213" s="2" t="s">
        <v>88</v>
      </c>
      <c r="I1213" s="4">
        <v>0</v>
      </c>
      <c r="J1213" s="6">
        <v>710000000</v>
      </c>
      <c r="K1213" s="6" t="s">
        <v>89</v>
      </c>
      <c r="L1213" s="2" t="s">
        <v>754</v>
      </c>
      <c r="M1213" s="6" t="s">
        <v>2699</v>
      </c>
      <c r="N1213" s="6" t="s">
        <v>92</v>
      </c>
      <c r="O1213" s="6" t="s">
        <v>93</v>
      </c>
      <c r="P1213" s="3" t="s">
        <v>673</v>
      </c>
      <c r="Q1213" s="6">
        <v>796</v>
      </c>
      <c r="R1213" s="6" t="s">
        <v>118</v>
      </c>
      <c r="S1213" s="9">
        <v>10</v>
      </c>
      <c r="T1213" s="9">
        <v>13395</v>
      </c>
      <c r="U1213" s="9">
        <f t="shared" ref="U1213" si="850">T1213*S1213</f>
        <v>133950</v>
      </c>
      <c r="V1213" s="9">
        <f t="shared" ref="V1213" si="851">U1213*1.12</f>
        <v>150024</v>
      </c>
      <c r="W1213" s="7"/>
      <c r="X1213" s="2">
        <v>2016</v>
      </c>
      <c r="Y1213" s="9"/>
    </row>
    <row r="1214" spans="1:25" s="36" customFormat="1" ht="409.5" customHeight="1" outlineLevel="1" x14ac:dyDescent="0.2">
      <c r="A1214" s="25"/>
      <c r="B1214" s="2" t="s">
        <v>6108</v>
      </c>
      <c r="C1214" s="6" t="s">
        <v>83</v>
      </c>
      <c r="D1214" s="6" t="s">
        <v>2617</v>
      </c>
      <c r="E1214" s="6" t="s">
        <v>2358</v>
      </c>
      <c r="F1214" s="6" t="s">
        <v>2618</v>
      </c>
      <c r="G1214" s="6" t="s">
        <v>2619</v>
      </c>
      <c r="H1214" s="2" t="s">
        <v>88</v>
      </c>
      <c r="I1214" s="4">
        <v>0.4</v>
      </c>
      <c r="J1214" s="6">
        <v>710000000</v>
      </c>
      <c r="K1214" s="6" t="s">
        <v>89</v>
      </c>
      <c r="L1214" s="2" t="s">
        <v>754</v>
      </c>
      <c r="M1214" s="6" t="s">
        <v>2699</v>
      </c>
      <c r="N1214" s="6" t="s">
        <v>92</v>
      </c>
      <c r="O1214" s="6" t="s">
        <v>93</v>
      </c>
      <c r="P1214" s="3" t="s">
        <v>94</v>
      </c>
      <c r="Q1214" s="6">
        <v>796</v>
      </c>
      <c r="R1214" s="6" t="s">
        <v>118</v>
      </c>
      <c r="S1214" s="9">
        <v>37</v>
      </c>
      <c r="T1214" s="9">
        <v>6700</v>
      </c>
      <c r="U1214" s="9">
        <v>0</v>
      </c>
      <c r="V1214" s="9">
        <f t="shared" si="737"/>
        <v>0</v>
      </c>
      <c r="W1214" s="7" t="s">
        <v>97</v>
      </c>
      <c r="X1214" s="2">
        <v>2016</v>
      </c>
      <c r="Y1214" s="9" t="s">
        <v>7793</v>
      </c>
    </row>
    <row r="1215" spans="1:25" s="36" customFormat="1" ht="409.5" customHeight="1" outlineLevel="1" x14ac:dyDescent="0.25">
      <c r="A1215" s="1"/>
      <c r="B1215" s="2" t="s">
        <v>7998</v>
      </c>
      <c r="C1215" s="6" t="s">
        <v>83</v>
      </c>
      <c r="D1215" s="6" t="s">
        <v>2617</v>
      </c>
      <c r="E1215" s="6" t="s">
        <v>2358</v>
      </c>
      <c r="F1215" s="6" t="s">
        <v>2618</v>
      </c>
      <c r="G1215" s="6" t="s">
        <v>2619</v>
      </c>
      <c r="H1215" s="2" t="s">
        <v>88</v>
      </c>
      <c r="I1215" s="4">
        <v>0</v>
      </c>
      <c r="J1215" s="6">
        <v>710000000</v>
      </c>
      <c r="K1215" s="6" t="s">
        <v>89</v>
      </c>
      <c r="L1215" s="2" t="s">
        <v>754</v>
      </c>
      <c r="M1215" s="6" t="s">
        <v>2699</v>
      </c>
      <c r="N1215" s="6" t="s">
        <v>92</v>
      </c>
      <c r="O1215" s="6" t="s">
        <v>93</v>
      </c>
      <c r="P1215" s="3" t="s">
        <v>673</v>
      </c>
      <c r="Q1215" s="6">
        <v>796</v>
      </c>
      <c r="R1215" s="6" t="s">
        <v>118</v>
      </c>
      <c r="S1215" s="9">
        <v>37</v>
      </c>
      <c r="T1215" s="9">
        <v>6700</v>
      </c>
      <c r="U1215" s="9">
        <f t="shared" ref="U1215" si="852">T1215*S1215</f>
        <v>247900</v>
      </c>
      <c r="V1215" s="9">
        <f t="shared" ref="V1215" si="853">U1215*1.12</f>
        <v>277648</v>
      </c>
      <c r="W1215" s="7"/>
      <c r="X1215" s="2">
        <v>2016</v>
      </c>
      <c r="Y1215" s="9"/>
    </row>
    <row r="1216" spans="1:25" s="36" customFormat="1" ht="344.25" customHeight="1" outlineLevel="1" x14ac:dyDescent="0.25">
      <c r="A1216" s="1"/>
      <c r="B1216" s="2" t="s">
        <v>6109</v>
      </c>
      <c r="C1216" s="6" t="s">
        <v>83</v>
      </c>
      <c r="D1216" s="6" t="s">
        <v>2620</v>
      </c>
      <c r="E1216" s="6" t="s">
        <v>2367</v>
      </c>
      <c r="F1216" s="6" t="s">
        <v>2368</v>
      </c>
      <c r="G1216" s="6" t="s">
        <v>2621</v>
      </c>
      <c r="H1216" s="2" t="s">
        <v>88</v>
      </c>
      <c r="I1216" s="4">
        <v>0.4</v>
      </c>
      <c r="J1216" s="6">
        <v>710000000</v>
      </c>
      <c r="K1216" s="6" t="s">
        <v>89</v>
      </c>
      <c r="L1216" s="2" t="s">
        <v>754</v>
      </c>
      <c r="M1216" s="6" t="s">
        <v>2699</v>
      </c>
      <c r="N1216" s="6" t="s">
        <v>92</v>
      </c>
      <c r="O1216" s="6" t="s">
        <v>93</v>
      </c>
      <c r="P1216" s="3" t="s">
        <v>94</v>
      </c>
      <c r="Q1216" s="6">
        <v>778</v>
      </c>
      <c r="R1216" s="6" t="s">
        <v>523</v>
      </c>
      <c r="S1216" s="9">
        <v>7</v>
      </c>
      <c r="T1216" s="9">
        <v>13395</v>
      </c>
      <c r="U1216" s="9">
        <v>0</v>
      </c>
      <c r="V1216" s="9">
        <f t="shared" si="737"/>
        <v>0</v>
      </c>
      <c r="W1216" s="7" t="s">
        <v>97</v>
      </c>
      <c r="X1216" s="2">
        <v>2016</v>
      </c>
      <c r="Y1216" s="9" t="s">
        <v>7793</v>
      </c>
    </row>
    <row r="1217" spans="1:25" s="36" customFormat="1" ht="344.25" customHeight="1" outlineLevel="1" x14ac:dyDescent="0.25">
      <c r="A1217" s="1"/>
      <c r="B1217" s="2" t="s">
        <v>7999</v>
      </c>
      <c r="C1217" s="6" t="s">
        <v>83</v>
      </c>
      <c r="D1217" s="6" t="s">
        <v>2620</v>
      </c>
      <c r="E1217" s="6" t="s">
        <v>2367</v>
      </c>
      <c r="F1217" s="6" t="s">
        <v>2368</v>
      </c>
      <c r="G1217" s="6" t="s">
        <v>2621</v>
      </c>
      <c r="H1217" s="2" t="s">
        <v>88</v>
      </c>
      <c r="I1217" s="4">
        <v>0</v>
      </c>
      <c r="J1217" s="6">
        <v>710000000</v>
      </c>
      <c r="K1217" s="6" t="s">
        <v>89</v>
      </c>
      <c r="L1217" s="2" t="s">
        <v>754</v>
      </c>
      <c r="M1217" s="6" t="s">
        <v>2699</v>
      </c>
      <c r="N1217" s="6" t="s">
        <v>92</v>
      </c>
      <c r="O1217" s="6" t="s">
        <v>93</v>
      </c>
      <c r="P1217" s="3" t="s">
        <v>673</v>
      </c>
      <c r="Q1217" s="6">
        <v>778</v>
      </c>
      <c r="R1217" s="6" t="s">
        <v>523</v>
      </c>
      <c r="S1217" s="9">
        <v>7</v>
      </c>
      <c r="T1217" s="9">
        <v>13395</v>
      </c>
      <c r="U1217" s="9">
        <f t="shared" ref="U1217" si="854">T1217*S1217</f>
        <v>93765</v>
      </c>
      <c r="V1217" s="9">
        <f t="shared" ref="V1217" si="855">U1217*1.12</f>
        <v>105016.8</v>
      </c>
      <c r="W1217" s="7"/>
      <c r="X1217" s="2">
        <v>2016</v>
      </c>
      <c r="Y1217" s="9"/>
    </row>
    <row r="1218" spans="1:25" s="36" customFormat="1" ht="178.5" customHeight="1" outlineLevel="1" x14ac:dyDescent="0.25">
      <c r="A1218" s="1"/>
      <c r="B1218" s="2" t="s">
        <v>6110</v>
      </c>
      <c r="C1218" s="6" t="s">
        <v>83</v>
      </c>
      <c r="D1218" s="6" t="s">
        <v>2627</v>
      </c>
      <c r="E1218" s="6" t="s">
        <v>2426</v>
      </c>
      <c r="F1218" s="6" t="s">
        <v>2628</v>
      </c>
      <c r="G1218" s="6" t="s">
        <v>2629</v>
      </c>
      <c r="H1218" s="2" t="s">
        <v>88</v>
      </c>
      <c r="I1218" s="4">
        <v>0.4</v>
      </c>
      <c r="J1218" s="6">
        <v>710000000</v>
      </c>
      <c r="K1218" s="6" t="s">
        <v>89</v>
      </c>
      <c r="L1218" s="2" t="s">
        <v>754</v>
      </c>
      <c r="M1218" s="6" t="s">
        <v>2699</v>
      </c>
      <c r="N1218" s="6" t="s">
        <v>92</v>
      </c>
      <c r="O1218" s="6" t="s">
        <v>93</v>
      </c>
      <c r="P1218" s="3" t="s">
        <v>94</v>
      </c>
      <c r="Q1218" s="6">
        <v>796</v>
      </c>
      <c r="R1218" s="6" t="s">
        <v>118</v>
      </c>
      <c r="S1218" s="9">
        <v>82</v>
      </c>
      <c r="T1218" s="9">
        <v>535</v>
      </c>
      <c r="U1218" s="9">
        <f t="shared" ref="U1218" si="856">T1218*S1218</f>
        <v>43870</v>
      </c>
      <c r="V1218" s="9">
        <f t="shared" ref="V1218:V1343" si="857">U1218*1.12</f>
        <v>49134.400000000001</v>
      </c>
      <c r="W1218" s="7" t="s">
        <v>97</v>
      </c>
      <c r="X1218" s="2">
        <v>2016</v>
      </c>
      <c r="Y1218" s="9"/>
    </row>
    <row r="1219" spans="1:25" s="36" customFormat="1" ht="178.5" customHeight="1" outlineLevel="1" x14ac:dyDescent="0.2">
      <c r="A1219" s="25"/>
      <c r="B1219" s="2" t="s">
        <v>6111</v>
      </c>
      <c r="C1219" s="6" t="s">
        <v>83</v>
      </c>
      <c r="D1219" s="6" t="s">
        <v>2627</v>
      </c>
      <c r="E1219" s="6" t="s">
        <v>2426</v>
      </c>
      <c r="F1219" s="6" t="s">
        <v>2628</v>
      </c>
      <c r="G1219" s="6" t="s">
        <v>2630</v>
      </c>
      <c r="H1219" s="2" t="s">
        <v>88</v>
      </c>
      <c r="I1219" s="4">
        <v>0.4</v>
      </c>
      <c r="J1219" s="6">
        <v>710000000</v>
      </c>
      <c r="K1219" s="6" t="s">
        <v>89</v>
      </c>
      <c r="L1219" s="2" t="s">
        <v>754</v>
      </c>
      <c r="M1219" s="6" t="s">
        <v>2699</v>
      </c>
      <c r="N1219" s="6" t="s">
        <v>92</v>
      </c>
      <c r="O1219" s="6" t="s">
        <v>93</v>
      </c>
      <c r="P1219" s="3" t="s">
        <v>94</v>
      </c>
      <c r="Q1219" s="6">
        <v>796</v>
      </c>
      <c r="R1219" s="6" t="s">
        <v>118</v>
      </c>
      <c r="S1219" s="9">
        <v>82</v>
      </c>
      <c r="T1219" s="9">
        <v>535</v>
      </c>
      <c r="U1219" s="9">
        <v>0</v>
      </c>
      <c r="V1219" s="9">
        <f t="shared" si="857"/>
        <v>0</v>
      </c>
      <c r="W1219" s="7" t="s">
        <v>97</v>
      </c>
      <c r="X1219" s="2">
        <v>2016</v>
      </c>
      <c r="Y1219" s="9" t="s">
        <v>7793</v>
      </c>
    </row>
    <row r="1220" spans="1:25" s="36" customFormat="1" ht="178.5" customHeight="1" outlineLevel="1" x14ac:dyDescent="0.25">
      <c r="A1220" s="1"/>
      <c r="B1220" s="2" t="s">
        <v>8000</v>
      </c>
      <c r="C1220" s="6" t="s">
        <v>83</v>
      </c>
      <c r="D1220" s="6" t="s">
        <v>2627</v>
      </c>
      <c r="E1220" s="6" t="s">
        <v>2426</v>
      </c>
      <c r="F1220" s="6" t="s">
        <v>2628</v>
      </c>
      <c r="G1220" s="6" t="s">
        <v>2630</v>
      </c>
      <c r="H1220" s="2" t="s">
        <v>88</v>
      </c>
      <c r="I1220" s="4">
        <v>0</v>
      </c>
      <c r="J1220" s="6">
        <v>710000000</v>
      </c>
      <c r="K1220" s="6" t="s">
        <v>89</v>
      </c>
      <c r="L1220" s="2" t="s">
        <v>754</v>
      </c>
      <c r="M1220" s="6" t="s">
        <v>2699</v>
      </c>
      <c r="N1220" s="6" t="s">
        <v>92</v>
      </c>
      <c r="O1220" s="6" t="s">
        <v>93</v>
      </c>
      <c r="P1220" s="3" t="s">
        <v>673</v>
      </c>
      <c r="Q1220" s="6">
        <v>796</v>
      </c>
      <c r="R1220" s="6" t="s">
        <v>118</v>
      </c>
      <c r="S1220" s="9">
        <v>82</v>
      </c>
      <c r="T1220" s="9">
        <v>535</v>
      </c>
      <c r="U1220" s="9">
        <f t="shared" ref="U1220" si="858">T1220*S1220</f>
        <v>43870</v>
      </c>
      <c r="V1220" s="9">
        <f t="shared" ref="V1220" si="859">U1220*1.12</f>
        <v>49134.400000000001</v>
      </c>
      <c r="W1220" s="7"/>
      <c r="X1220" s="2">
        <v>2016</v>
      </c>
      <c r="Y1220" s="9"/>
    </row>
    <row r="1221" spans="1:25" s="36" customFormat="1" ht="178.5" customHeight="1" outlineLevel="1" x14ac:dyDescent="0.25">
      <c r="A1221" s="1"/>
      <c r="B1221" s="2" t="s">
        <v>6112</v>
      </c>
      <c r="C1221" s="6" t="s">
        <v>83</v>
      </c>
      <c r="D1221" s="6" t="s">
        <v>2627</v>
      </c>
      <c r="E1221" s="6" t="s">
        <v>2426</v>
      </c>
      <c r="F1221" s="6" t="s">
        <v>2628</v>
      </c>
      <c r="G1221" s="6" t="s">
        <v>2631</v>
      </c>
      <c r="H1221" s="2" t="s">
        <v>88</v>
      </c>
      <c r="I1221" s="4">
        <v>0.4</v>
      </c>
      <c r="J1221" s="6">
        <v>710000000</v>
      </c>
      <c r="K1221" s="6" t="s">
        <v>89</v>
      </c>
      <c r="L1221" s="2" t="s">
        <v>754</v>
      </c>
      <c r="M1221" s="6" t="s">
        <v>2699</v>
      </c>
      <c r="N1221" s="6" t="s">
        <v>92</v>
      </c>
      <c r="O1221" s="6" t="s">
        <v>93</v>
      </c>
      <c r="P1221" s="3" t="s">
        <v>94</v>
      </c>
      <c r="Q1221" s="6">
        <v>796</v>
      </c>
      <c r="R1221" s="6" t="s">
        <v>118</v>
      </c>
      <c r="S1221" s="9">
        <v>82</v>
      </c>
      <c r="T1221" s="9">
        <v>535</v>
      </c>
      <c r="U1221" s="9">
        <v>0</v>
      </c>
      <c r="V1221" s="9">
        <f t="shared" si="857"/>
        <v>0</v>
      </c>
      <c r="W1221" s="7" t="s">
        <v>97</v>
      </c>
      <c r="X1221" s="2">
        <v>2016</v>
      </c>
      <c r="Y1221" s="9" t="s">
        <v>7793</v>
      </c>
    </row>
    <row r="1222" spans="1:25" s="36" customFormat="1" ht="178.5" customHeight="1" outlineLevel="1" x14ac:dyDescent="0.25">
      <c r="A1222" s="1"/>
      <c r="B1222" s="2" t="s">
        <v>8001</v>
      </c>
      <c r="C1222" s="6" t="s">
        <v>83</v>
      </c>
      <c r="D1222" s="6" t="s">
        <v>2627</v>
      </c>
      <c r="E1222" s="6" t="s">
        <v>2426</v>
      </c>
      <c r="F1222" s="6" t="s">
        <v>2628</v>
      </c>
      <c r="G1222" s="6" t="s">
        <v>2631</v>
      </c>
      <c r="H1222" s="2" t="s">
        <v>88</v>
      </c>
      <c r="I1222" s="4">
        <v>0</v>
      </c>
      <c r="J1222" s="6">
        <v>710000000</v>
      </c>
      <c r="K1222" s="6" t="s">
        <v>89</v>
      </c>
      <c r="L1222" s="2" t="s">
        <v>754</v>
      </c>
      <c r="M1222" s="6" t="s">
        <v>2699</v>
      </c>
      <c r="N1222" s="6" t="s">
        <v>92</v>
      </c>
      <c r="O1222" s="6" t="s">
        <v>93</v>
      </c>
      <c r="P1222" s="3" t="s">
        <v>673</v>
      </c>
      <c r="Q1222" s="6">
        <v>796</v>
      </c>
      <c r="R1222" s="6" t="s">
        <v>118</v>
      </c>
      <c r="S1222" s="9">
        <v>82</v>
      </c>
      <c r="T1222" s="9">
        <v>535</v>
      </c>
      <c r="U1222" s="9">
        <f t="shared" ref="U1222" si="860">T1222*S1222</f>
        <v>43870</v>
      </c>
      <c r="V1222" s="9">
        <f t="shared" ref="V1222" si="861">U1222*1.12</f>
        <v>49134.400000000001</v>
      </c>
      <c r="W1222" s="7"/>
      <c r="X1222" s="2">
        <v>2016</v>
      </c>
      <c r="Y1222" s="9"/>
    </row>
    <row r="1223" spans="1:25" s="36" customFormat="1" ht="178.5" customHeight="1" outlineLevel="1" x14ac:dyDescent="0.25">
      <c r="A1223" s="1"/>
      <c r="B1223" s="2" t="s">
        <v>6113</v>
      </c>
      <c r="C1223" s="6" t="s">
        <v>83</v>
      </c>
      <c r="D1223" s="6" t="s">
        <v>2627</v>
      </c>
      <c r="E1223" s="6" t="s">
        <v>2426</v>
      </c>
      <c r="F1223" s="6" t="s">
        <v>2628</v>
      </c>
      <c r="G1223" s="6" t="s">
        <v>2632</v>
      </c>
      <c r="H1223" s="2" t="s">
        <v>88</v>
      </c>
      <c r="I1223" s="4">
        <v>0.4</v>
      </c>
      <c r="J1223" s="6">
        <v>710000000</v>
      </c>
      <c r="K1223" s="6" t="s">
        <v>89</v>
      </c>
      <c r="L1223" s="2" t="s">
        <v>754</v>
      </c>
      <c r="M1223" s="6" t="s">
        <v>2699</v>
      </c>
      <c r="N1223" s="6" t="s">
        <v>92</v>
      </c>
      <c r="O1223" s="6" t="s">
        <v>93</v>
      </c>
      <c r="P1223" s="3" t="s">
        <v>94</v>
      </c>
      <c r="Q1223" s="6">
        <v>796</v>
      </c>
      <c r="R1223" s="6" t="s">
        <v>118</v>
      </c>
      <c r="S1223" s="9">
        <v>82</v>
      </c>
      <c r="T1223" s="9">
        <v>535</v>
      </c>
      <c r="U1223" s="9">
        <v>0</v>
      </c>
      <c r="V1223" s="9">
        <f t="shared" si="857"/>
        <v>0</v>
      </c>
      <c r="W1223" s="7" t="s">
        <v>97</v>
      </c>
      <c r="X1223" s="2">
        <v>2016</v>
      </c>
      <c r="Y1223" s="9" t="s">
        <v>7793</v>
      </c>
    </row>
    <row r="1224" spans="1:25" s="36" customFormat="1" ht="178.5" customHeight="1" outlineLevel="1" x14ac:dyDescent="0.25">
      <c r="A1224" s="1"/>
      <c r="B1224" s="2" t="s">
        <v>6114</v>
      </c>
      <c r="C1224" s="6" t="s">
        <v>83</v>
      </c>
      <c r="D1224" s="6" t="s">
        <v>2627</v>
      </c>
      <c r="E1224" s="6" t="s">
        <v>2426</v>
      </c>
      <c r="F1224" s="6" t="s">
        <v>2628</v>
      </c>
      <c r="G1224" s="6" t="s">
        <v>2632</v>
      </c>
      <c r="H1224" s="2" t="s">
        <v>88</v>
      </c>
      <c r="I1224" s="4">
        <v>0</v>
      </c>
      <c r="J1224" s="6">
        <v>710000000</v>
      </c>
      <c r="K1224" s="6" t="s">
        <v>89</v>
      </c>
      <c r="L1224" s="2" t="s">
        <v>754</v>
      </c>
      <c r="M1224" s="6" t="s">
        <v>2699</v>
      </c>
      <c r="N1224" s="6" t="s">
        <v>92</v>
      </c>
      <c r="O1224" s="6" t="s">
        <v>93</v>
      </c>
      <c r="P1224" s="3" t="s">
        <v>673</v>
      </c>
      <c r="Q1224" s="6">
        <v>796</v>
      </c>
      <c r="R1224" s="6" t="s">
        <v>118</v>
      </c>
      <c r="S1224" s="9">
        <v>82</v>
      </c>
      <c r="T1224" s="9">
        <v>535</v>
      </c>
      <c r="U1224" s="9">
        <f t="shared" ref="U1224" si="862">T1224*S1224</f>
        <v>43870</v>
      </c>
      <c r="V1224" s="9">
        <f t="shared" ref="V1224" si="863">U1224*1.12</f>
        <v>49134.400000000001</v>
      </c>
      <c r="W1224" s="7"/>
      <c r="X1224" s="2">
        <v>2016</v>
      </c>
      <c r="Y1224" s="9"/>
    </row>
    <row r="1225" spans="1:25" s="36" customFormat="1" ht="409.5" customHeight="1" outlineLevel="1" x14ac:dyDescent="0.2">
      <c r="A1225" s="25"/>
      <c r="B1225" s="2" t="s">
        <v>6114</v>
      </c>
      <c r="C1225" s="6" t="s">
        <v>83</v>
      </c>
      <c r="D1225" s="6" t="s">
        <v>2627</v>
      </c>
      <c r="E1225" s="6" t="s">
        <v>2426</v>
      </c>
      <c r="F1225" s="6" t="s">
        <v>2628</v>
      </c>
      <c r="G1225" s="6" t="s">
        <v>2683</v>
      </c>
      <c r="H1225" s="2" t="s">
        <v>88</v>
      </c>
      <c r="I1225" s="4">
        <v>0.4</v>
      </c>
      <c r="J1225" s="6">
        <v>710000000</v>
      </c>
      <c r="K1225" s="6" t="s">
        <v>89</v>
      </c>
      <c r="L1225" s="2" t="s">
        <v>754</v>
      </c>
      <c r="M1225" s="6" t="s">
        <v>2699</v>
      </c>
      <c r="N1225" s="6" t="s">
        <v>92</v>
      </c>
      <c r="O1225" s="6" t="s">
        <v>93</v>
      </c>
      <c r="P1225" s="3" t="s">
        <v>94</v>
      </c>
      <c r="Q1225" s="6">
        <v>796</v>
      </c>
      <c r="R1225" s="6" t="s">
        <v>118</v>
      </c>
      <c r="S1225" s="9">
        <v>82</v>
      </c>
      <c r="T1225" s="9">
        <v>535</v>
      </c>
      <c r="U1225" s="9">
        <v>0</v>
      </c>
      <c r="V1225" s="9">
        <f t="shared" si="857"/>
        <v>0</v>
      </c>
      <c r="W1225" s="7" t="s">
        <v>97</v>
      </c>
      <c r="X1225" s="2">
        <v>2016</v>
      </c>
      <c r="Y1225" s="9" t="s">
        <v>7793</v>
      </c>
    </row>
    <row r="1226" spans="1:25" s="36" customFormat="1" ht="409.5" customHeight="1" outlineLevel="1" x14ac:dyDescent="0.25">
      <c r="A1226" s="1"/>
      <c r="B1226" s="2" t="s">
        <v>8002</v>
      </c>
      <c r="C1226" s="6" t="s">
        <v>83</v>
      </c>
      <c r="D1226" s="6" t="s">
        <v>2627</v>
      </c>
      <c r="E1226" s="6" t="s">
        <v>2426</v>
      </c>
      <c r="F1226" s="6" t="s">
        <v>2628</v>
      </c>
      <c r="G1226" s="6" t="s">
        <v>2683</v>
      </c>
      <c r="H1226" s="2" t="s">
        <v>88</v>
      </c>
      <c r="I1226" s="4">
        <v>0</v>
      </c>
      <c r="J1226" s="6">
        <v>710000000</v>
      </c>
      <c r="K1226" s="6" t="s">
        <v>89</v>
      </c>
      <c r="L1226" s="2" t="s">
        <v>754</v>
      </c>
      <c r="M1226" s="6" t="s">
        <v>2699</v>
      </c>
      <c r="N1226" s="6" t="s">
        <v>92</v>
      </c>
      <c r="O1226" s="6" t="s">
        <v>93</v>
      </c>
      <c r="P1226" s="3" t="s">
        <v>673</v>
      </c>
      <c r="Q1226" s="6">
        <v>796</v>
      </c>
      <c r="R1226" s="6" t="s">
        <v>118</v>
      </c>
      <c r="S1226" s="9">
        <v>82</v>
      </c>
      <c r="T1226" s="9">
        <v>535</v>
      </c>
      <c r="U1226" s="9">
        <f t="shared" ref="U1226" si="864">T1226*S1226</f>
        <v>43870</v>
      </c>
      <c r="V1226" s="9">
        <f t="shared" ref="V1226" si="865">U1226*1.12</f>
        <v>49134.400000000001</v>
      </c>
      <c r="W1226" s="7"/>
      <c r="X1226" s="2">
        <v>2016</v>
      </c>
      <c r="Y1226" s="9"/>
    </row>
    <row r="1227" spans="1:25" s="36" customFormat="1" ht="409.5" customHeight="1" outlineLevel="1" x14ac:dyDescent="0.25">
      <c r="A1227" s="1"/>
      <c r="B1227" s="2" t="s">
        <v>6115</v>
      </c>
      <c r="C1227" s="6" t="s">
        <v>83</v>
      </c>
      <c r="D1227" s="6" t="s">
        <v>2627</v>
      </c>
      <c r="E1227" s="6" t="s">
        <v>2426</v>
      </c>
      <c r="F1227" s="6" t="s">
        <v>2628</v>
      </c>
      <c r="G1227" s="6" t="s">
        <v>2684</v>
      </c>
      <c r="H1227" s="2" t="s">
        <v>88</v>
      </c>
      <c r="I1227" s="4">
        <v>0.4</v>
      </c>
      <c r="J1227" s="6">
        <v>710000000</v>
      </c>
      <c r="K1227" s="6" t="s">
        <v>89</v>
      </c>
      <c r="L1227" s="2" t="s">
        <v>754</v>
      </c>
      <c r="M1227" s="6" t="s">
        <v>2699</v>
      </c>
      <c r="N1227" s="6" t="s">
        <v>92</v>
      </c>
      <c r="O1227" s="6" t="s">
        <v>93</v>
      </c>
      <c r="P1227" s="3" t="s">
        <v>94</v>
      </c>
      <c r="Q1227" s="6">
        <v>796</v>
      </c>
      <c r="R1227" s="6" t="s">
        <v>118</v>
      </c>
      <c r="S1227" s="9">
        <v>82</v>
      </c>
      <c r="T1227" s="9">
        <v>535</v>
      </c>
      <c r="U1227" s="9">
        <v>0</v>
      </c>
      <c r="V1227" s="9">
        <f t="shared" si="857"/>
        <v>0</v>
      </c>
      <c r="W1227" s="7" t="s">
        <v>97</v>
      </c>
      <c r="X1227" s="2">
        <v>2016</v>
      </c>
      <c r="Y1227" s="9" t="s">
        <v>7793</v>
      </c>
    </row>
    <row r="1228" spans="1:25" s="36" customFormat="1" ht="409.5" customHeight="1" outlineLevel="1" x14ac:dyDescent="0.25">
      <c r="A1228" s="1"/>
      <c r="B1228" s="2" t="s">
        <v>8003</v>
      </c>
      <c r="C1228" s="6" t="s">
        <v>83</v>
      </c>
      <c r="D1228" s="6" t="s">
        <v>2627</v>
      </c>
      <c r="E1228" s="6" t="s">
        <v>2426</v>
      </c>
      <c r="F1228" s="6" t="s">
        <v>2628</v>
      </c>
      <c r="G1228" s="6" t="s">
        <v>2684</v>
      </c>
      <c r="H1228" s="2" t="s">
        <v>88</v>
      </c>
      <c r="I1228" s="4">
        <v>0</v>
      </c>
      <c r="J1228" s="6">
        <v>710000000</v>
      </c>
      <c r="K1228" s="6" t="s">
        <v>89</v>
      </c>
      <c r="L1228" s="2" t="s">
        <v>754</v>
      </c>
      <c r="M1228" s="6" t="s">
        <v>2699</v>
      </c>
      <c r="N1228" s="6" t="s">
        <v>92</v>
      </c>
      <c r="O1228" s="6" t="s">
        <v>93</v>
      </c>
      <c r="P1228" s="3" t="s">
        <v>673</v>
      </c>
      <c r="Q1228" s="6">
        <v>796</v>
      </c>
      <c r="R1228" s="6" t="s">
        <v>118</v>
      </c>
      <c r="S1228" s="9">
        <v>82</v>
      </c>
      <c r="T1228" s="9">
        <v>535</v>
      </c>
      <c r="U1228" s="9">
        <f t="shared" ref="U1228" si="866">T1228*S1228</f>
        <v>43870</v>
      </c>
      <c r="V1228" s="9">
        <f t="shared" ref="V1228" si="867">U1228*1.12</f>
        <v>49134.400000000001</v>
      </c>
      <c r="W1228" s="7"/>
      <c r="X1228" s="2">
        <v>2016</v>
      </c>
      <c r="Y1228" s="9"/>
    </row>
    <row r="1229" spans="1:25" s="36" customFormat="1" ht="409.5" customHeight="1" outlineLevel="1" x14ac:dyDescent="0.25">
      <c r="A1229" s="1"/>
      <c r="B1229" s="2" t="s">
        <v>6116</v>
      </c>
      <c r="C1229" s="6" t="s">
        <v>83</v>
      </c>
      <c r="D1229" s="6" t="s">
        <v>2627</v>
      </c>
      <c r="E1229" s="6" t="s">
        <v>2426</v>
      </c>
      <c r="F1229" s="6" t="s">
        <v>2628</v>
      </c>
      <c r="G1229" s="6" t="s">
        <v>2685</v>
      </c>
      <c r="H1229" s="2" t="s">
        <v>88</v>
      </c>
      <c r="I1229" s="4">
        <v>0.4</v>
      </c>
      <c r="J1229" s="6">
        <v>710000000</v>
      </c>
      <c r="K1229" s="6" t="s">
        <v>89</v>
      </c>
      <c r="L1229" s="2" t="s">
        <v>754</v>
      </c>
      <c r="M1229" s="6" t="s">
        <v>2699</v>
      </c>
      <c r="N1229" s="6" t="s">
        <v>92</v>
      </c>
      <c r="O1229" s="6" t="s">
        <v>93</v>
      </c>
      <c r="P1229" s="3" t="s">
        <v>94</v>
      </c>
      <c r="Q1229" s="6">
        <v>796</v>
      </c>
      <c r="R1229" s="6" t="s">
        <v>118</v>
      </c>
      <c r="S1229" s="9">
        <v>82</v>
      </c>
      <c r="T1229" s="9">
        <v>535</v>
      </c>
      <c r="U1229" s="9">
        <v>0</v>
      </c>
      <c r="V1229" s="9">
        <f t="shared" si="857"/>
        <v>0</v>
      </c>
      <c r="W1229" s="7" t="s">
        <v>97</v>
      </c>
      <c r="X1229" s="2">
        <v>2016</v>
      </c>
      <c r="Y1229" s="9" t="s">
        <v>7793</v>
      </c>
    </row>
    <row r="1230" spans="1:25" s="36" customFormat="1" ht="409.5" customHeight="1" outlineLevel="1" x14ac:dyDescent="0.25">
      <c r="A1230" s="1"/>
      <c r="B1230" s="2" t="s">
        <v>8004</v>
      </c>
      <c r="C1230" s="6" t="s">
        <v>83</v>
      </c>
      <c r="D1230" s="6" t="s">
        <v>2627</v>
      </c>
      <c r="E1230" s="6" t="s">
        <v>2426</v>
      </c>
      <c r="F1230" s="6" t="s">
        <v>2628</v>
      </c>
      <c r="G1230" s="6" t="s">
        <v>2685</v>
      </c>
      <c r="H1230" s="2" t="s">
        <v>88</v>
      </c>
      <c r="I1230" s="4">
        <v>0</v>
      </c>
      <c r="J1230" s="6">
        <v>710000000</v>
      </c>
      <c r="K1230" s="6" t="s">
        <v>89</v>
      </c>
      <c r="L1230" s="2" t="s">
        <v>754</v>
      </c>
      <c r="M1230" s="6" t="s">
        <v>2699</v>
      </c>
      <c r="N1230" s="6" t="s">
        <v>92</v>
      </c>
      <c r="O1230" s="6" t="s">
        <v>93</v>
      </c>
      <c r="P1230" s="3" t="s">
        <v>673</v>
      </c>
      <c r="Q1230" s="6">
        <v>796</v>
      </c>
      <c r="R1230" s="6" t="s">
        <v>118</v>
      </c>
      <c r="S1230" s="9">
        <v>82</v>
      </c>
      <c r="T1230" s="9">
        <v>535</v>
      </c>
      <c r="U1230" s="9">
        <f t="shared" ref="U1230" si="868">T1230*S1230</f>
        <v>43870</v>
      </c>
      <c r="V1230" s="9">
        <f t="shared" ref="V1230" si="869">U1230*1.12</f>
        <v>49134.400000000001</v>
      </c>
      <c r="W1230" s="7"/>
      <c r="X1230" s="2">
        <v>2016</v>
      </c>
      <c r="Y1230" s="9"/>
    </row>
    <row r="1231" spans="1:25" s="36" customFormat="1" ht="409.5" customHeight="1" outlineLevel="1" x14ac:dyDescent="0.25">
      <c r="A1231" s="1"/>
      <c r="B1231" s="2" t="s">
        <v>6117</v>
      </c>
      <c r="C1231" s="6" t="s">
        <v>83</v>
      </c>
      <c r="D1231" s="6" t="s">
        <v>2627</v>
      </c>
      <c r="E1231" s="6" t="s">
        <v>2426</v>
      </c>
      <c r="F1231" s="6" t="s">
        <v>2628</v>
      </c>
      <c r="G1231" s="6" t="s">
        <v>2686</v>
      </c>
      <c r="H1231" s="2" t="s">
        <v>88</v>
      </c>
      <c r="I1231" s="4">
        <v>0.4</v>
      </c>
      <c r="J1231" s="6">
        <v>710000000</v>
      </c>
      <c r="K1231" s="6" t="s">
        <v>89</v>
      </c>
      <c r="L1231" s="2" t="s">
        <v>754</v>
      </c>
      <c r="M1231" s="6" t="s">
        <v>2699</v>
      </c>
      <c r="N1231" s="6" t="s">
        <v>92</v>
      </c>
      <c r="O1231" s="6" t="s">
        <v>93</v>
      </c>
      <c r="P1231" s="3" t="s">
        <v>94</v>
      </c>
      <c r="Q1231" s="6">
        <v>796</v>
      </c>
      <c r="R1231" s="6" t="s">
        <v>118</v>
      </c>
      <c r="S1231" s="9">
        <v>82</v>
      </c>
      <c r="T1231" s="9">
        <v>535</v>
      </c>
      <c r="U1231" s="9">
        <v>0</v>
      </c>
      <c r="V1231" s="9">
        <f t="shared" si="857"/>
        <v>0</v>
      </c>
      <c r="W1231" s="7" t="s">
        <v>97</v>
      </c>
      <c r="X1231" s="2">
        <v>2016</v>
      </c>
      <c r="Y1231" s="9" t="s">
        <v>7793</v>
      </c>
    </row>
    <row r="1232" spans="1:25" s="36" customFormat="1" ht="409.5" customHeight="1" outlineLevel="1" x14ac:dyDescent="0.25">
      <c r="A1232" s="1"/>
      <c r="B1232" s="2" t="s">
        <v>8005</v>
      </c>
      <c r="C1232" s="6" t="s">
        <v>83</v>
      </c>
      <c r="D1232" s="6" t="s">
        <v>2627</v>
      </c>
      <c r="E1232" s="6" t="s">
        <v>2426</v>
      </c>
      <c r="F1232" s="6" t="s">
        <v>2628</v>
      </c>
      <c r="G1232" s="6" t="s">
        <v>2686</v>
      </c>
      <c r="H1232" s="2" t="s">
        <v>88</v>
      </c>
      <c r="I1232" s="4">
        <v>0</v>
      </c>
      <c r="J1232" s="6">
        <v>710000000</v>
      </c>
      <c r="K1232" s="6" t="s">
        <v>89</v>
      </c>
      <c r="L1232" s="2" t="s">
        <v>754</v>
      </c>
      <c r="M1232" s="6" t="s">
        <v>2699</v>
      </c>
      <c r="N1232" s="6" t="s">
        <v>92</v>
      </c>
      <c r="O1232" s="6" t="s">
        <v>93</v>
      </c>
      <c r="P1232" s="3" t="s">
        <v>673</v>
      </c>
      <c r="Q1232" s="6">
        <v>796</v>
      </c>
      <c r="R1232" s="6" t="s">
        <v>118</v>
      </c>
      <c r="S1232" s="9">
        <v>82</v>
      </c>
      <c r="T1232" s="9">
        <v>535</v>
      </c>
      <c r="U1232" s="9">
        <f t="shared" ref="U1232" si="870">T1232*S1232</f>
        <v>43870</v>
      </c>
      <c r="V1232" s="9">
        <f t="shared" ref="V1232" si="871">U1232*1.12</f>
        <v>49134.400000000001</v>
      </c>
      <c r="W1232" s="7"/>
      <c r="X1232" s="2">
        <v>2016</v>
      </c>
      <c r="Y1232" s="9"/>
    </row>
    <row r="1233" spans="1:25" s="36" customFormat="1" ht="229.5" customHeight="1" outlineLevel="1" x14ac:dyDescent="0.25">
      <c r="A1233" s="1"/>
      <c r="B1233" s="2" t="s">
        <v>6118</v>
      </c>
      <c r="C1233" s="6" t="s">
        <v>83</v>
      </c>
      <c r="D1233" s="6" t="s">
        <v>2633</v>
      </c>
      <c r="E1233" s="6" t="s">
        <v>2422</v>
      </c>
      <c r="F1233" s="6" t="s">
        <v>2634</v>
      </c>
      <c r="G1233" s="13" t="s">
        <v>2687</v>
      </c>
      <c r="H1233" s="2" t="s">
        <v>88</v>
      </c>
      <c r="I1233" s="4">
        <v>0.4</v>
      </c>
      <c r="J1233" s="6">
        <v>710000000</v>
      </c>
      <c r="K1233" s="6" t="s">
        <v>89</v>
      </c>
      <c r="L1233" s="2" t="s">
        <v>754</v>
      </c>
      <c r="M1233" s="6" t="s">
        <v>2699</v>
      </c>
      <c r="N1233" s="6" t="s">
        <v>92</v>
      </c>
      <c r="O1233" s="6" t="s">
        <v>93</v>
      </c>
      <c r="P1233" s="3" t="s">
        <v>94</v>
      </c>
      <c r="Q1233" s="6">
        <v>796</v>
      </c>
      <c r="R1233" s="6" t="s">
        <v>118</v>
      </c>
      <c r="S1233" s="9">
        <v>99</v>
      </c>
      <c r="T1233" s="9">
        <v>401</v>
      </c>
      <c r="U1233" s="9">
        <v>0</v>
      </c>
      <c r="V1233" s="9">
        <f t="shared" si="857"/>
        <v>0</v>
      </c>
      <c r="W1233" s="7" t="s">
        <v>97</v>
      </c>
      <c r="X1233" s="2">
        <v>2016</v>
      </c>
      <c r="Y1233" s="9" t="s">
        <v>7793</v>
      </c>
    </row>
    <row r="1234" spans="1:25" s="36" customFormat="1" ht="229.5" customHeight="1" outlineLevel="1" x14ac:dyDescent="0.25">
      <c r="A1234" s="1"/>
      <c r="B1234" s="2" t="s">
        <v>8006</v>
      </c>
      <c r="C1234" s="6" t="s">
        <v>83</v>
      </c>
      <c r="D1234" s="6" t="s">
        <v>2633</v>
      </c>
      <c r="E1234" s="6" t="s">
        <v>2422</v>
      </c>
      <c r="F1234" s="6" t="s">
        <v>2634</v>
      </c>
      <c r="G1234" s="13" t="s">
        <v>2687</v>
      </c>
      <c r="H1234" s="2" t="s">
        <v>88</v>
      </c>
      <c r="I1234" s="4">
        <v>0</v>
      </c>
      <c r="J1234" s="6">
        <v>710000000</v>
      </c>
      <c r="K1234" s="6" t="s">
        <v>89</v>
      </c>
      <c r="L1234" s="2" t="s">
        <v>754</v>
      </c>
      <c r="M1234" s="6" t="s">
        <v>2699</v>
      </c>
      <c r="N1234" s="6" t="s">
        <v>92</v>
      </c>
      <c r="O1234" s="6" t="s">
        <v>93</v>
      </c>
      <c r="P1234" s="3" t="s">
        <v>673</v>
      </c>
      <c r="Q1234" s="6">
        <v>796</v>
      </c>
      <c r="R1234" s="6" t="s">
        <v>118</v>
      </c>
      <c r="S1234" s="9">
        <v>99</v>
      </c>
      <c r="T1234" s="9">
        <v>401</v>
      </c>
      <c r="U1234" s="9">
        <f t="shared" ref="U1234" si="872">T1234*S1234</f>
        <v>39699</v>
      </c>
      <c r="V1234" s="9">
        <f t="shared" ref="V1234" si="873">U1234*1.12</f>
        <v>44462.880000000005</v>
      </c>
      <c r="W1234" s="7"/>
      <c r="X1234" s="2">
        <v>2016</v>
      </c>
      <c r="Y1234" s="9"/>
    </row>
    <row r="1235" spans="1:25" s="36" customFormat="1" ht="229.5" customHeight="1" outlineLevel="1" x14ac:dyDescent="0.25">
      <c r="A1235" s="1"/>
      <c r="B1235" s="2" t="s">
        <v>6119</v>
      </c>
      <c r="C1235" s="6" t="s">
        <v>83</v>
      </c>
      <c r="D1235" s="6" t="s">
        <v>2633</v>
      </c>
      <c r="E1235" s="6" t="s">
        <v>2422</v>
      </c>
      <c r="F1235" s="6" t="s">
        <v>2634</v>
      </c>
      <c r="G1235" s="13" t="s">
        <v>2688</v>
      </c>
      <c r="H1235" s="2" t="s">
        <v>88</v>
      </c>
      <c r="I1235" s="4">
        <v>0.4</v>
      </c>
      <c r="J1235" s="6">
        <v>710000000</v>
      </c>
      <c r="K1235" s="6" t="s">
        <v>89</v>
      </c>
      <c r="L1235" s="2" t="s">
        <v>754</v>
      </c>
      <c r="M1235" s="6" t="s">
        <v>2699</v>
      </c>
      <c r="N1235" s="6" t="s">
        <v>92</v>
      </c>
      <c r="O1235" s="6" t="s">
        <v>93</v>
      </c>
      <c r="P1235" s="3" t="s">
        <v>94</v>
      </c>
      <c r="Q1235" s="6">
        <v>796</v>
      </c>
      <c r="R1235" s="6" t="s">
        <v>118</v>
      </c>
      <c r="S1235" s="9">
        <v>99</v>
      </c>
      <c r="T1235" s="9">
        <v>401</v>
      </c>
      <c r="U1235" s="9">
        <v>0</v>
      </c>
      <c r="V1235" s="9">
        <f t="shared" si="857"/>
        <v>0</v>
      </c>
      <c r="W1235" s="7" t="s">
        <v>97</v>
      </c>
      <c r="X1235" s="2">
        <v>2016</v>
      </c>
      <c r="Y1235" s="9" t="s">
        <v>7793</v>
      </c>
    </row>
    <row r="1236" spans="1:25" s="36" customFormat="1" ht="229.5" customHeight="1" outlineLevel="1" x14ac:dyDescent="0.25">
      <c r="A1236" s="1"/>
      <c r="B1236" s="2" t="s">
        <v>8007</v>
      </c>
      <c r="C1236" s="6" t="s">
        <v>83</v>
      </c>
      <c r="D1236" s="6" t="s">
        <v>2633</v>
      </c>
      <c r="E1236" s="6" t="s">
        <v>2422</v>
      </c>
      <c r="F1236" s="6" t="s">
        <v>2634</v>
      </c>
      <c r="G1236" s="13" t="s">
        <v>2688</v>
      </c>
      <c r="H1236" s="2" t="s">
        <v>88</v>
      </c>
      <c r="I1236" s="4">
        <v>0</v>
      </c>
      <c r="J1236" s="6">
        <v>710000000</v>
      </c>
      <c r="K1236" s="6" t="s">
        <v>89</v>
      </c>
      <c r="L1236" s="2" t="s">
        <v>754</v>
      </c>
      <c r="M1236" s="6" t="s">
        <v>2699</v>
      </c>
      <c r="N1236" s="6" t="s">
        <v>92</v>
      </c>
      <c r="O1236" s="6" t="s">
        <v>93</v>
      </c>
      <c r="P1236" s="3" t="s">
        <v>673</v>
      </c>
      <c r="Q1236" s="6">
        <v>796</v>
      </c>
      <c r="R1236" s="6" t="s">
        <v>118</v>
      </c>
      <c r="S1236" s="9">
        <v>99</v>
      </c>
      <c r="T1236" s="9">
        <v>401</v>
      </c>
      <c r="U1236" s="9">
        <f t="shared" ref="U1236" si="874">T1236*S1236</f>
        <v>39699</v>
      </c>
      <c r="V1236" s="9">
        <f t="shared" ref="V1236" si="875">U1236*1.12</f>
        <v>44462.880000000005</v>
      </c>
      <c r="W1236" s="7"/>
      <c r="X1236" s="2">
        <v>2016</v>
      </c>
      <c r="Y1236" s="9"/>
    </row>
    <row r="1237" spans="1:25" s="36" customFormat="1" ht="229.5" customHeight="1" outlineLevel="1" x14ac:dyDescent="0.25">
      <c r="A1237" s="16"/>
      <c r="B1237" s="2" t="s">
        <v>6120</v>
      </c>
      <c r="C1237" s="6" t="s">
        <v>83</v>
      </c>
      <c r="D1237" s="6" t="s">
        <v>2633</v>
      </c>
      <c r="E1237" s="6" t="s">
        <v>2422</v>
      </c>
      <c r="F1237" s="6" t="s">
        <v>2634</v>
      </c>
      <c r="G1237" s="13" t="s">
        <v>2689</v>
      </c>
      <c r="H1237" s="2" t="s">
        <v>88</v>
      </c>
      <c r="I1237" s="4">
        <v>0.4</v>
      </c>
      <c r="J1237" s="6">
        <v>710000000</v>
      </c>
      <c r="K1237" s="6" t="s">
        <v>89</v>
      </c>
      <c r="L1237" s="2" t="s">
        <v>754</v>
      </c>
      <c r="M1237" s="6" t="s">
        <v>2699</v>
      </c>
      <c r="N1237" s="6" t="s">
        <v>92</v>
      </c>
      <c r="O1237" s="6" t="s">
        <v>93</v>
      </c>
      <c r="P1237" s="3" t="s">
        <v>94</v>
      </c>
      <c r="Q1237" s="6">
        <v>796</v>
      </c>
      <c r="R1237" s="6" t="s">
        <v>118</v>
      </c>
      <c r="S1237" s="9">
        <v>99</v>
      </c>
      <c r="T1237" s="9">
        <v>401</v>
      </c>
      <c r="U1237" s="9">
        <v>0</v>
      </c>
      <c r="V1237" s="9">
        <f t="shared" si="857"/>
        <v>0</v>
      </c>
      <c r="W1237" s="7" t="s">
        <v>97</v>
      </c>
      <c r="X1237" s="2">
        <v>2016</v>
      </c>
      <c r="Y1237" s="9" t="s">
        <v>7793</v>
      </c>
    </row>
    <row r="1238" spans="1:25" s="36" customFormat="1" ht="229.5" customHeight="1" outlineLevel="1" x14ac:dyDescent="0.25">
      <c r="A1238" s="16"/>
      <c r="B1238" s="2" t="s">
        <v>8008</v>
      </c>
      <c r="C1238" s="6" t="s">
        <v>83</v>
      </c>
      <c r="D1238" s="6" t="s">
        <v>2633</v>
      </c>
      <c r="E1238" s="6" t="s">
        <v>2422</v>
      </c>
      <c r="F1238" s="6" t="s">
        <v>2634</v>
      </c>
      <c r="G1238" s="13" t="s">
        <v>2689</v>
      </c>
      <c r="H1238" s="2" t="s">
        <v>88</v>
      </c>
      <c r="I1238" s="4">
        <v>0</v>
      </c>
      <c r="J1238" s="6">
        <v>710000000</v>
      </c>
      <c r="K1238" s="6" t="s">
        <v>89</v>
      </c>
      <c r="L1238" s="2" t="s">
        <v>754</v>
      </c>
      <c r="M1238" s="6" t="s">
        <v>2699</v>
      </c>
      <c r="N1238" s="6" t="s">
        <v>92</v>
      </c>
      <c r="O1238" s="6" t="s">
        <v>93</v>
      </c>
      <c r="P1238" s="3" t="s">
        <v>673</v>
      </c>
      <c r="Q1238" s="6">
        <v>796</v>
      </c>
      <c r="R1238" s="6" t="s">
        <v>118</v>
      </c>
      <c r="S1238" s="9">
        <v>99</v>
      </c>
      <c r="T1238" s="9">
        <v>401</v>
      </c>
      <c r="U1238" s="9">
        <f t="shared" ref="U1238" si="876">T1238*S1238</f>
        <v>39699</v>
      </c>
      <c r="V1238" s="9">
        <f t="shared" ref="V1238" si="877">U1238*1.12</f>
        <v>44462.880000000005</v>
      </c>
      <c r="W1238" s="7"/>
      <c r="X1238" s="2">
        <v>2016</v>
      </c>
      <c r="Y1238" s="9"/>
    </row>
    <row r="1239" spans="1:25" s="36" customFormat="1" ht="229.5" customHeight="1" outlineLevel="1" x14ac:dyDescent="0.25">
      <c r="A1239" s="1"/>
      <c r="B1239" s="2" t="s">
        <v>6121</v>
      </c>
      <c r="C1239" s="6" t="s">
        <v>83</v>
      </c>
      <c r="D1239" s="6" t="s">
        <v>2633</v>
      </c>
      <c r="E1239" s="6" t="s">
        <v>2422</v>
      </c>
      <c r="F1239" s="6" t="s">
        <v>2634</v>
      </c>
      <c r="G1239" s="13" t="s">
        <v>2690</v>
      </c>
      <c r="H1239" s="2" t="s">
        <v>88</v>
      </c>
      <c r="I1239" s="4">
        <v>0.4</v>
      </c>
      <c r="J1239" s="6">
        <v>710000000</v>
      </c>
      <c r="K1239" s="6" t="s">
        <v>89</v>
      </c>
      <c r="L1239" s="2" t="s">
        <v>754</v>
      </c>
      <c r="M1239" s="6" t="s">
        <v>2699</v>
      </c>
      <c r="N1239" s="6" t="s">
        <v>92</v>
      </c>
      <c r="O1239" s="6" t="s">
        <v>93</v>
      </c>
      <c r="P1239" s="3" t="s">
        <v>94</v>
      </c>
      <c r="Q1239" s="6">
        <v>796</v>
      </c>
      <c r="R1239" s="6" t="s">
        <v>118</v>
      </c>
      <c r="S1239" s="9">
        <v>99</v>
      </c>
      <c r="T1239" s="9">
        <v>401</v>
      </c>
      <c r="U1239" s="9">
        <v>0</v>
      </c>
      <c r="V1239" s="9">
        <f t="shared" si="857"/>
        <v>0</v>
      </c>
      <c r="W1239" s="7" t="s">
        <v>97</v>
      </c>
      <c r="X1239" s="2">
        <v>2016</v>
      </c>
      <c r="Y1239" s="9" t="s">
        <v>7793</v>
      </c>
    </row>
    <row r="1240" spans="1:25" s="36" customFormat="1" ht="229.5" customHeight="1" outlineLevel="1" x14ac:dyDescent="0.25">
      <c r="A1240" s="1"/>
      <c r="B1240" s="2" t="s">
        <v>8009</v>
      </c>
      <c r="C1240" s="6" t="s">
        <v>83</v>
      </c>
      <c r="D1240" s="6" t="s">
        <v>2633</v>
      </c>
      <c r="E1240" s="6" t="s">
        <v>2422</v>
      </c>
      <c r="F1240" s="6" t="s">
        <v>2634</v>
      </c>
      <c r="G1240" s="13" t="s">
        <v>2690</v>
      </c>
      <c r="H1240" s="2" t="s">
        <v>88</v>
      </c>
      <c r="I1240" s="4">
        <v>0</v>
      </c>
      <c r="J1240" s="6">
        <v>710000000</v>
      </c>
      <c r="K1240" s="6" t="s">
        <v>89</v>
      </c>
      <c r="L1240" s="2" t="s">
        <v>754</v>
      </c>
      <c r="M1240" s="6" t="s">
        <v>2699</v>
      </c>
      <c r="N1240" s="6" t="s">
        <v>92</v>
      </c>
      <c r="O1240" s="6" t="s">
        <v>93</v>
      </c>
      <c r="P1240" s="3" t="s">
        <v>673</v>
      </c>
      <c r="Q1240" s="6">
        <v>796</v>
      </c>
      <c r="R1240" s="6" t="s">
        <v>118</v>
      </c>
      <c r="S1240" s="9">
        <v>99</v>
      </c>
      <c r="T1240" s="9">
        <v>401</v>
      </c>
      <c r="U1240" s="9">
        <f t="shared" ref="U1240" si="878">T1240*S1240</f>
        <v>39699</v>
      </c>
      <c r="V1240" s="9">
        <f t="shared" ref="V1240" si="879">U1240*1.12</f>
        <v>44462.880000000005</v>
      </c>
      <c r="W1240" s="7"/>
      <c r="X1240" s="2">
        <v>2016</v>
      </c>
      <c r="Y1240" s="9"/>
    </row>
    <row r="1241" spans="1:25" s="36" customFormat="1" ht="140.25" customHeight="1" outlineLevel="1" x14ac:dyDescent="0.25">
      <c r="A1241" s="16"/>
      <c r="B1241" s="2" t="s">
        <v>6122</v>
      </c>
      <c r="C1241" s="3" t="s">
        <v>83</v>
      </c>
      <c r="D1241" s="19" t="s">
        <v>2417</v>
      </c>
      <c r="E1241" s="19" t="s">
        <v>2418</v>
      </c>
      <c r="F1241" s="19" t="s">
        <v>2419</v>
      </c>
      <c r="G1241" s="19" t="s">
        <v>2691</v>
      </c>
      <c r="H1241" s="2" t="s">
        <v>88</v>
      </c>
      <c r="I1241" s="4">
        <v>0.4</v>
      </c>
      <c r="J1241" s="5">
        <v>710000000</v>
      </c>
      <c r="K1241" s="5" t="s">
        <v>89</v>
      </c>
      <c r="L1241" s="2" t="s">
        <v>754</v>
      </c>
      <c r="M1241" s="6" t="s">
        <v>2699</v>
      </c>
      <c r="N1241" s="7" t="s">
        <v>92</v>
      </c>
      <c r="O1241" s="7" t="s">
        <v>93</v>
      </c>
      <c r="P1241" s="3" t="s">
        <v>94</v>
      </c>
      <c r="Q1241" s="8">
        <v>796</v>
      </c>
      <c r="R1241" s="7" t="s">
        <v>118</v>
      </c>
      <c r="S1241" s="9">
        <v>42</v>
      </c>
      <c r="T1241" s="9">
        <v>893</v>
      </c>
      <c r="U1241" s="9">
        <v>0</v>
      </c>
      <c r="V1241" s="9">
        <f t="shared" si="857"/>
        <v>0</v>
      </c>
      <c r="W1241" s="7" t="s">
        <v>97</v>
      </c>
      <c r="X1241" s="2">
        <v>2016</v>
      </c>
      <c r="Y1241" s="2" t="s">
        <v>7793</v>
      </c>
    </row>
    <row r="1242" spans="1:25" s="36" customFormat="1" ht="140.25" customHeight="1" outlineLevel="1" x14ac:dyDescent="0.25">
      <c r="A1242" s="16"/>
      <c r="B1242" s="2" t="s">
        <v>8010</v>
      </c>
      <c r="C1242" s="3" t="s">
        <v>83</v>
      </c>
      <c r="D1242" s="19" t="s">
        <v>2417</v>
      </c>
      <c r="E1242" s="19" t="s">
        <v>2418</v>
      </c>
      <c r="F1242" s="19" t="s">
        <v>2419</v>
      </c>
      <c r="G1242" s="19" t="s">
        <v>2691</v>
      </c>
      <c r="H1242" s="2" t="s">
        <v>88</v>
      </c>
      <c r="I1242" s="4">
        <v>0</v>
      </c>
      <c r="J1242" s="5">
        <v>710000000</v>
      </c>
      <c r="K1242" s="5" t="s">
        <v>89</v>
      </c>
      <c r="L1242" s="2" t="s">
        <v>754</v>
      </c>
      <c r="M1242" s="6" t="s">
        <v>2699</v>
      </c>
      <c r="N1242" s="7" t="s">
        <v>92</v>
      </c>
      <c r="O1242" s="7" t="s">
        <v>93</v>
      </c>
      <c r="P1242" s="3" t="s">
        <v>673</v>
      </c>
      <c r="Q1242" s="8">
        <v>796</v>
      </c>
      <c r="R1242" s="7" t="s">
        <v>118</v>
      </c>
      <c r="S1242" s="9">
        <v>42</v>
      </c>
      <c r="T1242" s="9">
        <v>893</v>
      </c>
      <c r="U1242" s="9">
        <f t="shared" ref="U1242" si="880">T1242*S1242</f>
        <v>37506</v>
      </c>
      <c r="V1242" s="9">
        <f t="shared" ref="V1242" si="881">U1242*1.12</f>
        <v>42006.720000000001</v>
      </c>
      <c r="W1242" s="7"/>
      <c r="X1242" s="2">
        <v>2016</v>
      </c>
      <c r="Y1242" s="2"/>
    </row>
    <row r="1243" spans="1:25" s="11" customFormat="1" ht="267.75" customHeight="1" outlineLevel="1" x14ac:dyDescent="0.25">
      <c r="A1243" s="16"/>
      <c r="B1243" s="2" t="s">
        <v>6123</v>
      </c>
      <c r="C1243" s="3" t="s">
        <v>83</v>
      </c>
      <c r="D1243" s="19" t="s">
        <v>2692</v>
      </c>
      <c r="E1243" s="19" t="s">
        <v>2510</v>
      </c>
      <c r="F1243" s="19" t="s">
        <v>2693</v>
      </c>
      <c r="G1243" s="19" t="s">
        <v>2694</v>
      </c>
      <c r="H1243" s="2" t="s">
        <v>88</v>
      </c>
      <c r="I1243" s="4">
        <v>0.4</v>
      </c>
      <c r="J1243" s="5">
        <v>710000000</v>
      </c>
      <c r="K1243" s="5" t="s">
        <v>89</v>
      </c>
      <c r="L1243" s="2" t="s">
        <v>754</v>
      </c>
      <c r="M1243" s="6" t="s">
        <v>2699</v>
      </c>
      <c r="N1243" s="7" t="s">
        <v>92</v>
      </c>
      <c r="O1243" s="7" t="s">
        <v>93</v>
      </c>
      <c r="P1243" s="3" t="s">
        <v>94</v>
      </c>
      <c r="Q1243" s="8" t="s">
        <v>522</v>
      </c>
      <c r="R1243" s="7" t="s">
        <v>523</v>
      </c>
      <c r="S1243" s="9">
        <v>33</v>
      </c>
      <c r="T1243" s="9">
        <v>2200</v>
      </c>
      <c r="U1243" s="9">
        <v>0</v>
      </c>
      <c r="V1243" s="9">
        <f t="shared" si="857"/>
        <v>0</v>
      </c>
      <c r="W1243" s="7" t="s">
        <v>97</v>
      </c>
      <c r="X1243" s="2">
        <v>2016</v>
      </c>
      <c r="Y1243" s="2" t="s">
        <v>7793</v>
      </c>
    </row>
    <row r="1244" spans="1:25" s="11" customFormat="1" ht="267.75" customHeight="1" outlineLevel="1" x14ac:dyDescent="0.25">
      <c r="A1244" s="16"/>
      <c r="B1244" s="2" t="s">
        <v>8011</v>
      </c>
      <c r="C1244" s="3" t="s">
        <v>83</v>
      </c>
      <c r="D1244" s="19" t="s">
        <v>2692</v>
      </c>
      <c r="E1244" s="19" t="s">
        <v>2510</v>
      </c>
      <c r="F1244" s="19" t="s">
        <v>2693</v>
      </c>
      <c r="G1244" s="19" t="s">
        <v>2694</v>
      </c>
      <c r="H1244" s="2" t="s">
        <v>88</v>
      </c>
      <c r="I1244" s="4">
        <v>0</v>
      </c>
      <c r="J1244" s="5">
        <v>710000000</v>
      </c>
      <c r="K1244" s="5" t="s">
        <v>89</v>
      </c>
      <c r="L1244" s="2" t="s">
        <v>754</v>
      </c>
      <c r="M1244" s="6" t="s">
        <v>2699</v>
      </c>
      <c r="N1244" s="7" t="s">
        <v>92</v>
      </c>
      <c r="O1244" s="7" t="s">
        <v>93</v>
      </c>
      <c r="P1244" s="3" t="s">
        <v>673</v>
      </c>
      <c r="Q1244" s="8" t="s">
        <v>522</v>
      </c>
      <c r="R1244" s="7" t="s">
        <v>523</v>
      </c>
      <c r="S1244" s="9">
        <v>33</v>
      </c>
      <c r="T1244" s="9">
        <v>2200</v>
      </c>
      <c r="U1244" s="9">
        <f t="shared" ref="U1244" si="882">T1244*S1244</f>
        <v>72600</v>
      </c>
      <c r="V1244" s="9">
        <f t="shared" ref="V1244" si="883">U1244*1.12</f>
        <v>81312.000000000015</v>
      </c>
      <c r="W1244" s="7"/>
      <c r="X1244" s="2">
        <v>2016</v>
      </c>
      <c r="Y1244" s="2"/>
    </row>
    <row r="1245" spans="1:25" s="11" customFormat="1" ht="89.25" customHeight="1" outlineLevel="1" x14ac:dyDescent="0.25">
      <c r="A1245" s="1"/>
      <c r="B1245" s="2" t="s">
        <v>6124</v>
      </c>
      <c r="C1245" s="6" t="s">
        <v>83</v>
      </c>
      <c r="D1245" s="6" t="s">
        <v>2636</v>
      </c>
      <c r="E1245" s="6" t="s">
        <v>2451</v>
      </c>
      <c r="F1245" s="6" t="s">
        <v>2637</v>
      </c>
      <c r="G1245" s="6" t="s">
        <v>2695</v>
      </c>
      <c r="H1245" s="2" t="s">
        <v>88</v>
      </c>
      <c r="I1245" s="4">
        <v>0.4</v>
      </c>
      <c r="J1245" s="6">
        <v>710000000</v>
      </c>
      <c r="K1245" s="6" t="s">
        <v>89</v>
      </c>
      <c r="L1245" s="2" t="s">
        <v>754</v>
      </c>
      <c r="M1245" s="6" t="s">
        <v>2699</v>
      </c>
      <c r="N1245" s="6" t="s">
        <v>92</v>
      </c>
      <c r="O1245" s="6" t="s">
        <v>93</v>
      </c>
      <c r="P1245" s="3" t="s">
        <v>94</v>
      </c>
      <c r="Q1245" s="6">
        <v>796</v>
      </c>
      <c r="R1245" s="6" t="s">
        <v>118</v>
      </c>
      <c r="S1245" s="9">
        <v>336</v>
      </c>
      <c r="T1245" s="9">
        <v>983</v>
      </c>
      <c r="U1245" s="9">
        <v>0</v>
      </c>
      <c r="V1245" s="9">
        <f t="shared" si="857"/>
        <v>0</v>
      </c>
      <c r="W1245" s="7" t="s">
        <v>97</v>
      </c>
      <c r="X1245" s="2">
        <v>2016</v>
      </c>
      <c r="Y1245" s="9" t="s">
        <v>7793</v>
      </c>
    </row>
    <row r="1246" spans="1:25" s="11" customFormat="1" ht="89.25" customHeight="1" outlineLevel="1" x14ac:dyDescent="0.25">
      <c r="A1246" s="1"/>
      <c r="B1246" s="2" t="s">
        <v>8012</v>
      </c>
      <c r="C1246" s="6" t="s">
        <v>83</v>
      </c>
      <c r="D1246" s="6" t="s">
        <v>2636</v>
      </c>
      <c r="E1246" s="6" t="s">
        <v>2451</v>
      </c>
      <c r="F1246" s="6" t="s">
        <v>2637</v>
      </c>
      <c r="G1246" s="6" t="s">
        <v>2695</v>
      </c>
      <c r="H1246" s="2" t="s">
        <v>88</v>
      </c>
      <c r="I1246" s="4">
        <v>0</v>
      </c>
      <c r="J1246" s="6">
        <v>710000000</v>
      </c>
      <c r="K1246" s="6" t="s">
        <v>89</v>
      </c>
      <c r="L1246" s="2" t="s">
        <v>754</v>
      </c>
      <c r="M1246" s="6" t="s">
        <v>2699</v>
      </c>
      <c r="N1246" s="6" t="s">
        <v>92</v>
      </c>
      <c r="O1246" s="6" t="s">
        <v>93</v>
      </c>
      <c r="P1246" s="3" t="s">
        <v>673</v>
      </c>
      <c r="Q1246" s="6">
        <v>796</v>
      </c>
      <c r="R1246" s="6" t="s">
        <v>118</v>
      </c>
      <c r="S1246" s="9">
        <v>336</v>
      </c>
      <c r="T1246" s="9">
        <v>983</v>
      </c>
      <c r="U1246" s="9">
        <f t="shared" ref="U1246" si="884">T1246*S1246</f>
        <v>330288</v>
      </c>
      <c r="V1246" s="9">
        <f t="shared" ref="V1246" si="885">U1246*1.12</f>
        <v>369922.56000000006</v>
      </c>
      <c r="W1246" s="7"/>
      <c r="X1246" s="2">
        <v>2016</v>
      </c>
      <c r="Y1246" s="9"/>
    </row>
    <row r="1247" spans="1:25" s="36" customFormat="1" ht="89.25" customHeight="1" outlineLevel="1" x14ac:dyDescent="0.25">
      <c r="A1247" s="1"/>
      <c r="B1247" s="2" t="s">
        <v>6125</v>
      </c>
      <c r="C1247" s="6" t="s">
        <v>83</v>
      </c>
      <c r="D1247" s="6" t="s">
        <v>2460</v>
      </c>
      <c r="E1247" s="6" t="s">
        <v>2455</v>
      </c>
      <c r="F1247" s="6" t="s">
        <v>2461</v>
      </c>
      <c r="G1247" s="6" t="s">
        <v>2639</v>
      </c>
      <c r="H1247" s="2" t="s">
        <v>88</v>
      </c>
      <c r="I1247" s="4">
        <v>0.4</v>
      </c>
      <c r="J1247" s="6">
        <v>710000000</v>
      </c>
      <c r="K1247" s="6" t="s">
        <v>89</v>
      </c>
      <c r="L1247" s="2" t="s">
        <v>754</v>
      </c>
      <c r="M1247" s="6" t="s">
        <v>2699</v>
      </c>
      <c r="N1247" s="6" t="s">
        <v>92</v>
      </c>
      <c r="O1247" s="6" t="s">
        <v>93</v>
      </c>
      <c r="P1247" s="3" t="s">
        <v>94</v>
      </c>
      <c r="Q1247" s="6">
        <v>715</v>
      </c>
      <c r="R1247" s="6" t="s">
        <v>2459</v>
      </c>
      <c r="S1247" s="9">
        <v>396</v>
      </c>
      <c r="T1247" s="9">
        <v>214</v>
      </c>
      <c r="U1247" s="9">
        <v>0</v>
      </c>
      <c r="V1247" s="9">
        <f t="shared" si="857"/>
        <v>0</v>
      </c>
      <c r="W1247" s="7" t="s">
        <v>97</v>
      </c>
      <c r="X1247" s="2">
        <v>2016</v>
      </c>
      <c r="Y1247" s="9" t="s">
        <v>7793</v>
      </c>
    </row>
    <row r="1248" spans="1:25" s="36" customFormat="1" ht="89.25" customHeight="1" outlineLevel="1" x14ac:dyDescent="0.25">
      <c r="A1248" s="1"/>
      <c r="B1248" s="2" t="s">
        <v>8013</v>
      </c>
      <c r="C1248" s="6" t="s">
        <v>83</v>
      </c>
      <c r="D1248" s="6" t="s">
        <v>2460</v>
      </c>
      <c r="E1248" s="6" t="s">
        <v>2455</v>
      </c>
      <c r="F1248" s="6" t="s">
        <v>2461</v>
      </c>
      <c r="G1248" s="6" t="s">
        <v>2639</v>
      </c>
      <c r="H1248" s="2" t="s">
        <v>88</v>
      </c>
      <c r="I1248" s="4">
        <v>0</v>
      </c>
      <c r="J1248" s="6">
        <v>710000000</v>
      </c>
      <c r="K1248" s="6" t="s">
        <v>89</v>
      </c>
      <c r="L1248" s="2" t="s">
        <v>754</v>
      </c>
      <c r="M1248" s="6" t="s">
        <v>2699</v>
      </c>
      <c r="N1248" s="6" t="s">
        <v>92</v>
      </c>
      <c r="O1248" s="6" t="s">
        <v>93</v>
      </c>
      <c r="P1248" s="3" t="s">
        <v>673</v>
      </c>
      <c r="Q1248" s="6">
        <v>715</v>
      </c>
      <c r="R1248" s="6" t="s">
        <v>2459</v>
      </c>
      <c r="S1248" s="9">
        <v>396</v>
      </c>
      <c r="T1248" s="9">
        <v>214</v>
      </c>
      <c r="U1248" s="9">
        <f t="shared" ref="U1248" si="886">T1248*S1248</f>
        <v>84744</v>
      </c>
      <c r="V1248" s="9">
        <f t="shared" ref="V1248" si="887">U1248*1.12</f>
        <v>94913.280000000013</v>
      </c>
      <c r="W1248" s="7"/>
      <c r="X1248" s="2">
        <v>2016</v>
      </c>
      <c r="Y1248" s="9"/>
    </row>
    <row r="1249" spans="1:25" s="36" customFormat="1" ht="89.25" customHeight="1" outlineLevel="1" x14ac:dyDescent="0.25">
      <c r="A1249" s="1"/>
      <c r="B1249" s="2" t="s">
        <v>6126</v>
      </c>
      <c r="C1249" s="6" t="s">
        <v>83</v>
      </c>
      <c r="D1249" s="6" t="s">
        <v>2640</v>
      </c>
      <c r="E1249" s="6" t="s">
        <v>2641</v>
      </c>
      <c r="F1249" s="6" t="s">
        <v>2642</v>
      </c>
      <c r="G1249" s="6" t="s">
        <v>2643</v>
      </c>
      <c r="H1249" s="2" t="s">
        <v>88</v>
      </c>
      <c r="I1249" s="4">
        <v>0.4</v>
      </c>
      <c r="J1249" s="6">
        <v>710000000</v>
      </c>
      <c r="K1249" s="6" t="s">
        <v>89</v>
      </c>
      <c r="L1249" s="2" t="s">
        <v>754</v>
      </c>
      <c r="M1249" s="6" t="s">
        <v>2699</v>
      </c>
      <c r="N1249" s="6" t="s">
        <v>92</v>
      </c>
      <c r="O1249" s="6" t="s">
        <v>93</v>
      </c>
      <c r="P1249" s="3" t="s">
        <v>94</v>
      </c>
      <c r="Q1249" s="6">
        <v>796</v>
      </c>
      <c r="R1249" s="6" t="s">
        <v>118</v>
      </c>
      <c r="S1249" s="9">
        <v>4</v>
      </c>
      <c r="T1249" s="9">
        <v>160715</v>
      </c>
      <c r="U1249" s="9">
        <v>0</v>
      </c>
      <c r="V1249" s="9">
        <f t="shared" si="857"/>
        <v>0</v>
      </c>
      <c r="W1249" s="7" t="s">
        <v>97</v>
      </c>
      <c r="X1249" s="2">
        <v>2016</v>
      </c>
      <c r="Y1249" s="9" t="s">
        <v>7793</v>
      </c>
    </row>
    <row r="1250" spans="1:25" s="36" customFormat="1" ht="89.25" customHeight="1" outlineLevel="1" x14ac:dyDescent="0.25">
      <c r="A1250" s="1"/>
      <c r="B1250" s="2" t="s">
        <v>8014</v>
      </c>
      <c r="C1250" s="6" t="s">
        <v>83</v>
      </c>
      <c r="D1250" s="6" t="s">
        <v>2640</v>
      </c>
      <c r="E1250" s="6" t="s">
        <v>2641</v>
      </c>
      <c r="F1250" s="6" t="s">
        <v>2642</v>
      </c>
      <c r="G1250" s="6" t="s">
        <v>2643</v>
      </c>
      <c r="H1250" s="2" t="s">
        <v>88</v>
      </c>
      <c r="I1250" s="4">
        <v>0</v>
      </c>
      <c r="J1250" s="6">
        <v>710000000</v>
      </c>
      <c r="K1250" s="6" t="s">
        <v>89</v>
      </c>
      <c r="L1250" s="2" t="s">
        <v>754</v>
      </c>
      <c r="M1250" s="6" t="s">
        <v>2699</v>
      </c>
      <c r="N1250" s="6" t="s">
        <v>92</v>
      </c>
      <c r="O1250" s="6" t="s">
        <v>93</v>
      </c>
      <c r="P1250" s="3" t="s">
        <v>673</v>
      </c>
      <c r="Q1250" s="6">
        <v>796</v>
      </c>
      <c r="R1250" s="6" t="s">
        <v>118</v>
      </c>
      <c r="S1250" s="9">
        <v>4</v>
      </c>
      <c r="T1250" s="9">
        <v>160715</v>
      </c>
      <c r="U1250" s="9">
        <f t="shared" ref="U1250" si="888">T1250*S1250</f>
        <v>642860</v>
      </c>
      <c r="V1250" s="9">
        <f t="shared" ref="V1250" si="889">U1250*1.12</f>
        <v>720003.20000000007</v>
      </c>
      <c r="W1250" s="7"/>
      <c r="X1250" s="2">
        <v>2016</v>
      </c>
      <c r="Y1250" s="9"/>
    </row>
    <row r="1251" spans="1:25" s="36" customFormat="1" ht="89.25" customHeight="1" outlineLevel="1" x14ac:dyDescent="0.25">
      <c r="A1251" s="1"/>
      <c r="B1251" s="2" t="s">
        <v>6127</v>
      </c>
      <c r="C1251" s="6" t="s">
        <v>83</v>
      </c>
      <c r="D1251" s="6" t="s">
        <v>2644</v>
      </c>
      <c r="E1251" s="6" t="s">
        <v>2645</v>
      </c>
      <c r="F1251" s="6" t="s">
        <v>2646</v>
      </c>
      <c r="G1251" s="6" t="s">
        <v>2647</v>
      </c>
      <c r="H1251" s="2" t="s">
        <v>88</v>
      </c>
      <c r="I1251" s="4">
        <v>0.4</v>
      </c>
      <c r="J1251" s="6">
        <v>710000000</v>
      </c>
      <c r="K1251" s="6" t="s">
        <v>89</v>
      </c>
      <c r="L1251" s="2" t="s">
        <v>754</v>
      </c>
      <c r="M1251" s="6" t="s">
        <v>2699</v>
      </c>
      <c r="N1251" s="6" t="s">
        <v>92</v>
      </c>
      <c r="O1251" s="6" t="s">
        <v>93</v>
      </c>
      <c r="P1251" s="3" t="s">
        <v>94</v>
      </c>
      <c r="Q1251" s="6">
        <v>796</v>
      </c>
      <c r="R1251" s="6" t="s">
        <v>118</v>
      </c>
      <c r="S1251" s="9">
        <v>33</v>
      </c>
      <c r="T1251" s="9">
        <v>1965</v>
      </c>
      <c r="U1251" s="9">
        <v>0</v>
      </c>
      <c r="V1251" s="9">
        <f t="shared" si="857"/>
        <v>0</v>
      </c>
      <c r="W1251" s="7" t="s">
        <v>97</v>
      </c>
      <c r="X1251" s="2">
        <v>2016</v>
      </c>
      <c r="Y1251" s="9" t="s">
        <v>7793</v>
      </c>
    </row>
    <row r="1252" spans="1:25" s="36" customFormat="1" ht="89.25" customHeight="1" outlineLevel="1" x14ac:dyDescent="0.25">
      <c r="A1252" s="1"/>
      <c r="B1252" s="2" t="s">
        <v>8015</v>
      </c>
      <c r="C1252" s="6" t="s">
        <v>83</v>
      </c>
      <c r="D1252" s="6" t="s">
        <v>2644</v>
      </c>
      <c r="E1252" s="6" t="s">
        <v>2645</v>
      </c>
      <c r="F1252" s="6" t="s">
        <v>2646</v>
      </c>
      <c r="G1252" s="6" t="s">
        <v>2647</v>
      </c>
      <c r="H1252" s="2" t="s">
        <v>88</v>
      </c>
      <c r="I1252" s="4">
        <v>0</v>
      </c>
      <c r="J1252" s="6">
        <v>710000000</v>
      </c>
      <c r="K1252" s="6" t="s">
        <v>89</v>
      </c>
      <c r="L1252" s="2" t="s">
        <v>754</v>
      </c>
      <c r="M1252" s="6" t="s">
        <v>2699</v>
      </c>
      <c r="N1252" s="6" t="s">
        <v>92</v>
      </c>
      <c r="O1252" s="6" t="s">
        <v>93</v>
      </c>
      <c r="P1252" s="3" t="s">
        <v>673</v>
      </c>
      <c r="Q1252" s="6">
        <v>796</v>
      </c>
      <c r="R1252" s="6" t="s">
        <v>118</v>
      </c>
      <c r="S1252" s="9">
        <v>33</v>
      </c>
      <c r="T1252" s="9">
        <v>1965</v>
      </c>
      <c r="U1252" s="9">
        <f t="shared" ref="U1252" si="890">T1252*S1252</f>
        <v>64845</v>
      </c>
      <c r="V1252" s="9">
        <f t="shared" ref="V1252" si="891">U1252*1.12</f>
        <v>72626.400000000009</v>
      </c>
      <c r="W1252" s="7"/>
      <c r="X1252" s="2">
        <v>2016</v>
      </c>
      <c r="Y1252" s="9"/>
    </row>
    <row r="1253" spans="1:25" s="36" customFormat="1" ht="89.25" customHeight="1" outlineLevel="1" x14ac:dyDescent="0.25">
      <c r="A1253" s="1"/>
      <c r="B1253" s="2" t="s">
        <v>6128</v>
      </c>
      <c r="C1253" s="6" t="s">
        <v>83</v>
      </c>
      <c r="D1253" s="6" t="s">
        <v>2644</v>
      </c>
      <c r="E1253" s="6" t="s">
        <v>2645</v>
      </c>
      <c r="F1253" s="6" t="s">
        <v>2646</v>
      </c>
      <c r="G1253" s="6" t="s">
        <v>2648</v>
      </c>
      <c r="H1253" s="2" t="s">
        <v>88</v>
      </c>
      <c r="I1253" s="4">
        <v>0.4</v>
      </c>
      <c r="J1253" s="6">
        <v>710000000</v>
      </c>
      <c r="K1253" s="6" t="s">
        <v>89</v>
      </c>
      <c r="L1253" s="2" t="s">
        <v>754</v>
      </c>
      <c r="M1253" s="6" t="s">
        <v>2699</v>
      </c>
      <c r="N1253" s="6" t="s">
        <v>92</v>
      </c>
      <c r="O1253" s="6" t="s">
        <v>93</v>
      </c>
      <c r="P1253" s="3" t="s">
        <v>94</v>
      </c>
      <c r="Q1253" s="6">
        <v>796</v>
      </c>
      <c r="R1253" s="6" t="s">
        <v>118</v>
      </c>
      <c r="S1253" s="9">
        <v>33</v>
      </c>
      <c r="T1253" s="9">
        <v>1965</v>
      </c>
      <c r="U1253" s="9">
        <v>0</v>
      </c>
      <c r="V1253" s="9">
        <f t="shared" si="857"/>
        <v>0</v>
      </c>
      <c r="W1253" s="7" t="s">
        <v>97</v>
      </c>
      <c r="X1253" s="2">
        <v>2016</v>
      </c>
      <c r="Y1253" s="9" t="s">
        <v>7793</v>
      </c>
    </row>
    <row r="1254" spans="1:25" s="36" customFormat="1" ht="89.25" customHeight="1" outlineLevel="1" x14ac:dyDescent="0.25">
      <c r="A1254" s="1"/>
      <c r="B1254" s="2" t="s">
        <v>8016</v>
      </c>
      <c r="C1254" s="6" t="s">
        <v>83</v>
      </c>
      <c r="D1254" s="6" t="s">
        <v>2644</v>
      </c>
      <c r="E1254" s="6" t="s">
        <v>2645</v>
      </c>
      <c r="F1254" s="6" t="s">
        <v>2646</v>
      </c>
      <c r="G1254" s="6" t="s">
        <v>2648</v>
      </c>
      <c r="H1254" s="2" t="s">
        <v>88</v>
      </c>
      <c r="I1254" s="4">
        <v>0</v>
      </c>
      <c r="J1254" s="6">
        <v>710000000</v>
      </c>
      <c r="K1254" s="6" t="s">
        <v>89</v>
      </c>
      <c r="L1254" s="2" t="s">
        <v>754</v>
      </c>
      <c r="M1254" s="6" t="s">
        <v>2699</v>
      </c>
      <c r="N1254" s="6" t="s">
        <v>92</v>
      </c>
      <c r="O1254" s="6" t="s">
        <v>93</v>
      </c>
      <c r="P1254" s="3" t="s">
        <v>673</v>
      </c>
      <c r="Q1254" s="6">
        <v>796</v>
      </c>
      <c r="R1254" s="6" t="s">
        <v>118</v>
      </c>
      <c r="S1254" s="9">
        <v>33</v>
      </c>
      <c r="T1254" s="9">
        <v>1965</v>
      </c>
      <c r="U1254" s="9">
        <f t="shared" ref="U1254" si="892">T1254*S1254</f>
        <v>64845</v>
      </c>
      <c r="V1254" s="9">
        <f t="shared" ref="V1254" si="893">U1254*1.12</f>
        <v>72626.400000000009</v>
      </c>
      <c r="W1254" s="7"/>
      <c r="X1254" s="2">
        <v>2016</v>
      </c>
      <c r="Y1254" s="9"/>
    </row>
    <row r="1255" spans="1:25" s="36" customFormat="1" ht="89.25" customHeight="1" outlineLevel="1" x14ac:dyDescent="0.25">
      <c r="A1255" s="1"/>
      <c r="B1255" s="2" t="s">
        <v>6129</v>
      </c>
      <c r="C1255" s="6" t="s">
        <v>83</v>
      </c>
      <c r="D1255" s="6" t="s">
        <v>2644</v>
      </c>
      <c r="E1255" s="6" t="s">
        <v>2645</v>
      </c>
      <c r="F1255" s="6" t="s">
        <v>2646</v>
      </c>
      <c r="G1255" s="6" t="s">
        <v>2649</v>
      </c>
      <c r="H1255" s="2" t="s">
        <v>88</v>
      </c>
      <c r="I1255" s="4">
        <v>0.4</v>
      </c>
      <c r="J1255" s="6">
        <v>710000000</v>
      </c>
      <c r="K1255" s="6" t="s">
        <v>89</v>
      </c>
      <c r="L1255" s="2" t="s">
        <v>754</v>
      </c>
      <c r="M1255" s="6" t="s">
        <v>2699</v>
      </c>
      <c r="N1255" s="6" t="s">
        <v>92</v>
      </c>
      <c r="O1255" s="6" t="s">
        <v>93</v>
      </c>
      <c r="P1255" s="3" t="s">
        <v>94</v>
      </c>
      <c r="Q1255" s="6">
        <v>796</v>
      </c>
      <c r="R1255" s="6" t="s">
        <v>118</v>
      </c>
      <c r="S1255" s="9">
        <v>33</v>
      </c>
      <c r="T1255" s="9">
        <v>1965</v>
      </c>
      <c r="U1255" s="9">
        <v>0</v>
      </c>
      <c r="V1255" s="9">
        <f t="shared" si="857"/>
        <v>0</v>
      </c>
      <c r="W1255" s="7" t="s">
        <v>97</v>
      </c>
      <c r="X1255" s="2">
        <v>2016</v>
      </c>
      <c r="Y1255" s="9" t="s">
        <v>7793</v>
      </c>
    </row>
    <row r="1256" spans="1:25" s="36" customFormat="1" ht="89.25" customHeight="1" outlineLevel="1" x14ac:dyDescent="0.25">
      <c r="A1256" s="1"/>
      <c r="B1256" s="2" t="s">
        <v>8017</v>
      </c>
      <c r="C1256" s="6" t="s">
        <v>83</v>
      </c>
      <c r="D1256" s="6" t="s">
        <v>2644</v>
      </c>
      <c r="E1256" s="6" t="s">
        <v>2645</v>
      </c>
      <c r="F1256" s="6" t="s">
        <v>2646</v>
      </c>
      <c r="G1256" s="6" t="s">
        <v>2649</v>
      </c>
      <c r="H1256" s="2" t="s">
        <v>88</v>
      </c>
      <c r="I1256" s="4">
        <v>0</v>
      </c>
      <c r="J1256" s="6">
        <v>710000000</v>
      </c>
      <c r="K1256" s="6" t="s">
        <v>89</v>
      </c>
      <c r="L1256" s="2" t="s">
        <v>754</v>
      </c>
      <c r="M1256" s="6" t="s">
        <v>2699</v>
      </c>
      <c r="N1256" s="6" t="s">
        <v>92</v>
      </c>
      <c r="O1256" s="6" t="s">
        <v>93</v>
      </c>
      <c r="P1256" s="3" t="s">
        <v>673</v>
      </c>
      <c r="Q1256" s="6">
        <v>796</v>
      </c>
      <c r="R1256" s="6" t="s">
        <v>118</v>
      </c>
      <c r="S1256" s="9">
        <v>33</v>
      </c>
      <c r="T1256" s="9">
        <v>1965</v>
      </c>
      <c r="U1256" s="9">
        <f t="shared" ref="U1256" si="894">T1256*S1256</f>
        <v>64845</v>
      </c>
      <c r="V1256" s="9">
        <f t="shared" ref="V1256" si="895">U1256*1.12</f>
        <v>72626.400000000009</v>
      </c>
      <c r="W1256" s="7"/>
      <c r="X1256" s="2">
        <v>2016</v>
      </c>
      <c r="Y1256" s="9"/>
    </row>
    <row r="1257" spans="1:25" s="36" customFormat="1" ht="89.25" customHeight="1" outlineLevel="1" x14ac:dyDescent="0.25">
      <c r="A1257" s="1"/>
      <c r="B1257" s="2" t="s">
        <v>6130</v>
      </c>
      <c r="C1257" s="6" t="s">
        <v>83</v>
      </c>
      <c r="D1257" s="6" t="s">
        <v>2644</v>
      </c>
      <c r="E1257" s="6" t="s">
        <v>2645</v>
      </c>
      <c r="F1257" s="6" t="s">
        <v>2646</v>
      </c>
      <c r="G1257" s="6" t="s">
        <v>2650</v>
      </c>
      <c r="H1257" s="2" t="s">
        <v>88</v>
      </c>
      <c r="I1257" s="4">
        <v>0.4</v>
      </c>
      <c r="J1257" s="6">
        <v>710000000</v>
      </c>
      <c r="K1257" s="6" t="s">
        <v>89</v>
      </c>
      <c r="L1257" s="2" t="s">
        <v>754</v>
      </c>
      <c r="M1257" s="6" t="s">
        <v>2699</v>
      </c>
      <c r="N1257" s="6" t="s">
        <v>92</v>
      </c>
      <c r="O1257" s="6" t="s">
        <v>93</v>
      </c>
      <c r="P1257" s="3" t="s">
        <v>94</v>
      </c>
      <c r="Q1257" s="6">
        <v>796</v>
      </c>
      <c r="R1257" s="6" t="s">
        <v>118</v>
      </c>
      <c r="S1257" s="9">
        <v>33</v>
      </c>
      <c r="T1257" s="9">
        <v>1965</v>
      </c>
      <c r="U1257" s="9">
        <v>0</v>
      </c>
      <c r="V1257" s="9">
        <f t="shared" si="857"/>
        <v>0</v>
      </c>
      <c r="W1257" s="7" t="s">
        <v>97</v>
      </c>
      <c r="X1257" s="2">
        <v>2016</v>
      </c>
      <c r="Y1257" s="9" t="s">
        <v>7793</v>
      </c>
    </row>
    <row r="1258" spans="1:25" s="36" customFormat="1" ht="89.25" customHeight="1" outlineLevel="1" x14ac:dyDescent="0.25">
      <c r="A1258" s="1"/>
      <c r="B1258" s="2" t="s">
        <v>8018</v>
      </c>
      <c r="C1258" s="6" t="s">
        <v>83</v>
      </c>
      <c r="D1258" s="6" t="s">
        <v>2644</v>
      </c>
      <c r="E1258" s="6" t="s">
        <v>2645</v>
      </c>
      <c r="F1258" s="6" t="s">
        <v>2646</v>
      </c>
      <c r="G1258" s="6" t="s">
        <v>2650</v>
      </c>
      <c r="H1258" s="2" t="s">
        <v>88</v>
      </c>
      <c r="I1258" s="4">
        <v>0</v>
      </c>
      <c r="J1258" s="6">
        <v>710000000</v>
      </c>
      <c r="K1258" s="6" t="s">
        <v>89</v>
      </c>
      <c r="L1258" s="2" t="s">
        <v>754</v>
      </c>
      <c r="M1258" s="6" t="s">
        <v>2699</v>
      </c>
      <c r="N1258" s="6" t="s">
        <v>92</v>
      </c>
      <c r="O1258" s="6" t="s">
        <v>93</v>
      </c>
      <c r="P1258" s="3" t="s">
        <v>673</v>
      </c>
      <c r="Q1258" s="6">
        <v>796</v>
      </c>
      <c r="R1258" s="6" t="s">
        <v>118</v>
      </c>
      <c r="S1258" s="9">
        <v>33</v>
      </c>
      <c r="T1258" s="9">
        <v>1965</v>
      </c>
      <c r="U1258" s="9">
        <f t="shared" ref="U1258" si="896">T1258*S1258</f>
        <v>64845</v>
      </c>
      <c r="V1258" s="9">
        <f t="shared" ref="V1258" si="897">U1258*1.12</f>
        <v>72626.400000000009</v>
      </c>
      <c r="W1258" s="7"/>
      <c r="X1258" s="2">
        <v>2016</v>
      </c>
      <c r="Y1258" s="9"/>
    </row>
    <row r="1259" spans="1:25" s="36" customFormat="1" ht="89.25" customHeight="1" outlineLevel="1" x14ac:dyDescent="0.25">
      <c r="A1259" s="1"/>
      <c r="B1259" s="2" t="s">
        <v>6131</v>
      </c>
      <c r="C1259" s="3" t="s">
        <v>83</v>
      </c>
      <c r="D1259" s="19" t="s">
        <v>2408</v>
      </c>
      <c r="E1259" s="19" t="s">
        <v>2409</v>
      </c>
      <c r="F1259" s="19" t="s">
        <v>2410</v>
      </c>
      <c r="G1259" s="19" t="s">
        <v>2653</v>
      </c>
      <c r="H1259" s="2" t="s">
        <v>88</v>
      </c>
      <c r="I1259" s="4">
        <v>0.4</v>
      </c>
      <c r="J1259" s="5">
        <v>710000000</v>
      </c>
      <c r="K1259" s="5" t="s">
        <v>89</v>
      </c>
      <c r="L1259" s="2" t="s">
        <v>754</v>
      </c>
      <c r="M1259" s="6" t="s">
        <v>2699</v>
      </c>
      <c r="N1259" s="7" t="s">
        <v>92</v>
      </c>
      <c r="O1259" s="7" t="s">
        <v>93</v>
      </c>
      <c r="P1259" s="3" t="s">
        <v>94</v>
      </c>
      <c r="Q1259" s="3">
        <v>736</v>
      </c>
      <c r="R1259" s="3" t="s">
        <v>2412</v>
      </c>
      <c r="S1259" s="9">
        <f>1384+5184</f>
        <v>6568</v>
      </c>
      <c r="T1259" s="9">
        <v>100</v>
      </c>
      <c r="U1259" s="9">
        <v>0</v>
      </c>
      <c r="V1259" s="9">
        <f t="shared" si="857"/>
        <v>0</v>
      </c>
      <c r="W1259" s="7" t="s">
        <v>97</v>
      </c>
      <c r="X1259" s="2">
        <v>2016</v>
      </c>
      <c r="Y1259" s="2" t="s">
        <v>7793</v>
      </c>
    </row>
    <row r="1260" spans="1:25" s="36" customFormat="1" ht="89.25" customHeight="1" outlineLevel="1" x14ac:dyDescent="0.25">
      <c r="A1260" s="1"/>
      <c r="B1260" s="2" t="s">
        <v>8019</v>
      </c>
      <c r="C1260" s="3" t="s">
        <v>83</v>
      </c>
      <c r="D1260" s="19" t="s">
        <v>2408</v>
      </c>
      <c r="E1260" s="19" t="s">
        <v>2409</v>
      </c>
      <c r="F1260" s="19" t="s">
        <v>2410</v>
      </c>
      <c r="G1260" s="19" t="s">
        <v>2653</v>
      </c>
      <c r="H1260" s="2" t="s">
        <v>88</v>
      </c>
      <c r="I1260" s="4">
        <v>0</v>
      </c>
      <c r="J1260" s="5">
        <v>710000000</v>
      </c>
      <c r="K1260" s="5" t="s">
        <v>89</v>
      </c>
      <c r="L1260" s="2" t="s">
        <v>754</v>
      </c>
      <c r="M1260" s="6" t="s">
        <v>2699</v>
      </c>
      <c r="N1260" s="7" t="s">
        <v>92</v>
      </c>
      <c r="O1260" s="7" t="s">
        <v>93</v>
      </c>
      <c r="P1260" s="3" t="s">
        <v>673</v>
      </c>
      <c r="Q1260" s="3">
        <v>736</v>
      </c>
      <c r="R1260" s="3" t="s">
        <v>2412</v>
      </c>
      <c r="S1260" s="9">
        <f>1384+5184</f>
        <v>6568</v>
      </c>
      <c r="T1260" s="9">
        <v>100</v>
      </c>
      <c r="U1260" s="9">
        <f t="shared" ref="U1260" si="898">T1260*S1260</f>
        <v>656800</v>
      </c>
      <c r="V1260" s="9">
        <f t="shared" ref="V1260" si="899">U1260*1.12</f>
        <v>735616.00000000012</v>
      </c>
      <c r="W1260" s="7"/>
      <c r="X1260" s="2">
        <v>2016</v>
      </c>
      <c r="Y1260" s="2"/>
    </row>
    <row r="1261" spans="1:25" s="11" customFormat="1" ht="89.25" customHeight="1" outlineLevel="1" x14ac:dyDescent="0.25">
      <c r="A1261" s="1"/>
      <c r="B1261" s="2" t="s">
        <v>6132</v>
      </c>
      <c r="C1261" s="3" t="s">
        <v>83</v>
      </c>
      <c r="D1261" s="19" t="s">
        <v>2565</v>
      </c>
      <c r="E1261" s="19" t="s">
        <v>2414</v>
      </c>
      <c r="F1261" s="19" t="s">
        <v>2566</v>
      </c>
      <c r="G1261" s="19" t="s">
        <v>2696</v>
      </c>
      <c r="H1261" s="2" t="s">
        <v>88</v>
      </c>
      <c r="I1261" s="4">
        <v>0.4</v>
      </c>
      <c r="J1261" s="5">
        <v>710000000</v>
      </c>
      <c r="K1261" s="5" t="s">
        <v>89</v>
      </c>
      <c r="L1261" s="2" t="s">
        <v>754</v>
      </c>
      <c r="M1261" s="6" t="s">
        <v>2699</v>
      </c>
      <c r="N1261" s="7" t="s">
        <v>92</v>
      </c>
      <c r="O1261" s="7" t="s">
        <v>93</v>
      </c>
      <c r="P1261" s="3" t="s">
        <v>94</v>
      </c>
      <c r="Q1261" s="3">
        <v>736</v>
      </c>
      <c r="R1261" s="3" t="s">
        <v>2412</v>
      </c>
      <c r="S1261" s="9">
        <v>380</v>
      </c>
      <c r="T1261" s="9">
        <v>290</v>
      </c>
      <c r="U1261" s="9">
        <v>0</v>
      </c>
      <c r="V1261" s="9">
        <f t="shared" si="857"/>
        <v>0</v>
      </c>
      <c r="W1261" s="7" t="s">
        <v>97</v>
      </c>
      <c r="X1261" s="2">
        <v>2016</v>
      </c>
      <c r="Y1261" s="2" t="s">
        <v>7793</v>
      </c>
    </row>
    <row r="1262" spans="1:25" s="11" customFormat="1" ht="89.25" customHeight="1" outlineLevel="1" x14ac:dyDescent="0.25">
      <c r="A1262" s="1"/>
      <c r="B1262" s="2" t="s">
        <v>8020</v>
      </c>
      <c r="C1262" s="3" t="s">
        <v>83</v>
      </c>
      <c r="D1262" s="19" t="s">
        <v>2565</v>
      </c>
      <c r="E1262" s="19" t="s">
        <v>2414</v>
      </c>
      <c r="F1262" s="19" t="s">
        <v>2566</v>
      </c>
      <c r="G1262" s="19" t="s">
        <v>2696</v>
      </c>
      <c r="H1262" s="2" t="s">
        <v>88</v>
      </c>
      <c r="I1262" s="4">
        <v>0</v>
      </c>
      <c r="J1262" s="5">
        <v>710000000</v>
      </c>
      <c r="K1262" s="5" t="s">
        <v>89</v>
      </c>
      <c r="L1262" s="2" t="s">
        <v>754</v>
      </c>
      <c r="M1262" s="6" t="s">
        <v>2699</v>
      </c>
      <c r="N1262" s="7" t="s">
        <v>92</v>
      </c>
      <c r="O1262" s="7" t="s">
        <v>93</v>
      </c>
      <c r="P1262" s="3" t="s">
        <v>673</v>
      </c>
      <c r="Q1262" s="3">
        <v>736</v>
      </c>
      <c r="R1262" s="3" t="s">
        <v>2412</v>
      </c>
      <c r="S1262" s="9">
        <v>380</v>
      </c>
      <c r="T1262" s="9">
        <v>290</v>
      </c>
      <c r="U1262" s="9">
        <f t="shared" ref="U1262" si="900">T1262*S1262</f>
        <v>110200</v>
      </c>
      <c r="V1262" s="9">
        <f t="shared" ref="V1262" si="901">U1262*1.12</f>
        <v>123424.00000000001</v>
      </c>
      <c r="W1262" s="7"/>
      <c r="X1262" s="2">
        <v>2016</v>
      </c>
      <c r="Y1262" s="2"/>
    </row>
    <row r="1263" spans="1:25" s="11" customFormat="1" ht="89.25" customHeight="1" outlineLevel="1" x14ac:dyDescent="0.25">
      <c r="A1263" s="1"/>
      <c r="B1263" s="2" t="s">
        <v>6133</v>
      </c>
      <c r="C1263" s="3" t="s">
        <v>83</v>
      </c>
      <c r="D1263" s="19" t="s">
        <v>2672</v>
      </c>
      <c r="E1263" s="19" t="s">
        <v>2673</v>
      </c>
      <c r="F1263" s="19" t="s">
        <v>2674</v>
      </c>
      <c r="G1263" s="19" t="s">
        <v>2697</v>
      </c>
      <c r="H1263" s="2" t="s">
        <v>88</v>
      </c>
      <c r="I1263" s="4">
        <v>0.4</v>
      </c>
      <c r="J1263" s="5">
        <v>710000000</v>
      </c>
      <c r="K1263" s="5" t="s">
        <v>89</v>
      </c>
      <c r="L1263" s="2" t="s">
        <v>754</v>
      </c>
      <c r="M1263" s="6" t="s">
        <v>2699</v>
      </c>
      <c r="N1263" s="7" t="s">
        <v>92</v>
      </c>
      <c r="O1263" s="7" t="s">
        <v>93</v>
      </c>
      <c r="P1263" s="3" t="s">
        <v>94</v>
      </c>
      <c r="Q1263" s="6">
        <v>778</v>
      </c>
      <c r="R1263" s="6" t="s">
        <v>523</v>
      </c>
      <c r="S1263" s="9">
        <v>700</v>
      </c>
      <c r="T1263" s="9">
        <v>344</v>
      </c>
      <c r="U1263" s="9">
        <v>240800</v>
      </c>
      <c r="V1263" s="9">
        <v>269696</v>
      </c>
      <c r="W1263" s="7" t="s">
        <v>97</v>
      </c>
      <c r="X1263" s="2">
        <v>2016</v>
      </c>
      <c r="Y1263" s="2"/>
    </row>
    <row r="1264" spans="1:25" s="11" customFormat="1" ht="89.25" customHeight="1" outlineLevel="1" x14ac:dyDescent="0.25">
      <c r="A1264" s="1"/>
      <c r="B1264" s="2" t="s">
        <v>6134</v>
      </c>
      <c r="C1264" s="3" t="s">
        <v>83</v>
      </c>
      <c r="D1264" s="19" t="s">
        <v>2655</v>
      </c>
      <c r="E1264" s="19" t="s">
        <v>2374</v>
      </c>
      <c r="F1264" s="19" t="s">
        <v>2385</v>
      </c>
      <c r="G1264" s="19" t="s">
        <v>2656</v>
      </c>
      <c r="H1264" s="2" t="s">
        <v>88</v>
      </c>
      <c r="I1264" s="4">
        <v>0.4</v>
      </c>
      <c r="J1264" s="5">
        <v>710000000</v>
      </c>
      <c r="K1264" s="5" t="s">
        <v>89</v>
      </c>
      <c r="L1264" s="2" t="s">
        <v>754</v>
      </c>
      <c r="M1264" s="6" t="s">
        <v>2699</v>
      </c>
      <c r="N1264" s="7" t="s">
        <v>92</v>
      </c>
      <c r="O1264" s="7" t="s">
        <v>93</v>
      </c>
      <c r="P1264" s="3" t="s">
        <v>94</v>
      </c>
      <c r="Q1264" s="3">
        <v>778</v>
      </c>
      <c r="R1264" s="3" t="s">
        <v>523</v>
      </c>
      <c r="S1264" s="9">
        <v>204</v>
      </c>
      <c r="T1264" s="9">
        <v>1100</v>
      </c>
      <c r="U1264" s="9">
        <v>224400</v>
      </c>
      <c r="V1264" s="9">
        <v>251328.00000000003</v>
      </c>
      <c r="W1264" s="7" t="s">
        <v>97</v>
      </c>
      <c r="X1264" s="2">
        <v>2016</v>
      </c>
      <c r="Y1264" s="2"/>
    </row>
    <row r="1265" spans="1:25" s="11" customFormat="1" ht="89.25" customHeight="1" outlineLevel="1" x14ac:dyDescent="0.25">
      <c r="A1265" s="1"/>
      <c r="B1265" s="2" t="s">
        <v>6135</v>
      </c>
      <c r="C1265" s="3" t="s">
        <v>83</v>
      </c>
      <c r="D1265" s="19" t="s">
        <v>2659</v>
      </c>
      <c r="E1265" s="19" t="s">
        <v>2660</v>
      </c>
      <c r="F1265" s="19" t="s">
        <v>2661</v>
      </c>
      <c r="G1265" s="19" t="s">
        <v>2700</v>
      </c>
      <c r="H1265" s="2" t="s">
        <v>88</v>
      </c>
      <c r="I1265" s="4">
        <v>0.4</v>
      </c>
      <c r="J1265" s="5">
        <v>710000000</v>
      </c>
      <c r="K1265" s="5" t="s">
        <v>89</v>
      </c>
      <c r="L1265" s="2" t="s">
        <v>754</v>
      </c>
      <c r="M1265" s="6" t="s">
        <v>2699</v>
      </c>
      <c r="N1265" s="7" t="s">
        <v>92</v>
      </c>
      <c r="O1265" s="7" t="s">
        <v>93</v>
      </c>
      <c r="P1265" s="3" t="s">
        <v>94</v>
      </c>
      <c r="Q1265" s="3">
        <v>736</v>
      </c>
      <c r="R1265" s="3" t="s">
        <v>2412</v>
      </c>
      <c r="S1265" s="9">
        <v>18432</v>
      </c>
      <c r="T1265" s="9">
        <v>100</v>
      </c>
      <c r="U1265" s="9">
        <v>1843200</v>
      </c>
      <c r="V1265" s="9">
        <v>2064384.0000000002</v>
      </c>
      <c r="W1265" s="7" t="s">
        <v>97</v>
      </c>
      <c r="X1265" s="2">
        <v>2016</v>
      </c>
      <c r="Y1265" s="2"/>
    </row>
    <row r="1266" spans="1:25" s="11" customFormat="1" ht="89.25" customHeight="1" outlineLevel="1" x14ac:dyDescent="0.25">
      <c r="A1266" s="1"/>
      <c r="B1266" s="2" t="s">
        <v>6136</v>
      </c>
      <c r="C1266" s="3" t="s">
        <v>83</v>
      </c>
      <c r="D1266" s="27" t="s">
        <v>2701</v>
      </c>
      <c r="E1266" s="27" t="s">
        <v>2702</v>
      </c>
      <c r="F1266" s="27" t="s">
        <v>2703</v>
      </c>
      <c r="G1266" s="19" t="s">
        <v>2704</v>
      </c>
      <c r="H1266" s="2" t="s">
        <v>88</v>
      </c>
      <c r="I1266" s="4">
        <v>0.4</v>
      </c>
      <c r="J1266" s="5">
        <v>710000000</v>
      </c>
      <c r="K1266" s="5" t="s">
        <v>89</v>
      </c>
      <c r="L1266" s="2" t="s">
        <v>754</v>
      </c>
      <c r="M1266" s="6" t="s">
        <v>787</v>
      </c>
      <c r="N1266" s="7" t="s">
        <v>92</v>
      </c>
      <c r="O1266" s="7" t="s">
        <v>93</v>
      </c>
      <c r="P1266" s="3" t="s">
        <v>94</v>
      </c>
      <c r="Q1266" s="8">
        <v>796</v>
      </c>
      <c r="R1266" s="7" t="s">
        <v>118</v>
      </c>
      <c r="S1266" s="9">
        <f>3048+3461+150</f>
        <v>6659</v>
      </c>
      <c r="T1266" s="9">
        <v>133.93</v>
      </c>
      <c r="U1266" s="9">
        <v>0</v>
      </c>
      <c r="V1266" s="9">
        <f t="shared" si="857"/>
        <v>0</v>
      </c>
      <c r="W1266" s="7" t="s">
        <v>97</v>
      </c>
      <c r="X1266" s="2">
        <v>2016</v>
      </c>
      <c r="Y1266" s="2" t="s">
        <v>7793</v>
      </c>
    </row>
    <row r="1267" spans="1:25" s="11" customFormat="1" ht="89.25" customHeight="1" outlineLevel="1" x14ac:dyDescent="0.25">
      <c r="A1267" s="1"/>
      <c r="B1267" s="2" t="s">
        <v>8021</v>
      </c>
      <c r="C1267" s="3" t="s">
        <v>83</v>
      </c>
      <c r="D1267" s="27" t="s">
        <v>2701</v>
      </c>
      <c r="E1267" s="27" t="s">
        <v>2702</v>
      </c>
      <c r="F1267" s="27" t="s">
        <v>2703</v>
      </c>
      <c r="G1267" s="19" t="s">
        <v>2704</v>
      </c>
      <c r="H1267" s="2" t="s">
        <v>88</v>
      </c>
      <c r="I1267" s="4">
        <v>0</v>
      </c>
      <c r="J1267" s="5">
        <v>710000000</v>
      </c>
      <c r="K1267" s="5" t="s">
        <v>89</v>
      </c>
      <c r="L1267" s="2" t="s">
        <v>754</v>
      </c>
      <c r="M1267" s="6" t="s">
        <v>787</v>
      </c>
      <c r="N1267" s="7" t="s">
        <v>92</v>
      </c>
      <c r="O1267" s="7" t="s">
        <v>93</v>
      </c>
      <c r="P1267" s="3" t="s">
        <v>673</v>
      </c>
      <c r="Q1267" s="8">
        <v>796</v>
      </c>
      <c r="R1267" s="7" t="s">
        <v>118</v>
      </c>
      <c r="S1267" s="9">
        <f>3048+3461+150</f>
        <v>6659</v>
      </c>
      <c r="T1267" s="9">
        <v>133.93</v>
      </c>
      <c r="U1267" s="9">
        <v>0</v>
      </c>
      <c r="V1267" s="9">
        <f t="shared" ref="V1267" si="902">U1267*1.12</f>
        <v>0</v>
      </c>
      <c r="W1267" s="7"/>
      <c r="X1267" s="2">
        <v>2016</v>
      </c>
      <c r="Y1267" s="2" t="s">
        <v>7460</v>
      </c>
    </row>
    <row r="1268" spans="1:25" s="20" customFormat="1" ht="89.25" customHeight="1" outlineLevel="1" x14ac:dyDescent="0.25">
      <c r="A1268" s="1"/>
      <c r="B1268" s="2" t="s">
        <v>6137</v>
      </c>
      <c r="C1268" s="5" t="s">
        <v>83</v>
      </c>
      <c r="D1268" s="19" t="s">
        <v>2705</v>
      </c>
      <c r="E1268" s="19" t="s">
        <v>2706</v>
      </c>
      <c r="F1268" s="19" t="s">
        <v>2707</v>
      </c>
      <c r="G1268" s="3" t="s">
        <v>2708</v>
      </c>
      <c r="H1268" s="2" t="s">
        <v>88</v>
      </c>
      <c r="I1268" s="4">
        <v>0.4</v>
      </c>
      <c r="J1268" s="5">
        <v>710000000</v>
      </c>
      <c r="K1268" s="5" t="s">
        <v>89</v>
      </c>
      <c r="L1268" s="2" t="s">
        <v>754</v>
      </c>
      <c r="M1268" s="6" t="s">
        <v>787</v>
      </c>
      <c r="N1268" s="7" t="s">
        <v>92</v>
      </c>
      <c r="O1268" s="7" t="s">
        <v>93</v>
      </c>
      <c r="P1268" s="3" t="s">
        <v>94</v>
      </c>
      <c r="Q1268" s="8">
        <v>796</v>
      </c>
      <c r="R1268" s="7" t="s">
        <v>118</v>
      </c>
      <c r="S1268" s="9">
        <v>15</v>
      </c>
      <c r="T1268" s="9">
        <v>11299.11</v>
      </c>
      <c r="U1268" s="9">
        <v>0</v>
      </c>
      <c r="V1268" s="9">
        <f t="shared" si="857"/>
        <v>0</v>
      </c>
      <c r="W1268" s="7" t="s">
        <v>97</v>
      </c>
      <c r="X1268" s="2">
        <v>2016</v>
      </c>
      <c r="Y1268" s="2" t="s">
        <v>7793</v>
      </c>
    </row>
    <row r="1269" spans="1:25" s="20" customFormat="1" ht="89.25" customHeight="1" outlineLevel="1" x14ac:dyDescent="0.25">
      <c r="A1269" s="1"/>
      <c r="B1269" s="2" t="s">
        <v>8022</v>
      </c>
      <c r="C1269" s="5" t="s">
        <v>83</v>
      </c>
      <c r="D1269" s="19" t="s">
        <v>2705</v>
      </c>
      <c r="E1269" s="19" t="s">
        <v>2706</v>
      </c>
      <c r="F1269" s="19" t="s">
        <v>2707</v>
      </c>
      <c r="G1269" s="3" t="s">
        <v>2708</v>
      </c>
      <c r="H1269" s="2" t="s">
        <v>88</v>
      </c>
      <c r="I1269" s="4">
        <v>0</v>
      </c>
      <c r="J1269" s="5">
        <v>710000000</v>
      </c>
      <c r="K1269" s="5" t="s">
        <v>89</v>
      </c>
      <c r="L1269" s="2" t="s">
        <v>754</v>
      </c>
      <c r="M1269" s="6" t="s">
        <v>787</v>
      </c>
      <c r="N1269" s="7" t="s">
        <v>92</v>
      </c>
      <c r="O1269" s="7" t="s">
        <v>93</v>
      </c>
      <c r="P1269" s="3" t="s">
        <v>673</v>
      </c>
      <c r="Q1269" s="8">
        <v>796</v>
      </c>
      <c r="R1269" s="7" t="s">
        <v>118</v>
      </c>
      <c r="S1269" s="9">
        <v>15</v>
      </c>
      <c r="T1269" s="9">
        <v>11299.11</v>
      </c>
      <c r="U1269" s="9">
        <f t="shared" ref="U1269" si="903">T1269*S1269</f>
        <v>169486.65000000002</v>
      </c>
      <c r="V1269" s="9">
        <f t="shared" ref="V1269" si="904">U1269*1.12</f>
        <v>189825.04800000004</v>
      </c>
      <c r="W1269" s="7"/>
      <c r="X1269" s="2">
        <v>2016</v>
      </c>
      <c r="Y1269" s="2"/>
    </row>
    <row r="1270" spans="1:25" s="11" customFormat="1" ht="89.25" customHeight="1" outlineLevel="1" x14ac:dyDescent="0.25">
      <c r="A1270" s="1"/>
      <c r="B1270" s="2" t="s">
        <v>6138</v>
      </c>
      <c r="C1270" s="3" t="s">
        <v>83</v>
      </c>
      <c r="D1270" s="19" t="s">
        <v>2709</v>
      </c>
      <c r="E1270" s="19" t="s">
        <v>2702</v>
      </c>
      <c r="F1270" s="19" t="s">
        <v>2710</v>
      </c>
      <c r="G1270" s="19" t="s">
        <v>2711</v>
      </c>
      <c r="H1270" s="2" t="s">
        <v>88</v>
      </c>
      <c r="I1270" s="4">
        <v>0.4</v>
      </c>
      <c r="J1270" s="5">
        <v>710000000</v>
      </c>
      <c r="K1270" s="5" t="s">
        <v>89</v>
      </c>
      <c r="L1270" s="2" t="s">
        <v>754</v>
      </c>
      <c r="M1270" s="6" t="s">
        <v>787</v>
      </c>
      <c r="N1270" s="7" t="s">
        <v>92</v>
      </c>
      <c r="O1270" s="7" t="s">
        <v>93</v>
      </c>
      <c r="P1270" s="3" t="s">
        <v>94</v>
      </c>
      <c r="Q1270" s="8">
        <v>796</v>
      </c>
      <c r="R1270" s="7" t="s">
        <v>118</v>
      </c>
      <c r="S1270" s="9">
        <v>16</v>
      </c>
      <c r="T1270" s="9">
        <v>12468.75</v>
      </c>
      <c r="U1270" s="9">
        <v>0</v>
      </c>
      <c r="V1270" s="9">
        <f t="shared" si="857"/>
        <v>0</v>
      </c>
      <c r="W1270" s="7" t="s">
        <v>97</v>
      </c>
      <c r="X1270" s="2">
        <v>2016</v>
      </c>
      <c r="Y1270" s="2" t="s">
        <v>7793</v>
      </c>
    </row>
    <row r="1271" spans="1:25" s="11" customFormat="1" ht="89.25" customHeight="1" outlineLevel="1" x14ac:dyDescent="0.25">
      <c r="A1271" s="1"/>
      <c r="B1271" s="2" t="s">
        <v>8023</v>
      </c>
      <c r="C1271" s="3" t="s">
        <v>83</v>
      </c>
      <c r="D1271" s="19" t="s">
        <v>2709</v>
      </c>
      <c r="E1271" s="19" t="s">
        <v>2702</v>
      </c>
      <c r="F1271" s="19" t="s">
        <v>2710</v>
      </c>
      <c r="G1271" s="19" t="s">
        <v>2711</v>
      </c>
      <c r="H1271" s="2" t="s">
        <v>88</v>
      </c>
      <c r="I1271" s="4">
        <v>0</v>
      </c>
      <c r="J1271" s="5">
        <v>710000000</v>
      </c>
      <c r="K1271" s="5" t="s">
        <v>89</v>
      </c>
      <c r="L1271" s="2" t="s">
        <v>754</v>
      </c>
      <c r="M1271" s="6" t="s">
        <v>787</v>
      </c>
      <c r="N1271" s="7" t="s">
        <v>92</v>
      </c>
      <c r="O1271" s="7" t="s">
        <v>93</v>
      </c>
      <c r="P1271" s="3" t="s">
        <v>673</v>
      </c>
      <c r="Q1271" s="8">
        <v>796</v>
      </c>
      <c r="R1271" s="7" t="s">
        <v>118</v>
      </c>
      <c r="S1271" s="9">
        <v>16</v>
      </c>
      <c r="T1271" s="9">
        <v>12468.75</v>
      </c>
      <c r="U1271" s="9">
        <f t="shared" ref="U1271" si="905">T1271*S1271</f>
        <v>199500</v>
      </c>
      <c r="V1271" s="9">
        <f t="shared" ref="V1271" si="906">U1271*1.12</f>
        <v>223440.00000000003</v>
      </c>
      <c r="W1271" s="7"/>
      <c r="X1271" s="2">
        <v>2016</v>
      </c>
      <c r="Y1271" s="2"/>
    </row>
    <row r="1272" spans="1:25" s="11" customFormat="1" ht="89.25" customHeight="1" outlineLevel="1" x14ac:dyDescent="0.25">
      <c r="A1272" s="1"/>
      <c r="B1272" s="2" t="s">
        <v>6139</v>
      </c>
      <c r="C1272" s="3" t="s">
        <v>83</v>
      </c>
      <c r="D1272" s="19" t="s">
        <v>2712</v>
      </c>
      <c r="E1272" s="19" t="s">
        <v>2713</v>
      </c>
      <c r="F1272" s="19" t="s">
        <v>2714</v>
      </c>
      <c r="G1272" s="19" t="s">
        <v>2715</v>
      </c>
      <c r="H1272" s="2" t="s">
        <v>88</v>
      </c>
      <c r="I1272" s="4">
        <v>0.4</v>
      </c>
      <c r="J1272" s="5">
        <v>710000000</v>
      </c>
      <c r="K1272" s="5" t="s">
        <v>89</v>
      </c>
      <c r="L1272" s="2" t="s">
        <v>754</v>
      </c>
      <c r="M1272" s="6" t="s">
        <v>787</v>
      </c>
      <c r="N1272" s="7" t="s">
        <v>92</v>
      </c>
      <c r="O1272" s="7" t="s">
        <v>93</v>
      </c>
      <c r="P1272" s="3" t="s">
        <v>94</v>
      </c>
      <c r="Q1272" s="8">
        <v>796</v>
      </c>
      <c r="R1272" s="7" t="s">
        <v>118</v>
      </c>
      <c r="S1272" s="9">
        <v>13</v>
      </c>
      <c r="T1272" s="9">
        <v>321.43</v>
      </c>
      <c r="U1272" s="9">
        <v>0</v>
      </c>
      <c r="V1272" s="9">
        <f t="shared" si="857"/>
        <v>0</v>
      </c>
      <c r="W1272" s="7" t="s">
        <v>97</v>
      </c>
      <c r="X1272" s="2">
        <v>2016</v>
      </c>
      <c r="Y1272" s="2" t="s">
        <v>7793</v>
      </c>
    </row>
    <row r="1273" spans="1:25" s="11" customFormat="1" ht="89.25" customHeight="1" outlineLevel="1" x14ac:dyDescent="0.25">
      <c r="A1273" s="1"/>
      <c r="B1273" s="2" t="s">
        <v>8024</v>
      </c>
      <c r="C1273" s="3" t="s">
        <v>83</v>
      </c>
      <c r="D1273" s="19" t="s">
        <v>2712</v>
      </c>
      <c r="E1273" s="19" t="s">
        <v>2713</v>
      </c>
      <c r="F1273" s="19" t="s">
        <v>2714</v>
      </c>
      <c r="G1273" s="19" t="s">
        <v>2715</v>
      </c>
      <c r="H1273" s="2" t="s">
        <v>88</v>
      </c>
      <c r="I1273" s="4">
        <v>0</v>
      </c>
      <c r="J1273" s="5">
        <v>710000000</v>
      </c>
      <c r="K1273" s="5" t="s">
        <v>89</v>
      </c>
      <c r="L1273" s="2" t="s">
        <v>754</v>
      </c>
      <c r="M1273" s="6" t="s">
        <v>787</v>
      </c>
      <c r="N1273" s="7" t="s">
        <v>92</v>
      </c>
      <c r="O1273" s="7" t="s">
        <v>93</v>
      </c>
      <c r="P1273" s="3" t="s">
        <v>673</v>
      </c>
      <c r="Q1273" s="8">
        <v>796</v>
      </c>
      <c r="R1273" s="7" t="s">
        <v>118</v>
      </c>
      <c r="S1273" s="9">
        <v>13</v>
      </c>
      <c r="T1273" s="9">
        <v>321.43</v>
      </c>
      <c r="U1273" s="9">
        <f t="shared" ref="U1273" si="907">T1273*S1273</f>
        <v>4178.59</v>
      </c>
      <c r="V1273" s="9">
        <f t="shared" ref="V1273" si="908">U1273*1.12</f>
        <v>4680.0208000000002</v>
      </c>
      <c r="W1273" s="7"/>
      <c r="X1273" s="2">
        <v>2016</v>
      </c>
      <c r="Y1273" s="2"/>
    </row>
    <row r="1274" spans="1:25" s="11" customFormat="1" ht="89.25" customHeight="1" outlineLevel="1" x14ac:dyDescent="0.25">
      <c r="A1274" s="1"/>
      <c r="B1274" s="2" t="s">
        <v>6140</v>
      </c>
      <c r="C1274" s="19" t="s">
        <v>83</v>
      </c>
      <c r="D1274" s="19" t="s">
        <v>2716</v>
      </c>
      <c r="E1274" s="19" t="s">
        <v>2717</v>
      </c>
      <c r="F1274" s="19" t="s">
        <v>2718</v>
      </c>
      <c r="G1274" s="19" t="s">
        <v>2719</v>
      </c>
      <c r="H1274" s="2" t="s">
        <v>88</v>
      </c>
      <c r="I1274" s="4">
        <v>0.4</v>
      </c>
      <c r="J1274" s="5">
        <v>710000000</v>
      </c>
      <c r="K1274" s="5" t="s">
        <v>89</v>
      </c>
      <c r="L1274" s="2" t="s">
        <v>754</v>
      </c>
      <c r="M1274" s="6" t="s">
        <v>787</v>
      </c>
      <c r="N1274" s="7" t="s">
        <v>92</v>
      </c>
      <c r="O1274" s="7" t="s">
        <v>93</v>
      </c>
      <c r="P1274" s="3" t="s">
        <v>94</v>
      </c>
      <c r="Q1274" s="8">
        <v>796</v>
      </c>
      <c r="R1274" s="7" t="s">
        <v>118</v>
      </c>
      <c r="S1274" s="9">
        <f>212+2+449</f>
        <v>663</v>
      </c>
      <c r="T1274" s="9">
        <v>921.43</v>
      </c>
      <c r="U1274" s="9">
        <v>0</v>
      </c>
      <c r="V1274" s="9">
        <f t="shared" si="857"/>
        <v>0</v>
      </c>
      <c r="W1274" s="7" t="s">
        <v>97</v>
      </c>
      <c r="X1274" s="2">
        <v>2016</v>
      </c>
      <c r="Y1274" s="2" t="s">
        <v>7793</v>
      </c>
    </row>
    <row r="1275" spans="1:25" s="11" customFormat="1" ht="89.25" customHeight="1" outlineLevel="1" x14ac:dyDescent="0.25">
      <c r="A1275" s="1"/>
      <c r="B1275" s="2" t="s">
        <v>6140</v>
      </c>
      <c r="C1275" s="19" t="s">
        <v>83</v>
      </c>
      <c r="D1275" s="19" t="s">
        <v>2716</v>
      </c>
      <c r="E1275" s="19" t="s">
        <v>2717</v>
      </c>
      <c r="F1275" s="19" t="s">
        <v>2718</v>
      </c>
      <c r="G1275" s="19" t="s">
        <v>2719</v>
      </c>
      <c r="H1275" s="2" t="s">
        <v>88</v>
      </c>
      <c r="I1275" s="4">
        <v>0</v>
      </c>
      <c r="J1275" s="5">
        <v>710000000</v>
      </c>
      <c r="K1275" s="5" t="s">
        <v>89</v>
      </c>
      <c r="L1275" s="2" t="s">
        <v>754</v>
      </c>
      <c r="M1275" s="6" t="s">
        <v>787</v>
      </c>
      <c r="N1275" s="7" t="s">
        <v>92</v>
      </c>
      <c r="O1275" s="7" t="s">
        <v>93</v>
      </c>
      <c r="P1275" s="3" t="s">
        <v>673</v>
      </c>
      <c r="Q1275" s="8">
        <v>796</v>
      </c>
      <c r="R1275" s="7" t="s">
        <v>118</v>
      </c>
      <c r="S1275" s="9">
        <f>212+2+449</f>
        <v>663</v>
      </c>
      <c r="T1275" s="9">
        <v>921.43</v>
      </c>
      <c r="U1275" s="9">
        <f t="shared" ref="U1275" si="909">T1275*S1275</f>
        <v>610908.09</v>
      </c>
      <c r="V1275" s="9">
        <f t="shared" ref="V1275" si="910">U1275*1.12</f>
        <v>684217.06079999998</v>
      </c>
      <c r="W1275" s="7"/>
      <c r="X1275" s="2">
        <v>2016</v>
      </c>
      <c r="Y1275" s="2"/>
    </row>
    <row r="1276" spans="1:25" s="11" customFormat="1" ht="89.25" customHeight="1" outlineLevel="1" x14ac:dyDescent="0.25">
      <c r="A1276" s="1"/>
      <c r="B1276" s="2" t="s">
        <v>6141</v>
      </c>
      <c r="C1276" s="19" t="s">
        <v>83</v>
      </c>
      <c r="D1276" s="19" t="s">
        <v>2720</v>
      </c>
      <c r="E1276" s="19" t="s">
        <v>2717</v>
      </c>
      <c r="F1276" s="19" t="s">
        <v>2721</v>
      </c>
      <c r="G1276" s="19" t="s">
        <v>2722</v>
      </c>
      <c r="H1276" s="2" t="s">
        <v>88</v>
      </c>
      <c r="I1276" s="4">
        <v>0.4</v>
      </c>
      <c r="J1276" s="5">
        <v>710000000</v>
      </c>
      <c r="K1276" s="5" t="s">
        <v>89</v>
      </c>
      <c r="L1276" s="2" t="s">
        <v>754</v>
      </c>
      <c r="M1276" s="6" t="s">
        <v>787</v>
      </c>
      <c r="N1276" s="7" t="s">
        <v>92</v>
      </c>
      <c r="O1276" s="7" t="s">
        <v>93</v>
      </c>
      <c r="P1276" s="3" t="s">
        <v>94</v>
      </c>
      <c r="Q1276" s="8">
        <v>796</v>
      </c>
      <c r="R1276" s="7" t="s">
        <v>118</v>
      </c>
      <c r="S1276" s="9">
        <f>120+67+5</f>
        <v>192</v>
      </c>
      <c r="T1276" s="9">
        <v>205.4</v>
      </c>
      <c r="U1276" s="9">
        <v>0</v>
      </c>
      <c r="V1276" s="9">
        <f t="shared" si="857"/>
        <v>0</v>
      </c>
      <c r="W1276" s="7" t="s">
        <v>97</v>
      </c>
      <c r="X1276" s="2">
        <v>2016</v>
      </c>
      <c r="Y1276" s="2" t="s">
        <v>7793</v>
      </c>
    </row>
    <row r="1277" spans="1:25" s="11" customFormat="1" ht="89.25" customHeight="1" outlineLevel="1" x14ac:dyDescent="0.25">
      <c r="A1277" s="1"/>
      <c r="B1277" s="2" t="s">
        <v>8025</v>
      </c>
      <c r="C1277" s="19" t="s">
        <v>83</v>
      </c>
      <c r="D1277" s="19" t="s">
        <v>2720</v>
      </c>
      <c r="E1277" s="19" t="s">
        <v>2717</v>
      </c>
      <c r="F1277" s="19" t="s">
        <v>2721</v>
      </c>
      <c r="G1277" s="19" t="s">
        <v>2722</v>
      </c>
      <c r="H1277" s="2" t="s">
        <v>88</v>
      </c>
      <c r="I1277" s="4">
        <v>0</v>
      </c>
      <c r="J1277" s="5">
        <v>710000000</v>
      </c>
      <c r="K1277" s="5" t="s">
        <v>89</v>
      </c>
      <c r="L1277" s="2" t="s">
        <v>754</v>
      </c>
      <c r="M1277" s="6" t="s">
        <v>787</v>
      </c>
      <c r="N1277" s="7" t="s">
        <v>92</v>
      </c>
      <c r="O1277" s="7" t="s">
        <v>93</v>
      </c>
      <c r="P1277" s="3" t="s">
        <v>673</v>
      </c>
      <c r="Q1277" s="8">
        <v>796</v>
      </c>
      <c r="R1277" s="7" t="s">
        <v>118</v>
      </c>
      <c r="S1277" s="9">
        <f>120+67+5</f>
        <v>192</v>
      </c>
      <c r="T1277" s="9">
        <v>205.4</v>
      </c>
      <c r="U1277" s="9">
        <f t="shared" ref="U1277" si="911">T1277*S1277</f>
        <v>39436.800000000003</v>
      </c>
      <c r="V1277" s="9">
        <f t="shared" ref="V1277" si="912">U1277*1.12</f>
        <v>44169.216000000008</v>
      </c>
      <c r="W1277" s="7"/>
      <c r="X1277" s="2">
        <v>2016</v>
      </c>
      <c r="Y1277" s="2"/>
    </row>
    <row r="1278" spans="1:25" s="11" customFormat="1" ht="89.25" customHeight="1" outlineLevel="1" x14ac:dyDescent="0.25">
      <c r="A1278" s="1"/>
      <c r="B1278" s="2" t="s">
        <v>6142</v>
      </c>
      <c r="C1278" s="19" t="s">
        <v>83</v>
      </c>
      <c r="D1278" s="19" t="s">
        <v>2723</v>
      </c>
      <c r="E1278" s="19" t="s">
        <v>2717</v>
      </c>
      <c r="F1278" s="19" t="s">
        <v>2724</v>
      </c>
      <c r="G1278" s="19" t="s">
        <v>2725</v>
      </c>
      <c r="H1278" s="2" t="s">
        <v>88</v>
      </c>
      <c r="I1278" s="4">
        <v>0.4</v>
      </c>
      <c r="J1278" s="5">
        <v>710000000</v>
      </c>
      <c r="K1278" s="5" t="s">
        <v>89</v>
      </c>
      <c r="L1278" s="2" t="s">
        <v>754</v>
      </c>
      <c r="M1278" s="6" t="s">
        <v>787</v>
      </c>
      <c r="N1278" s="7" t="s">
        <v>92</v>
      </c>
      <c r="O1278" s="7" t="s">
        <v>93</v>
      </c>
      <c r="P1278" s="3" t="s">
        <v>94</v>
      </c>
      <c r="Q1278" s="8">
        <v>796</v>
      </c>
      <c r="R1278" s="7" t="s">
        <v>118</v>
      </c>
      <c r="S1278" s="9">
        <v>7</v>
      </c>
      <c r="T1278" s="9">
        <v>535.71</v>
      </c>
      <c r="U1278" s="9">
        <v>0</v>
      </c>
      <c r="V1278" s="9">
        <f t="shared" si="857"/>
        <v>0</v>
      </c>
      <c r="W1278" s="7" t="s">
        <v>97</v>
      </c>
      <c r="X1278" s="2">
        <v>2016</v>
      </c>
      <c r="Y1278" s="2" t="s">
        <v>7793</v>
      </c>
    </row>
    <row r="1279" spans="1:25" s="11" customFormat="1" ht="89.25" customHeight="1" outlineLevel="1" x14ac:dyDescent="0.25">
      <c r="A1279" s="1"/>
      <c r="B1279" s="2" t="s">
        <v>8026</v>
      </c>
      <c r="C1279" s="19" t="s">
        <v>83</v>
      </c>
      <c r="D1279" s="19" t="s">
        <v>2723</v>
      </c>
      <c r="E1279" s="19" t="s">
        <v>2717</v>
      </c>
      <c r="F1279" s="19" t="s">
        <v>2724</v>
      </c>
      <c r="G1279" s="19" t="s">
        <v>2725</v>
      </c>
      <c r="H1279" s="2" t="s">
        <v>88</v>
      </c>
      <c r="I1279" s="4">
        <v>0</v>
      </c>
      <c r="J1279" s="5">
        <v>710000000</v>
      </c>
      <c r="K1279" s="5" t="s">
        <v>89</v>
      </c>
      <c r="L1279" s="2" t="s">
        <v>754</v>
      </c>
      <c r="M1279" s="6" t="s">
        <v>787</v>
      </c>
      <c r="N1279" s="7" t="s">
        <v>92</v>
      </c>
      <c r="O1279" s="7" t="s">
        <v>93</v>
      </c>
      <c r="P1279" s="3" t="s">
        <v>673</v>
      </c>
      <c r="Q1279" s="8">
        <v>796</v>
      </c>
      <c r="R1279" s="7" t="s">
        <v>118</v>
      </c>
      <c r="S1279" s="9">
        <v>7</v>
      </c>
      <c r="T1279" s="9">
        <v>535.71</v>
      </c>
      <c r="U1279" s="9">
        <f t="shared" ref="U1279" si="913">T1279*S1279</f>
        <v>3749.9700000000003</v>
      </c>
      <c r="V1279" s="9">
        <f t="shared" ref="V1279" si="914">U1279*1.12</f>
        <v>4199.9664000000002</v>
      </c>
      <c r="W1279" s="7"/>
      <c r="X1279" s="2">
        <v>2016</v>
      </c>
      <c r="Y1279" s="2"/>
    </row>
    <row r="1280" spans="1:25" s="11" customFormat="1" ht="89.25" customHeight="1" outlineLevel="1" x14ac:dyDescent="0.25">
      <c r="A1280" s="1"/>
      <c r="B1280" s="2" t="s">
        <v>6143</v>
      </c>
      <c r="C1280" s="19" t="s">
        <v>83</v>
      </c>
      <c r="D1280" s="19" t="s">
        <v>2726</v>
      </c>
      <c r="E1280" s="19" t="s">
        <v>2706</v>
      </c>
      <c r="F1280" s="19" t="s">
        <v>2727</v>
      </c>
      <c r="G1280" s="19" t="s">
        <v>2728</v>
      </c>
      <c r="H1280" s="2" t="s">
        <v>88</v>
      </c>
      <c r="I1280" s="4">
        <v>0.4</v>
      </c>
      <c r="J1280" s="5">
        <v>710000000</v>
      </c>
      <c r="K1280" s="5" t="s">
        <v>89</v>
      </c>
      <c r="L1280" s="2" t="s">
        <v>754</v>
      </c>
      <c r="M1280" s="6" t="s">
        <v>787</v>
      </c>
      <c r="N1280" s="7" t="s">
        <v>92</v>
      </c>
      <c r="O1280" s="7" t="s">
        <v>93</v>
      </c>
      <c r="P1280" s="3" t="s">
        <v>94</v>
      </c>
      <c r="Q1280" s="8">
        <v>796</v>
      </c>
      <c r="R1280" s="7" t="s">
        <v>118</v>
      </c>
      <c r="S1280" s="9">
        <f>4+19</f>
        <v>23</v>
      </c>
      <c r="T1280" s="9">
        <v>2669.6</v>
      </c>
      <c r="U1280" s="9">
        <v>0</v>
      </c>
      <c r="V1280" s="9">
        <f t="shared" si="857"/>
        <v>0</v>
      </c>
      <c r="W1280" s="7" t="s">
        <v>97</v>
      </c>
      <c r="X1280" s="2">
        <v>2016</v>
      </c>
      <c r="Y1280" s="2" t="s">
        <v>7793</v>
      </c>
    </row>
    <row r="1281" spans="1:25" s="11" customFormat="1" ht="89.25" customHeight="1" outlineLevel="1" x14ac:dyDescent="0.25">
      <c r="A1281" s="1"/>
      <c r="B1281" s="2" t="s">
        <v>8027</v>
      </c>
      <c r="C1281" s="19" t="s">
        <v>83</v>
      </c>
      <c r="D1281" s="19" t="s">
        <v>2726</v>
      </c>
      <c r="E1281" s="19" t="s">
        <v>2706</v>
      </c>
      <c r="F1281" s="19" t="s">
        <v>2727</v>
      </c>
      <c r="G1281" s="19" t="s">
        <v>2728</v>
      </c>
      <c r="H1281" s="2" t="s">
        <v>88</v>
      </c>
      <c r="I1281" s="4">
        <v>0</v>
      </c>
      <c r="J1281" s="5">
        <v>710000000</v>
      </c>
      <c r="K1281" s="5" t="s">
        <v>89</v>
      </c>
      <c r="L1281" s="2" t="s">
        <v>754</v>
      </c>
      <c r="M1281" s="6" t="s">
        <v>787</v>
      </c>
      <c r="N1281" s="7" t="s">
        <v>92</v>
      </c>
      <c r="O1281" s="7" t="s">
        <v>93</v>
      </c>
      <c r="P1281" s="3" t="s">
        <v>673</v>
      </c>
      <c r="Q1281" s="8">
        <v>796</v>
      </c>
      <c r="R1281" s="7" t="s">
        <v>118</v>
      </c>
      <c r="S1281" s="9">
        <f>4+19</f>
        <v>23</v>
      </c>
      <c r="T1281" s="9">
        <v>2669.6</v>
      </c>
      <c r="U1281" s="9">
        <f t="shared" ref="U1281" si="915">T1281*S1281</f>
        <v>61400.799999999996</v>
      </c>
      <c r="V1281" s="9">
        <f t="shared" ref="V1281" si="916">U1281*1.12</f>
        <v>68768.896000000008</v>
      </c>
      <c r="W1281" s="7"/>
      <c r="X1281" s="2">
        <v>2016</v>
      </c>
      <c r="Y1281" s="2"/>
    </row>
    <row r="1282" spans="1:25" s="11" customFormat="1" ht="89.25" customHeight="1" outlineLevel="1" x14ac:dyDescent="0.25">
      <c r="A1282" s="1"/>
      <c r="B1282" s="2" t="s">
        <v>6144</v>
      </c>
      <c r="C1282" s="19" t="s">
        <v>83</v>
      </c>
      <c r="D1282" s="19" t="s">
        <v>2729</v>
      </c>
      <c r="E1282" s="19" t="s">
        <v>2717</v>
      </c>
      <c r="F1282" s="19" t="s">
        <v>2730</v>
      </c>
      <c r="G1282" s="19"/>
      <c r="H1282" s="2" t="s">
        <v>88</v>
      </c>
      <c r="I1282" s="4">
        <v>0.4</v>
      </c>
      <c r="J1282" s="5">
        <v>710000000</v>
      </c>
      <c r="K1282" s="5" t="s">
        <v>89</v>
      </c>
      <c r="L1282" s="2" t="s">
        <v>754</v>
      </c>
      <c r="M1282" s="6" t="s">
        <v>787</v>
      </c>
      <c r="N1282" s="7" t="s">
        <v>92</v>
      </c>
      <c r="O1282" s="7" t="s">
        <v>93</v>
      </c>
      <c r="P1282" s="3" t="s">
        <v>94</v>
      </c>
      <c r="Q1282" s="8">
        <v>796</v>
      </c>
      <c r="R1282" s="7" t="s">
        <v>118</v>
      </c>
      <c r="S1282" s="9">
        <f>6941+3533+150+30+70+18+1000+850</f>
        <v>12592</v>
      </c>
      <c r="T1282" s="9">
        <v>270.08999999999997</v>
      </c>
      <c r="U1282" s="9">
        <v>0</v>
      </c>
      <c r="V1282" s="9">
        <f t="shared" si="857"/>
        <v>0</v>
      </c>
      <c r="W1282" s="7" t="s">
        <v>97</v>
      </c>
      <c r="X1282" s="2">
        <v>2016</v>
      </c>
      <c r="Y1282" s="2" t="s">
        <v>7793</v>
      </c>
    </row>
    <row r="1283" spans="1:25" s="11" customFormat="1" ht="89.25" customHeight="1" outlineLevel="1" x14ac:dyDescent="0.25">
      <c r="A1283" s="1"/>
      <c r="B1283" s="2" t="s">
        <v>8028</v>
      </c>
      <c r="C1283" s="19" t="s">
        <v>83</v>
      </c>
      <c r="D1283" s="19" t="s">
        <v>2729</v>
      </c>
      <c r="E1283" s="19" t="s">
        <v>2717</v>
      </c>
      <c r="F1283" s="19" t="s">
        <v>2730</v>
      </c>
      <c r="G1283" s="19"/>
      <c r="H1283" s="2" t="s">
        <v>88</v>
      </c>
      <c r="I1283" s="4">
        <v>0</v>
      </c>
      <c r="J1283" s="5">
        <v>710000000</v>
      </c>
      <c r="K1283" s="5" t="s">
        <v>89</v>
      </c>
      <c r="L1283" s="2" t="s">
        <v>754</v>
      </c>
      <c r="M1283" s="6" t="s">
        <v>787</v>
      </c>
      <c r="N1283" s="7" t="s">
        <v>92</v>
      </c>
      <c r="O1283" s="7" t="s">
        <v>93</v>
      </c>
      <c r="P1283" s="3" t="s">
        <v>673</v>
      </c>
      <c r="Q1283" s="8">
        <v>796</v>
      </c>
      <c r="R1283" s="7" t="s">
        <v>118</v>
      </c>
      <c r="S1283" s="9">
        <f>6941+3533+150+30+70+18+1000+850</f>
        <v>12592</v>
      </c>
      <c r="T1283" s="9">
        <v>270.08999999999997</v>
      </c>
      <c r="U1283" s="9">
        <f t="shared" ref="U1283" si="917">T1283*S1283</f>
        <v>3400973.28</v>
      </c>
      <c r="V1283" s="9">
        <f t="shared" ref="V1283" si="918">U1283*1.12</f>
        <v>3809090.0736000002</v>
      </c>
      <c r="W1283" s="7"/>
      <c r="X1283" s="2">
        <v>2016</v>
      </c>
      <c r="Y1283" s="2"/>
    </row>
    <row r="1284" spans="1:25" s="11" customFormat="1" ht="89.25" customHeight="1" outlineLevel="1" x14ac:dyDescent="0.25">
      <c r="A1284" s="1"/>
      <c r="B1284" s="2" t="s">
        <v>6145</v>
      </c>
      <c r="C1284" s="3" t="s">
        <v>83</v>
      </c>
      <c r="D1284" s="19" t="s">
        <v>2731</v>
      </c>
      <c r="E1284" s="19" t="s">
        <v>965</v>
      </c>
      <c r="F1284" s="19" t="s">
        <v>2732</v>
      </c>
      <c r="G1284" s="3" t="s">
        <v>2733</v>
      </c>
      <c r="H1284" s="2" t="s">
        <v>88</v>
      </c>
      <c r="I1284" s="4">
        <v>0.4</v>
      </c>
      <c r="J1284" s="5">
        <v>710000000</v>
      </c>
      <c r="K1284" s="5" t="s">
        <v>89</v>
      </c>
      <c r="L1284" s="2" t="s">
        <v>754</v>
      </c>
      <c r="M1284" s="6" t="s">
        <v>787</v>
      </c>
      <c r="N1284" s="7" t="s">
        <v>92</v>
      </c>
      <c r="O1284" s="7" t="s">
        <v>93</v>
      </c>
      <c r="P1284" s="3" t="s">
        <v>94</v>
      </c>
      <c r="Q1284" s="8">
        <v>796</v>
      </c>
      <c r="R1284" s="7" t="s">
        <v>118</v>
      </c>
      <c r="S1284" s="9">
        <f>10679+8904+30+10</f>
        <v>19623</v>
      </c>
      <c r="T1284" s="9">
        <v>84.38</v>
      </c>
      <c r="U1284" s="9">
        <v>0</v>
      </c>
      <c r="V1284" s="9">
        <f t="shared" si="857"/>
        <v>0</v>
      </c>
      <c r="W1284" s="7" t="s">
        <v>97</v>
      </c>
      <c r="X1284" s="2">
        <v>2016</v>
      </c>
      <c r="Y1284" s="2" t="s">
        <v>7793</v>
      </c>
    </row>
    <row r="1285" spans="1:25" s="11" customFormat="1" ht="89.25" customHeight="1" outlineLevel="1" x14ac:dyDescent="0.25">
      <c r="A1285" s="1"/>
      <c r="B1285" s="2" t="s">
        <v>8029</v>
      </c>
      <c r="C1285" s="3" t="s">
        <v>83</v>
      </c>
      <c r="D1285" s="19" t="s">
        <v>2731</v>
      </c>
      <c r="E1285" s="19" t="s">
        <v>965</v>
      </c>
      <c r="F1285" s="19" t="s">
        <v>2732</v>
      </c>
      <c r="G1285" s="3" t="s">
        <v>2733</v>
      </c>
      <c r="H1285" s="2" t="s">
        <v>88</v>
      </c>
      <c r="I1285" s="4">
        <v>0</v>
      </c>
      <c r="J1285" s="5">
        <v>710000000</v>
      </c>
      <c r="K1285" s="5" t="s">
        <v>89</v>
      </c>
      <c r="L1285" s="2" t="s">
        <v>754</v>
      </c>
      <c r="M1285" s="6" t="s">
        <v>787</v>
      </c>
      <c r="N1285" s="7" t="s">
        <v>92</v>
      </c>
      <c r="O1285" s="7" t="s">
        <v>93</v>
      </c>
      <c r="P1285" s="3" t="s">
        <v>673</v>
      </c>
      <c r="Q1285" s="8">
        <v>796</v>
      </c>
      <c r="R1285" s="7" t="s">
        <v>118</v>
      </c>
      <c r="S1285" s="9">
        <f>10679+8904+30+10</f>
        <v>19623</v>
      </c>
      <c r="T1285" s="9">
        <v>84.38</v>
      </c>
      <c r="U1285" s="9">
        <f t="shared" ref="U1285" si="919">T1285*S1285</f>
        <v>1655788.74</v>
      </c>
      <c r="V1285" s="9">
        <f t="shared" ref="V1285" si="920">U1285*1.12</f>
        <v>1854483.3888000001</v>
      </c>
      <c r="W1285" s="7"/>
      <c r="X1285" s="2">
        <v>2016</v>
      </c>
      <c r="Y1285" s="2"/>
    </row>
    <row r="1286" spans="1:25" s="11" customFormat="1" ht="89.25" customHeight="1" outlineLevel="1" x14ac:dyDescent="0.25">
      <c r="A1286" s="1"/>
      <c r="B1286" s="2" t="s">
        <v>6146</v>
      </c>
      <c r="C1286" s="3" t="s">
        <v>83</v>
      </c>
      <c r="D1286" s="19" t="s">
        <v>2731</v>
      </c>
      <c r="E1286" s="19" t="s">
        <v>965</v>
      </c>
      <c r="F1286" s="19" t="s">
        <v>2732</v>
      </c>
      <c r="G1286" s="3" t="s">
        <v>2734</v>
      </c>
      <c r="H1286" s="2" t="s">
        <v>88</v>
      </c>
      <c r="I1286" s="4">
        <v>0.4</v>
      </c>
      <c r="J1286" s="5">
        <v>710000000</v>
      </c>
      <c r="K1286" s="5" t="s">
        <v>89</v>
      </c>
      <c r="L1286" s="2" t="s">
        <v>754</v>
      </c>
      <c r="M1286" s="6" t="s">
        <v>787</v>
      </c>
      <c r="N1286" s="7" t="s">
        <v>92</v>
      </c>
      <c r="O1286" s="7" t="s">
        <v>93</v>
      </c>
      <c r="P1286" s="3" t="s">
        <v>94</v>
      </c>
      <c r="Q1286" s="8">
        <v>796</v>
      </c>
      <c r="R1286" s="7" t="s">
        <v>118</v>
      </c>
      <c r="S1286" s="9">
        <f>769+797+70+90</f>
        <v>1726</v>
      </c>
      <c r="T1286" s="9">
        <v>84.38</v>
      </c>
      <c r="U1286" s="9">
        <v>0</v>
      </c>
      <c r="V1286" s="9">
        <f t="shared" si="857"/>
        <v>0</v>
      </c>
      <c r="W1286" s="7" t="s">
        <v>97</v>
      </c>
      <c r="X1286" s="2">
        <v>2016</v>
      </c>
      <c r="Y1286" s="2" t="s">
        <v>7793</v>
      </c>
    </row>
    <row r="1287" spans="1:25" s="11" customFormat="1" ht="89.25" customHeight="1" outlineLevel="1" x14ac:dyDescent="0.25">
      <c r="A1287" s="1"/>
      <c r="B1287" s="2" t="s">
        <v>8030</v>
      </c>
      <c r="C1287" s="3" t="s">
        <v>83</v>
      </c>
      <c r="D1287" s="19" t="s">
        <v>2731</v>
      </c>
      <c r="E1287" s="19" t="s">
        <v>965</v>
      </c>
      <c r="F1287" s="19" t="s">
        <v>2732</v>
      </c>
      <c r="G1287" s="3" t="s">
        <v>2734</v>
      </c>
      <c r="H1287" s="2" t="s">
        <v>88</v>
      </c>
      <c r="I1287" s="4">
        <v>0</v>
      </c>
      <c r="J1287" s="5">
        <v>710000000</v>
      </c>
      <c r="K1287" s="5" t="s">
        <v>89</v>
      </c>
      <c r="L1287" s="2" t="s">
        <v>754</v>
      </c>
      <c r="M1287" s="6" t="s">
        <v>787</v>
      </c>
      <c r="N1287" s="7" t="s">
        <v>92</v>
      </c>
      <c r="O1287" s="7" t="s">
        <v>93</v>
      </c>
      <c r="P1287" s="3" t="s">
        <v>673</v>
      </c>
      <c r="Q1287" s="8">
        <v>796</v>
      </c>
      <c r="R1287" s="7" t="s">
        <v>118</v>
      </c>
      <c r="S1287" s="9">
        <f>769+797+70+90</f>
        <v>1726</v>
      </c>
      <c r="T1287" s="9">
        <v>84.38</v>
      </c>
      <c r="U1287" s="9">
        <f t="shared" ref="U1287" si="921">T1287*S1287</f>
        <v>145639.88</v>
      </c>
      <c r="V1287" s="9">
        <f t="shared" ref="V1287" si="922">U1287*1.12</f>
        <v>163116.66560000001</v>
      </c>
      <c r="W1287" s="7"/>
      <c r="X1287" s="2">
        <v>2016</v>
      </c>
      <c r="Y1287" s="2"/>
    </row>
    <row r="1288" spans="1:25" s="11" customFormat="1" ht="89.25" customHeight="1" outlineLevel="1" x14ac:dyDescent="0.25">
      <c r="A1288" s="1"/>
      <c r="B1288" s="2" t="s">
        <v>6147</v>
      </c>
      <c r="C1288" s="3" t="s">
        <v>83</v>
      </c>
      <c r="D1288" s="19" t="s">
        <v>2735</v>
      </c>
      <c r="E1288" s="19" t="s">
        <v>2717</v>
      </c>
      <c r="F1288" s="19" t="s">
        <v>2736</v>
      </c>
      <c r="G1288" s="19"/>
      <c r="H1288" s="2" t="s">
        <v>88</v>
      </c>
      <c r="I1288" s="4">
        <v>0.4</v>
      </c>
      <c r="J1288" s="5">
        <v>710000000</v>
      </c>
      <c r="K1288" s="5" t="s">
        <v>89</v>
      </c>
      <c r="L1288" s="2" t="s">
        <v>754</v>
      </c>
      <c r="M1288" s="6" t="s">
        <v>787</v>
      </c>
      <c r="N1288" s="7" t="s">
        <v>92</v>
      </c>
      <c r="O1288" s="7" t="s">
        <v>93</v>
      </c>
      <c r="P1288" s="3" t="s">
        <v>94</v>
      </c>
      <c r="Q1288" s="8">
        <v>796</v>
      </c>
      <c r="R1288" s="7" t="s">
        <v>118</v>
      </c>
      <c r="S1288" s="9">
        <f>431+474+345+23+70+45+5</f>
        <v>1393</v>
      </c>
      <c r="T1288" s="9">
        <v>258.93</v>
      </c>
      <c r="U1288" s="9">
        <v>0</v>
      </c>
      <c r="V1288" s="9">
        <f t="shared" si="857"/>
        <v>0</v>
      </c>
      <c r="W1288" s="7" t="s">
        <v>97</v>
      </c>
      <c r="X1288" s="2">
        <v>2016</v>
      </c>
      <c r="Y1288" s="2" t="s">
        <v>7793</v>
      </c>
    </row>
    <row r="1289" spans="1:25" s="11" customFormat="1" ht="89.25" customHeight="1" outlineLevel="1" x14ac:dyDescent="0.25">
      <c r="A1289" s="1"/>
      <c r="B1289" s="2" t="s">
        <v>8031</v>
      </c>
      <c r="C1289" s="3" t="s">
        <v>83</v>
      </c>
      <c r="D1289" s="19" t="s">
        <v>2735</v>
      </c>
      <c r="E1289" s="19" t="s">
        <v>2717</v>
      </c>
      <c r="F1289" s="19" t="s">
        <v>2736</v>
      </c>
      <c r="G1289" s="19"/>
      <c r="H1289" s="2" t="s">
        <v>88</v>
      </c>
      <c r="I1289" s="4">
        <v>0</v>
      </c>
      <c r="J1289" s="5">
        <v>710000000</v>
      </c>
      <c r="K1289" s="5" t="s">
        <v>89</v>
      </c>
      <c r="L1289" s="2" t="s">
        <v>754</v>
      </c>
      <c r="M1289" s="6" t="s">
        <v>787</v>
      </c>
      <c r="N1289" s="7" t="s">
        <v>92</v>
      </c>
      <c r="O1289" s="7" t="s">
        <v>93</v>
      </c>
      <c r="P1289" s="3" t="s">
        <v>673</v>
      </c>
      <c r="Q1289" s="8">
        <v>796</v>
      </c>
      <c r="R1289" s="7" t="s">
        <v>118</v>
      </c>
      <c r="S1289" s="9">
        <f>431+474+345+23+70+45+5</f>
        <v>1393</v>
      </c>
      <c r="T1289" s="9">
        <v>258.93</v>
      </c>
      <c r="U1289" s="9">
        <f t="shared" ref="U1289" si="923">T1289*S1289</f>
        <v>360689.49</v>
      </c>
      <c r="V1289" s="9">
        <f t="shared" ref="V1289" si="924">U1289*1.12</f>
        <v>403972.22880000004</v>
      </c>
      <c r="W1289" s="7"/>
      <c r="X1289" s="2">
        <v>2016</v>
      </c>
      <c r="Y1289" s="2"/>
    </row>
    <row r="1290" spans="1:25" s="11" customFormat="1" ht="89.25" customHeight="1" outlineLevel="1" x14ac:dyDescent="0.25">
      <c r="A1290" s="1"/>
      <c r="B1290" s="2" t="s">
        <v>6148</v>
      </c>
      <c r="C1290" s="3" t="s">
        <v>83</v>
      </c>
      <c r="D1290" s="19" t="s">
        <v>2737</v>
      </c>
      <c r="E1290" s="19" t="s">
        <v>2717</v>
      </c>
      <c r="F1290" s="19" t="s">
        <v>2738</v>
      </c>
      <c r="G1290" s="19" t="s">
        <v>2739</v>
      </c>
      <c r="H1290" s="2" t="s">
        <v>88</v>
      </c>
      <c r="I1290" s="4">
        <v>0.4</v>
      </c>
      <c r="J1290" s="5">
        <v>710000000</v>
      </c>
      <c r="K1290" s="5" t="s">
        <v>89</v>
      </c>
      <c r="L1290" s="2" t="s">
        <v>754</v>
      </c>
      <c r="M1290" s="6" t="s">
        <v>787</v>
      </c>
      <c r="N1290" s="7" t="s">
        <v>92</v>
      </c>
      <c r="O1290" s="7" t="s">
        <v>93</v>
      </c>
      <c r="P1290" s="3" t="s">
        <v>94</v>
      </c>
      <c r="Q1290" s="8">
        <v>796</v>
      </c>
      <c r="R1290" s="7" t="s">
        <v>118</v>
      </c>
      <c r="S1290" s="9">
        <v>508</v>
      </c>
      <c r="T1290" s="9">
        <v>602.67999999999995</v>
      </c>
      <c r="U1290" s="9">
        <v>0</v>
      </c>
      <c r="V1290" s="9">
        <f t="shared" si="857"/>
        <v>0</v>
      </c>
      <c r="W1290" s="7" t="s">
        <v>97</v>
      </c>
      <c r="X1290" s="2">
        <v>2016</v>
      </c>
      <c r="Y1290" s="2" t="s">
        <v>7793</v>
      </c>
    </row>
    <row r="1291" spans="1:25" s="11" customFormat="1" ht="89.25" customHeight="1" outlineLevel="1" x14ac:dyDescent="0.25">
      <c r="A1291" s="1"/>
      <c r="B1291" s="2" t="s">
        <v>8032</v>
      </c>
      <c r="C1291" s="3" t="s">
        <v>83</v>
      </c>
      <c r="D1291" s="19" t="s">
        <v>2737</v>
      </c>
      <c r="E1291" s="19" t="s">
        <v>2717</v>
      </c>
      <c r="F1291" s="19" t="s">
        <v>2738</v>
      </c>
      <c r="G1291" s="19" t="s">
        <v>2739</v>
      </c>
      <c r="H1291" s="2" t="s">
        <v>88</v>
      </c>
      <c r="I1291" s="4">
        <v>0</v>
      </c>
      <c r="J1291" s="5">
        <v>710000000</v>
      </c>
      <c r="K1291" s="5" t="s">
        <v>89</v>
      </c>
      <c r="L1291" s="2" t="s">
        <v>754</v>
      </c>
      <c r="M1291" s="6" t="s">
        <v>787</v>
      </c>
      <c r="N1291" s="7" t="s">
        <v>92</v>
      </c>
      <c r="O1291" s="7" t="s">
        <v>93</v>
      </c>
      <c r="P1291" s="3" t="s">
        <v>673</v>
      </c>
      <c r="Q1291" s="8">
        <v>796</v>
      </c>
      <c r="R1291" s="7" t="s">
        <v>118</v>
      </c>
      <c r="S1291" s="9">
        <v>508</v>
      </c>
      <c r="T1291" s="9">
        <v>602.67999999999995</v>
      </c>
      <c r="U1291" s="9">
        <f t="shared" ref="U1291" si="925">T1291*S1291</f>
        <v>306161.44</v>
      </c>
      <c r="V1291" s="9">
        <f t="shared" ref="V1291" si="926">U1291*1.12</f>
        <v>342900.81280000001</v>
      </c>
      <c r="W1291" s="7"/>
      <c r="X1291" s="2">
        <v>2016</v>
      </c>
      <c r="Y1291" s="2"/>
    </row>
    <row r="1292" spans="1:25" s="11" customFormat="1" ht="89.25" customHeight="1" outlineLevel="1" x14ac:dyDescent="0.25">
      <c r="A1292" s="1"/>
      <c r="B1292" s="2" t="s">
        <v>6149</v>
      </c>
      <c r="C1292" s="3" t="s">
        <v>83</v>
      </c>
      <c r="D1292" s="19" t="s">
        <v>2740</v>
      </c>
      <c r="E1292" s="19" t="s">
        <v>2717</v>
      </c>
      <c r="F1292" s="19" t="s">
        <v>2741</v>
      </c>
      <c r="G1292" s="19" t="s">
        <v>2742</v>
      </c>
      <c r="H1292" s="2" t="s">
        <v>88</v>
      </c>
      <c r="I1292" s="4">
        <v>0.4</v>
      </c>
      <c r="J1292" s="5">
        <v>710000000</v>
      </c>
      <c r="K1292" s="5" t="s">
        <v>89</v>
      </c>
      <c r="L1292" s="2" t="s">
        <v>754</v>
      </c>
      <c r="M1292" s="6" t="s">
        <v>787</v>
      </c>
      <c r="N1292" s="7" t="s">
        <v>92</v>
      </c>
      <c r="O1292" s="7" t="s">
        <v>93</v>
      </c>
      <c r="P1292" s="3" t="s">
        <v>94</v>
      </c>
      <c r="Q1292" s="8">
        <v>796</v>
      </c>
      <c r="R1292" s="7" t="s">
        <v>118</v>
      </c>
      <c r="S1292" s="9">
        <v>488</v>
      </c>
      <c r="T1292" s="9">
        <v>901.79</v>
      </c>
      <c r="U1292" s="9">
        <v>0</v>
      </c>
      <c r="V1292" s="9">
        <f t="shared" si="857"/>
        <v>0</v>
      </c>
      <c r="W1292" s="7" t="s">
        <v>97</v>
      </c>
      <c r="X1292" s="2">
        <v>2016</v>
      </c>
      <c r="Y1292" s="2" t="s">
        <v>7793</v>
      </c>
    </row>
    <row r="1293" spans="1:25" s="11" customFormat="1" ht="89.25" customHeight="1" outlineLevel="1" x14ac:dyDescent="0.25">
      <c r="A1293" s="1"/>
      <c r="B1293" s="2" t="s">
        <v>8033</v>
      </c>
      <c r="C1293" s="3" t="s">
        <v>83</v>
      </c>
      <c r="D1293" s="19" t="s">
        <v>2740</v>
      </c>
      <c r="E1293" s="19" t="s">
        <v>2717</v>
      </c>
      <c r="F1293" s="19" t="s">
        <v>2741</v>
      </c>
      <c r="G1293" s="19" t="s">
        <v>2742</v>
      </c>
      <c r="H1293" s="2" t="s">
        <v>88</v>
      </c>
      <c r="I1293" s="4">
        <v>0</v>
      </c>
      <c r="J1293" s="5">
        <v>710000000</v>
      </c>
      <c r="K1293" s="5" t="s">
        <v>89</v>
      </c>
      <c r="L1293" s="2" t="s">
        <v>754</v>
      </c>
      <c r="M1293" s="6" t="s">
        <v>787</v>
      </c>
      <c r="N1293" s="7" t="s">
        <v>92</v>
      </c>
      <c r="O1293" s="7" t="s">
        <v>93</v>
      </c>
      <c r="P1293" s="3" t="s">
        <v>673</v>
      </c>
      <c r="Q1293" s="8">
        <v>796</v>
      </c>
      <c r="R1293" s="7" t="s">
        <v>118</v>
      </c>
      <c r="S1293" s="9">
        <v>488</v>
      </c>
      <c r="T1293" s="9">
        <v>901.79</v>
      </c>
      <c r="U1293" s="9">
        <f t="shared" ref="U1293" si="927">T1293*S1293</f>
        <v>440073.51999999996</v>
      </c>
      <c r="V1293" s="9">
        <f t="shared" ref="V1293" si="928">U1293*1.12</f>
        <v>492882.34240000002</v>
      </c>
      <c r="W1293" s="7"/>
      <c r="X1293" s="2">
        <v>2016</v>
      </c>
      <c r="Y1293" s="2"/>
    </row>
    <row r="1294" spans="1:25" s="11" customFormat="1" ht="89.25" customHeight="1" outlineLevel="1" x14ac:dyDescent="0.25">
      <c r="A1294" s="1"/>
      <c r="B1294" s="2" t="s">
        <v>6150</v>
      </c>
      <c r="C1294" s="3" t="s">
        <v>83</v>
      </c>
      <c r="D1294" s="19" t="s">
        <v>2743</v>
      </c>
      <c r="E1294" s="19" t="s">
        <v>2702</v>
      </c>
      <c r="F1294" s="19" t="s">
        <v>2744</v>
      </c>
      <c r="G1294" s="19" t="s">
        <v>2745</v>
      </c>
      <c r="H1294" s="2" t="s">
        <v>88</v>
      </c>
      <c r="I1294" s="4">
        <v>0.4</v>
      </c>
      <c r="J1294" s="5">
        <v>710000000</v>
      </c>
      <c r="K1294" s="5" t="s">
        <v>89</v>
      </c>
      <c r="L1294" s="2" t="s">
        <v>754</v>
      </c>
      <c r="M1294" s="6" t="s">
        <v>787</v>
      </c>
      <c r="N1294" s="7" t="s">
        <v>92</v>
      </c>
      <c r="O1294" s="7" t="s">
        <v>93</v>
      </c>
      <c r="P1294" s="3" t="s">
        <v>94</v>
      </c>
      <c r="Q1294" s="8">
        <v>796</v>
      </c>
      <c r="R1294" s="7" t="s">
        <v>118</v>
      </c>
      <c r="S1294" s="9">
        <v>1015</v>
      </c>
      <c r="T1294" s="9">
        <v>89.29</v>
      </c>
      <c r="U1294" s="9">
        <v>0</v>
      </c>
      <c r="V1294" s="9">
        <f t="shared" si="857"/>
        <v>0</v>
      </c>
      <c r="W1294" s="7" t="s">
        <v>97</v>
      </c>
      <c r="X1294" s="2">
        <v>2016</v>
      </c>
      <c r="Y1294" s="2" t="s">
        <v>7793</v>
      </c>
    </row>
    <row r="1295" spans="1:25" s="11" customFormat="1" ht="89.25" customHeight="1" outlineLevel="1" x14ac:dyDescent="0.25">
      <c r="A1295" s="1"/>
      <c r="B1295" s="2" t="s">
        <v>8034</v>
      </c>
      <c r="C1295" s="3" t="s">
        <v>83</v>
      </c>
      <c r="D1295" s="19" t="s">
        <v>2743</v>
      </c>
      <c r="E1295" s="19" t="s">
        <v>2702</v>
      </c>
      <c r="F1295" s="19" t="s">
        <v>2744</v>
      </c>
      <c r="G1295" s="19" t="s">
        <v>2745</v>
      </c>
      <c r="H1295" s="2" t="s">
        <v>88</v>
      </c>
      <c r="I1295" s="4">
        <v>0</v>
      </c>
      <c r="J1295" s="5">
        <v>710000000</v>
      </c>
      <c r="K1295" s="5" t="s">
        <v>89</v>
      </c>
      <c r="L1295" s="2" t="s">
        <v>754</v>
      </c>
      <c r="M1295" s="6" t="s">
        <v>787</v>
      </c>
      <c r="N1295" s="7" t="s">
        <v>92</v>
      </c>
      <c r="O1295" s="7" t="s">
        <v>93</v>
      </c>
      <c r="P1295" s="3" t="s">
        <v>673</v>
      </c>
      <c r="Q1295" s="8">
        <v>796</v>
      </c>
      <c r="R1295" s="7" t="s">
        <v>118</v>
      </c>
      <c r="S1295" s="9">
        <v>1015</v>
      </c>
      <c r="T1295" s="9">
        <v>89.29</v>
      </c>
      <c r="U1295" s="9">
        <v>0</v>
      </c>
      <c r="V1295" s="9">
        <f t="shared" ref="V1295" si="929">U1295*1.12</f>
        <v>0</v>
      </c>
      <c r="W1295" s="7"/>
      <c r="X1295" s="2">
        <v>2016</v>
      </c>
      <c r="Y1295" s="2" t="s">
        <v>7460</v>
      </c>
    </row>
    <row r="1296" spans="1:25" s="11" customFormat="1" ht="89.25" customHeight="1" outlineLevel="1" x14ac:dyDescent="0.25">
      <c r="A1296" s="1"/>
      <c r="B1296" s="2" t="s">
        <v>6151</v>
      </c>
      <c r="C1296" s="3" t="s">
        <v>83</v>
      </c>
      <c r="D1296" s="19" t="s">
        <v>2746</v>
      </c>
      <c r="E1296" s="19" t="s">
        <v>2717</v>
      </c>
      <c r="F1296" s="19" t="s">
        <v>2747</v>
      </c>
      <c r="G1296" s="19" t="s">
        <v>2748</v>
      </c>
      <c r="H1296" s="2" t="s">
        <v>88</v>
      </c>
      <c r="I1296" s="4">
        <v>0.4</v>
      </c>
      <c r="J1296" s="5">
        <v>710000000</v>
      </c>
      <c r="K1296" s="5" t="s">
        <v>89</v>
      </c>
      <c r="L1296" s="2" t="s">
        <v>754</v>
      </c>
      <c r="M1296" s="6" t="s">
        <v>787</v>
      </c>
      <c r="N1296" s="7" t="s">
        <v>92</v>
      </c>
      <c r="O1296" s="7" t="s">
        <v>93</v>
      </c>
      <c r="P1296" s="3" t="s">
        <v>94</v>
      </c>
      <c r="Q1296" s="8">
        <v>796</v>
      </c>
      <c r="R1296" s="7" t="s">
        <v>118</v>
      </c>
      <c r="S1296" s="9">
        <v>421</v>
      </c>
      <c r="T1296" s="9">
        <v>665.18</v>
      </c>
      <c r="U1296" s="9">
        <v>0</v>
      </c>
      <c r="V1296" s="9">
        <f t="shared" si="857"/>
        <v>0</v>
      </c>
      <c r="W1296" s="7" t="s">
        <v>97</v>
      </c>
      <c r="X1296" s="2">
        <v>2016</v>
      </c>
      <c r="Y1296" s="2" t="s">
        <v>7793</v>
      </c>
    </row>
    <row r="1297" spans="1:25" s="11" customFormat="1" ht="89.25" customHeight="1" outlineLevel="1" x14ac:dyDescent="0.25">
      <c r="A1297" s="1"/>
      <c r="B1297" s="2" t="s">
        <v>8035</v>
      </c>
      <c r="C1297" s="3" t="s">
        <v>83</v>
      </c>
      <c r="D1297" s="19" t="s">
        <v>2746</v>
      </c>
      <c r="E1297" s="19" t="s">
        <v>2717</v>
      </c>
      <c r="F1297" s="19" t="s">
        <v>2747</v>
      </c>
      <c r="G1297" s="19" t="s">
        <v>2748</v>
      </c>
      <c r="H1297" s="2" t="s">
        <v>88</v>
      </c>
      <c r="I1297" s="4">
        <v>0</v>
      </c>
      <c r="J1297" s="5">
        <v>710000000</v>
      </c>
      <c r="K1297" s="5" t="s">
        <v>89</v>
      </c>
      <c r="L1297" s="2" t="s">
        <v>754</v>
      </c>
      <c r="M1297" s="6" t="s">
        <v>787</v>
      </c>
      <c r="N1297" s="7" t="s">
        <v>92</v>
      </c>
      <c r="O1297" s="7" t="s">
        <v>93</v>
      </c>
      <c r="P1297" s="3" t="s">
        <v>673</v>
      </c>
      <c r="Q1297" s="8">
        <v>796</v>
      </c>
      <c r="R1297" s="7" t="s">
        <v>118</v>
      </c>
      <c r="S1297" s="9">
        <v>421</v>
      </c>
      <c r="T1297" s="9">
        <v>665.18</v>
      </c>
      <c r="U1297" s="9">
        <v>0</v>
      </c>
      <c r="V1297" s="9">
        <f t="shared" ref="V1297" si="930">U1297*1.12</f>
        <v>0</v>
      </c>
      <c r="W1297" s="7"/>
      <c r="X1297" s="2">
        <v>2016</v>
      </c>
      <c r="Y1297" s="2" t="s">
        <v>2338</v>
      </c>
    </row>
    <row r="1298" spans="1:25" s="11" customFormat="1" ht="89.25" customHeight="1" outlineLevel="1" x14ac:dyDescent="0.25">
      <c r="A1298" s="1"/>
      <c r="B1298" s="2" t="s">
        <v>8422</v>
      </c>
      <c r="C1298" s="3" t="s">
        <v>83</v>
      </c>
      <c r="D1298" s="19" t="s">
        <v>2746</v>
      </c>
      <c r="E1298" s="19" t="s">
        <v>2717</v>
      </c>
      <c r="F1298" s="19" t="s">
        <v>2747</v>
      </c>
      <c r="G1298" s="19" t="s">
        <v>2748</v>
      </c>
      <c r="H1298" s="2" t="s">
        <v>88</v>
      </c>
      <c r="I1298" s="4">
        <v>0</v>
      </c>
      <c r="J1298" s="5">
        <v>710000000</v>
      </c>
      <c r="K1298" s="5" t="s">
        <v>89</v>
      </c>
      <c r="L1298" s="2" t="s">
        <v>754</v>
      </c>
      <c r="M1298" s="6" t="s">
        <v>787</v>
      </c>
      <c r="N1298" s="7" t="s">
        <v>92</v>
      </c>
      <c r="O1298" s="7" t="s">
        <v>93</v>
      </c>
      <c r="P1298" s="3" t="s">
        <v>673</v>
      </c>
      <c r="Q1298" s="8">
        <v>796</v>
      </c>
      <c r="R1298" s="7" t="s">
        <v>118</v>
      </c>
      <c r="S1298" s="9">
        <f>421+1358</f>
        <v>1779</v>
      </c>
      <c r="T1298" s="9">
        <v>665.18</v>
      </c>
      <c r="U1298" s="9">
        <f t="shared" ref="U1298" si="931">T1298*S1298</f>
        <v>1183355.22</v>
      </c>
      <c r="V1298" s="9">
        <f t="shared" ref="V1298" si="932">U1298*1.12</f>
        <v>1325357.8464000002</v>
      </c>
      <c r="W1298" s="7"/>
      <c r="X1298" s="2">
        <v>2016</v>
      </c>
      <c r="Y1298" s="2"/>
    </row>
    <row r="1299" spans="1:25" s="11" customFormat="1" ht="89.25" customHeight="1" outlineLevel="1" x14ac:dyDescent="0.25">
      <c r="A1299" s="1"/>
      <c r="B1299" s="2" t="s">
        <v>6152</v>
      </c>
      <c r="C1299" s="19" t="s">
        <v>83</v>
      </c>
      <c r="D1299" s="19" t="s">
        <v>2749</v>
      </c>
      <c r="E1299" s="19" t="s">
        <v>2717</v>
      </c>
      <c r="F1299" s="19" t="s">
        <v>2750</v>
      </c>
      <c r="G1299" s="19" t="s">
        <v>2751</v>
      </c>
      <c r="H1299" s="2" t="s">
        <v>88</v>
      </c>
      <c r="I1299" s="4">
        <v>0.4</v>
      </c>
      <c r="J1299" s="5">
        <v>710000000</v>
      </c>
      <c r="K1299" s="5" t="s">
        <v>89</v>
      </c>
      <c r="L1299" s="2" t="s">
        <v>754</v>
      </c>
      <c r="M1299" s="6" t="s">
        <v>787</v>
      </c>
      <c r="N1299" s="7" t="s">
        <v>92</v>
      </c>
      <c r="O1299" s="7" t="s">
        <v>93</v>
      </c>
      <c r="P1299" s="3" t="s">
        <v>94</v>
      </c>
      <c r="Q1299" s="8">
        <v>796</v>
      </c>
      <c r="R1299" s="7" t="s">
        <v>118</v>
      </c>
      <c r="S1299" s="9">
        <f>200+425</f>
        <v>625</v>
      </c>
      <c r="T1299" s="9">
        <v>1513.4</v>
      </c>
      <c r="U1299" s="9">
        <v>0</v>
      </c>
      <c r="V1299" s="9">
        <f t="shared" si="857"/>
        <v>0</v>
      </c>
      <c r="W1299" s="7" t="s">
        <v>97</v>
      </c>
      <c r="X1299" s="2">
        <v>2016</v>
      </c>
      <c r="Y1299" s="2" t="s">
        <v>7793</v>
      </c>
    </row>
    <row r="1300" spans="1:25" s="11" customFormat="1" ht="89.25" customHeight="1" outlineLevel="1" x14ac:dyDescent="0.25">
      <c r="A1300" s="1"/>
      <c r="B1300" s="2" t="s">
        <v>8036</v>
      </c>
      <c r="C1300" s="19" t="s">
        <v>83</v>
      </c>
      <c r="D1300" s="19" t="s">
        <v>2749</v>
      </c>
      <c r="E1300" s="19" t="s">
        <v>2717</v>
      </c>
      <c r="F1300" s="19" t="s">
        <v>2750</v>
      </c>
      <c r="G1300" s="19" t="s">
        <v>2751</v>
      </c>
      <c r="H1300" s="2" t="s">
        <v>88</v>
      </c>
      <c r="I1300" s="4">
        <v>0</v>
      </c>
      <c r="J1300" s="5">
        <v>710000000</v>
      </c>
      <c r="K1300" s="5" t="s">
        <v>89</v>
      </c>
      <c r="L1300" s="2" t="s">
        <v>754</v>
      </c>
      <c r="M1300" s="6" t="s">
        <v>787</v>
      </c>
      <c r="N1300" s="7" t="s">
        <v>92</v>
      </c>
      <c r="O1300" s="7" t="s">
        <v>93</v>
      </c>
      <c r="P1300" s="3" t="s">
        <v>673</v>
      </c>
      <c r="Q1300" s="8">
        <v>796</v>
      </c>
      <c r="R1300" s="7" t="s">
        <v>118</v>
      </c>
      <c r="S1300" s="9">
        <f>200+425</f>
        <v>625</v>
      </c>
      <c r="T1300" s="9">
        <v>1513.4</v>
      </c>
      <c r="U1300" s="9">
        <f t="shared" ref="U1300" si="933">T1300*S1300</f>
        <v>945875</v>
      </c>
      <c r="V1300" s="9">
        <f t="shared" ref="V1300" si="934">U1300*1.12</f>
        <v>1059380</v>
      </c>
      <c r="W1300" s="7"/>
      <c r="X1300" s="2">
        <v>2016</v>
      </c>
      <c r="Y1300" s="2"/>
    </row>
    <row r="1301" spans="1:25" s="11" customFormat="1" ht="89.25" customHeight="1" outlineLevel="1" x14ac:dyDescent="0.25">
      <c r="A1301" s="1"/>
      <c r="B1301" s="2" t="s">
        <v>6153</v>
      </c>
      <c r="C1301" s="19" t="s">
        <v>83</v>
      </c>
      <c r="D1301" s="19" t="s">
        <v>2752</v>
      </c>
      <c r="E1301" s="19" t="s">
        <v>2717</v>
      </c>
      <c r="F1301" s="19" t="s">
        <v>2753</v>
      </c>
      <c r="G1301" s="19"/>
      <c r="H1301" s="2" t="s">
        <v>88</v>
      </c>
      <c r="I1301" s="4">
        <v>0.4</v>
      </c>
      <c r="J1301" s="5">
        <v>710000000</v>
      </c>
      <c r="K1301" s="5" t="s">
        <v>89</v>
      </c>
      <c r="L1301" s="2" t="s">
        <v>754</v>
      </c>
      <c r="M1301" s="6" t="s">
        <v>787</v>
      </c>
      <c r="N1301" s="7" t="s">
        <v>92</v>
      </c>
      <c r="O1301" s="7" t="s">
        <v>93</v>
      </c>
      <c r="P1301" s="3" t="s">
        <v>94</v>
      </c>
      <c r="Q1301" s="8">
        <v>796</v>
      </c>
      <c r="R1301" s="7" t="s">
        <v>118</v>
      </c>
      <c r="S1301" s="9">
        <v>263</v>
      </c>
      <c r="T1301" s="9">
        <v>1026.79</v>
      </c>
      <c r="U1301" s="9">
        <v>0</v>
      </c>
      <c r="V1301" s="9">
        <f t="shared" si="857"/>
        <v>0</v>
      </c>
      <c r="W1301" s="7" t="s">
        <v>97</v>
      </c>
      <c r="X1301" s="2">
        <v>2016</v>
      </c>
      <c r="Y1301" s="2" t="s">
        <v>7793</v>
      </c>
    </row>
    <row r="1302" spans="1:25" s="11" customFormat="1" ht="89.25" customHeight="1" outlineLevel="1" x14ac:dyDescent="0.25">
      <c r="A1302" s="1"/>
      <c r="B1302" s="2" t="s">
        <v>8037</v>
      </c>
      <c r="C1302" s="19" t="s">
        <v>83</v>
      </c>
      <c r="D1302" s="19" t="s">
        <v>2752</v>
      </c>
      <c r="E1302" s="19" t="s">
        <v>2717</v>
      </c>
      <c r="F1302" s="19" t="s">
        <v>2753</v>
      </c>
      <c r="G1302" s="19"/>
      <c r="H1302" s="2" t="s">
        <v>88</v>
      </c>
      <c r="I1302" s="4">
        <v>0</v>
      </c>
      <c r="J1302" s="5">
        <v>710000000</v>
      </c>
      <c r="K1302" s="5" t="s">
        <v>89</v>
      </c>
      <c r="L1302" s="2" t="s">
        <v>754</v>
      </c>
      <c r="M1302" s="6" t="s">
        <v>787</v>
      </c>
      <c r="N1302" s="7" t="s">
        <v>92</v>
      </c>
      <c r="O1302" s="7" t="s">
        <v>93</v>
      </c>
      <c r="P1302" s="3" t="s">
        <v>673</v>
      </c>
      <c r="Q1302" s="8">
        <v>796</v>
      </c>
      <c r="R1302" s="7" t="s">
        <v>118</v>
      </c>
      <c r="S1302" s="9">
        <v>263</v>
      </c>
      <c r="T1302" s="9">
        <v>1026.79</v>
      </c>
      <c r="U1302" s="9">
        <v>0</v>
      </c>
      <c r="V1302" s="9">
        <f t="shared" ref="V1302" si="935">U1302*1.12</f>
        <v>0</v>
      </c>
      <c r="W1302" s="7"/>
      <c r="X1302" s="2">
        <v>2016</v>
      </c>
      <c r="Y1302" s="2" t="s">
        <v>2338</v>
      </c>
    </row>
    <row r="1303" spans="1:25" s="11" customFormat="1" ht="89.25" customHeight="1" outlineLevel="1" x14ac:dyDescent="0.25">
      <c r="A1303" s="1"/>
      <c r="B1303" s="2" t="s">
        <v>8421</v>
      </c>
      <c r="C1303" s="19" t="s">
        <v>83</v>
      </c>
      <c r="D1303" s="19" t="s">
        <v>2752</v>
      </c>
      <c r="E1303" s="19" t="s">
        <v>2717</v>
      </c>
      <c r="F1303" s="19" t="s">
        <v>2753</v>
      </c>
      <c r="G1303" s="19"/>
      <c r="H1303" s="2" t="s">
        <v>88</v>
      </c>
      <c r="I1303" s="4">
        <v>0</v>
      </c>
      <c r="J1303" s="5">
        <v>710000000</v>
      </c>
      <c r="K1303" s="5" t="s">
        <v>89</v>
      </c>
      <c r="L1303" s="2" t="s">
        <v>754</v>
      </c>
      <c r="M1303" s="6" t="s">
        <v>787</v>
      </c>
      <c r="N1303" s="7" t="s">
        <v>92</v>
      </c>
      <c r="O1303" s="7" t="s">
        <v>93</v>
      </c>
      <c r="P1303" s="3" t="s">
        <v>673</v>
      </c>
      <c r="Q1303" s="8">
        <v>796</v>
      </c>
      <c r="R1303" s="7" t="s">
        <v>118</v>
      </c>
      <c r="S1303" s="9">
        <f>263+397</f>
        <v>660</v>
      </c>
      <c r="T1303" s="9">
        <v>1026.79</v>
      </c>
      <c r="U1303" s="9">
        <f t="shared" ref="U1303" si="936">T1303*S1303</f>
        <v>677681.4</v>
      </c>
      <c r="V1303" s="9">
        <f t="shared" ref="V1303" si="937">U1303*1.12</f>
        <v>759003.16800000006</v>
      </c>
      <c r="W1303" s="7"/>
      <c r="X1303" s="2">
        <v>2016</v>
      </c>
      <c r="Y1303" s="2"/>
    </row>
    <row r="1304" spans="1:25" s="11" customFormat="1" ht="89.25" customHeight="1" outlineLevel="1" x14ac:dyDescent="0.25">
      <c r="A1304" s="1"/>
      <c r="B1304" s="2" t="s">
        <v>6154</v>
      </c>
      <c r="C1304" s="19" t="s">
        <v>83</v>
      </c>
      <c r="D1304" s="19" t="s">
        <v>2754</v>
      </c>
      <c r="E1304" s="19" t="s">
        <v>2717</v>
      </c>
      <c r="F1304" s="19" t="s">
        <v>2755</v>
      </c>
      <c r="G1304" s="19"/>
      <c r="H1304" s="2" t="s">
        <v>88</v>
      </c>
      <c r="I1304" s="4">
        <v>0.4</v>
      </c>
      <c r="J1304" s="5">
        <v>710000000</v>
      </c>
      <c r="K1304" s="5" t="s">
        <v>89</v>
      </c>
      <c r="L1304" s="2" t="s">
        <v>754</v>
      </c>
      <c r="M1304" s="6" t="s">
        <v>787</v>
      </c>
      <c r="N1304" s="7" t="s">
        <v>92</v>
      </c>
      <c r="O1304" s="7" t="s">
        <v>93</v>
      </c>
      <c r="P1304" s="3" t="s">
        <v>94</v>
      </c>
      <c r="Q1304" s="8">
        <v>796</v>
      </c>
      <c r="R1304" s="7" t="s">
        <v>118</v>
      </c>
      <c r="S1304" s="9">
        <v>96</v>
      </c>
      <c r="T1304" s="9">
        <v>2017.87</v>
      </c>
      <c r="U1304" s="9">
        <v>0</v>
      </c>
      <c r="V1304" s="9">
        <f t="shared" si="857"/>
        <v>0</v>
      </c>
      <c r="W1304" s="7" t="s">
        <v>97</v>
      </c>
      <c r="X1304" s="2">
        <v>2016</v>
      </c>
      <c r="Y1304" s="2" t="s">
        <v>7793</v>
      </c>
    </row>
    <row r="1305" spans="1:25" s="11" customFormat="1" ht="89.25" customHeight="1" outlineLevel="1" x14ac:dyDescent="0.25">
      <c r="A1305" s="1"/>
      <c r="B1305" s="2" t="s">
        <v>8038</v>
      </c>
      <c r="C1305" s="19" t="s">
        <v>83</v>
      </c>
      <c r="D1305" s="19" t="s">
        <v>2754</v>
      </c>
      <c r="E1305" s="19" t="s">
        <v>2717</v>
      </c>
      <c r="F1305" s="19" t="s">
        <v>2755</v>
      </c>
      <c r="G1305" s="19"/>
      <c r="H1305" s="2" t="s">
        <v>88</v>
      </c>
      <c r="I1305" s="4">
        <v>0</v>
      </c>
      <c r="J1305" s="5">
        <v>710000000</v>
      </c>
      <c r="K1305" s="5" t="s">
        <v>89</v>
      </c>
      <c r="L1305" s="2" t="s">
        <v>754</v>
      </c>
      <c r="M1305" s="6" t="s">
        <v>787</v>
      </c>
      <c r="N1305" s="7" t="s">
        <v>92</v>
      </c>
      <c r="O1305" s="7" t="s">
        <v>93</v>
      </c>
      <c r="P1305" s="3" t="s">
        <v>673</v>
      </c>
      <c r="Q1305" s="8">
        <v>796</v>
      </c>
      <c r="R1305" s="7" t="s">
        <v>118</v>
      </c>
      <c r="S1305" s="9">
        <v>96</v>
      </c>
      <c r="T1305" s="9">
        <v>2017.87</v>
      </c>
      <c r="U1305" s="9">
        <f t="shared" ref="U1305" si="938">T1305*S1305</f>
        <v>193715.52</v>
      </c>
      <c r="V1305" s="9">
        <f t="shared" ref="V1305" si="939">U1305*1.12</f>
        <v>216961.3824</v>
      </c>
      <c r="W1305" s="7"/>
      <c r="X1305" s="2">
        <v>2016</v>
      </c>
      <c r="Y1305" s="2"/>
    </row>
    <row r="1306" spans="1:25" s="11" customFormat="1" ht="89.25" customHeight="1" outlineLevel="1" x14ac:dyDescent="0.25">
      <c r="A1306" s="1"/>
      <c r="B1306" s="2" t="s">
        <v>6155</v>
      </c>
      <c r="C1306" s="3" t="s">
        <v>83</v>
      </c>
      <c r="D1306" s="19" t="s">
        <v>2756</v>
      </c>
      <c r="E1306" s="19" t="s">
        <v>2757</v>
      </c>
      <c r="F1306" s="19" t="s">
        <v>2758</v>
      </c>
      <c r="G1306" s="19" t="s">
        <v>2759</v>
      </c>
      <c r="H1306" s="2" t="s">
        <v>88</v>
      </c>
      <c r="I1306" s="4">
        <v>0.4</v>
      </c>
      <c r="J1306" s="5">
        <v>710000000</v>
      </c>
      <c r="K1306" s="5" t="s">
        <v>89</v>
      </c>
      <c r="L1306" s="2" t="s">
        <v>754</v>
      </c>
      <c r="M1306" s="6" t="s">
        <v>787</v>
      </c>
      <c r="N1306" s="7" t="s">
        <v>92</v>
      </c>
      <c r="O1306" s="7" t="s">
        <v>93</v>
      </c>
      <c r="P1306" s="3" t="s">
        <v>94</v>
      </c>
      <c r="Q1306" s="8">
        <v>796</v>
      </c>
      <c r="R1306" s="7" t="s">
        <v>118</v>
      </c>
      <c r="S1306" s="9">
        <f>214+120+5</f>
        <v>339</v>
      </c>
      <c r="T1306" s="9">
        <v>1256.7</v>
      </c>
      <c r="U1306" s="9">
        <v>0</v>
      </c>
      <c r="V1306" s="9">
        <f t="shared" si="857"/>
        <v>0</v>
      </c>
      <c r="W1306" s="7" t="s">
        <v>97</v>
      </c>
      <c r="X1306" s="2">
        <v>2016</v>
      </c>
      <c r="Y1306" s="2" t="s">
        <v>7793</v>
      </c>
    </row>
    <row r="1307" spans="1:25" s="11" customFormat="1" ht="89.25" customHeight="1" outlineLevel="1" x14ac:dyDescent="0.25">
      <c r="A1307" s="1"/>
      <c r="B1307" s="2" t="s">
        <v>8039</v>
      </c>
      <c r="C1307" s="3" t="s">
        <v>83</v>
      </c>
      <c r="D1307" s="19" t="s">
        <v>2756</v>
      </c>
      <c r="E1307" s="19" t="s">
        <v>2757</v>
      </c>
      <c r="F1307" s="19" t="s">
        <v>2758</v>
      </c>
      <c r="G1307" s="19" t="s">
        <v>2759</v>
      </c>
      <c r="H1307" s="2" t="s">
        <v>88</v>
      </c>
      <c r="I1307" s="4">
        <v>0</v>
      </c>
      <c r="J1307" s="5">
        <v>710000000</v>
      </c>
      <c r="K1307" s="5" t="s">
        <v>89</v>
      </c>
      <c r="L1307" s="2" t="s">
        <v>754</v>
      </c>
      <c r="M1307" s="6" t="s">
        <v>787</v>
      </c>
      <c r="N1307" s="7" t="s">
        <v>92</v>
      </c>
      <c r="O1307" s="7" t="s">
        <v>93</v>
      </c>
      <c r="P1307" s="3" t="s">
        <v>673</v>
      </c>
      <c r="Q1307" s="8">
        <v>796</v>
      </c>
      <c r="R1307" s="7" t="s">
        <v>118</v>
      </c>
      <c r="S1307" s="9">
        <f>214+120+5</f>
        <v>339</v>
      </c>
      <c r="T1307" s="9">
        <v>1256.7</v>
      </c>
      <c r="U1307" s="9">
        <f t="shared" ref="U1307" si="940">T1307*S1307</f>
        <v>426021.3</v>
      </c>
      <c r="V1307" s="9">
        <f t="shared" ref="V1307" si="941">U1307*1.12</f>
        <v>477143.85600000003</v>
      </c>
      <c r="W1307" s="7"/>
      <c r="X1307" s="2">
        <v>2016</v>
      </c>
      <c r="Y1307" s="2"/>
    </row>
    <row r="1308" spans="1:25" s="11" customFormat="1" ht="89.25" customHeight="1" outlineLevel="1" x14ac:dyDescent="0.25">
      <c r="A1308" s="1"/>
      <c r="B1308" s="2" t="s">
        <v>6156</v>
      </c>
      <c r="C1308" s="3" t="s">
        <v>83</v>
      </c>
      <c r="D1308" s="19" t="s">
        <v>2756</v>
      </c>
      <c r="E1308" s="19" t="s">
        <v>2757</v>
      </c>
      <c r="F1308" s="19" t="s">
        <v>2758</v>
      </c>
      <c r="G1308" s="19" t="s">
        <v>2760</v>
      </c>
      <c r="H1308" s="2" t="s">
        <v>88</v>
      </c>
      <c r="I1308" s="4">
        <v>0.4</v>
      </c>
      <c r="J1308" s="5">
        <v>710000000</v>
      </c>
      <c r="K1308" s="5" t="s">
        <v>89</v>
      </c>
      <c r="L1308" s="2" t="s">
        <v>754</v>
      </c>
      <c r="M1308" s="6" t="s">
        <v>787</v>
      </c>
      <c r="N1308" s="7" t="s">
        <v>92</v>
      </c>
      <c r="O1308" s="7" t="s">
        <v>93</v>
      </c>
      <c r="P1308" s="3" t="s">
        <v>94</v>
      </c>
      <c r="Q1308" s="8">
        <v>796</v>
      </c>
      <c r="R1308" s="7" t="s">
        <v>118</v>
      </c>
      <c r="S1308" s="9">
        <v>104</v>
      </c>
      <c r="T1308" s="9">
        <v>1765.63</v>
      </c>
      <c r="U1308" s="9">
        <v>0</v>
      </c>
      <c r="V1308" s="9">
        <f t="shared" si="857"/>
        <v>0</v>
      </c>
      <c r="W1308" s="7" t="s">
        <v>97</v>
      </c>
      <c r="X1308" s="2">
        <v>2016</v>
      </c>
      <c r="Y1308" s="2" t="s">
        <v>7793</v>
      </c>
    </row>
    <row r="1309" spans="1:25" s="11" customFormat="1" ht="89.25" customHeight="1" outlineLevel="1" x14ac:dyDescent="0.25">
      <c r="A1309" s="1"/>
      <c r="B1309" s="2" t="s">
        <v>8040</v>
      </c>
      <c r="C1309" s="3" t="s">
        <v>83</v>
      </c>
      <c r="D1309" s="19" t="s">
        <v>2756</v>
      </c>
      <c r="E1309" s="19" t="s">
        <v>2757</v>
      </c>
      <c r="F1309" s="19" t="s">
        <v>2758</v>
      </c>
      <c r="G1309" s="19" t="s">
        <v>2760</v>
      </c>
      <c r="H1309" s="2" t="s">
        <v>88</v>
      </c>
      <c r="I1309" s="4">
        <v>0</v>
      </c>
      <c r="J1309" s="5">
        <v>710000000</v>
      </c>
      <c r="K1309" s="5" t="s">
        <v>89</v>
      </c>
      <c r="L1309" s="2" t="s">
        <v>754</v>
      </c>
      <c r="M1309" s="6" t="s">
        <v>787</v>
      </c>
      <c r="N1309" s="7" t="s">
        <v>92</v>
      </c>
      <c r="O1309" s="7" t="s">
        <v>93</v>
      </c>
      <c r="P1309" s="3" t="s">
        <v>673</v>
      </c>
      <c r="Q1309" s="8">
        <v>796</v>
      </c>
      <c r="R1309" s="7" t="s">
        <v>118</v>
      </c>
      <c r="S1309" s="9">
        <v>104</v>
      </c>
      <c r="T1309" s="9">
        <v>1765.63</v>
      </c>
      <c r="U1309" s="9">
        <f t="shared" ref="U1309" si="942">T1309*S1309</f>
        <v>183625.52000000002</v>
      </c>
      <c r="V1309" s="9">
        <f t="shared" ref="V1309" si="943">U1309*1.12</f>
        <v>205660.58240000004</v>
      </c>
      <c r="W1309" s="7"/>
      <c r="X1309" s="2">
        <v>2016</v>
      </c>
      <c r="Y1309" s="2"/>
    </row>
    <row r="1310" spans="1:25" s="11" customFormat="1" ht="89.25" customHeight="1" outlineLevel="1" x14ac:dyDescent="0.25">
      <c r="A1310" s="1"/>
      <c r="B1310" s="2" t="s">
        <v>6157</v>
      </c>
      <c r="C1310" s="3" t="s">
        <v>83</v>
      </c>
      <c r="D1310" s="19" t="s">
        <v>2756</v>
      </c>
      <c r="E1310" s="19" t="s">
        <v>2757</v>
      </c>
      <c r="F1310" s="19" t="s">
        <v>2758</v>
      </c>
      <c r="G1310" s="19" t="s">
        <v>2761</v>
      </c>
      <c r="H1310" s="2" t="s">
        <v>88</v>
      </c>
      <c r="I1310" s="4">
        <v>0.4</v>
      </c>
      <c r="J1310" s="5">
        <v>710000000</v>
      </c>
      <c r="K1310" s="5" t="s">
        <v>89</v>
      </c>
      <c r="L1310" s="2" t="s">
        <v>754</v>
      </c>
      <c r="M1310" s="6" t="s">
        <v>787</v>
      </c>
      <c r="N1310" s="7" t="s">
        <v>92</v>
      </c>
      <c r="O1310" s="7" t="s">
        <v>93</v>
      </c>
      <c r="P1310" s="3" t="s">
        <v>94</v>
      </c>
      <c r="Q1310" s="8">
        <v>796</v>
      </c>
      <c r="R1310" s="7" t="s">
        <v>118</v>
      </c>
      <c r="S1310" s="9">
        <f>15+357+1</f>
        <v>373</v>
      </c>
      <c r="T1310" s="9">
        <v>1116.07</v>
      </c>
      <c r="U1310" s="9">
        <v>0</v>
      </c>
      <c r="V1310" s="9">
        <f t="shared" si="857"/>
        <v>0</v>
      </c>
      <c r="W1310" s="7" t="s">
        <v>97</v>
      </c>
      <c r="X1310" s="2">
        <v>2016</v>
      </c>
      <c r="Y1310" s="2" t="s">
        <v>7793</v>
      </c>
    </row>
    <row r="1311" spans="1:25" s="11" customFormat="1" ht="89.25" customHeight="1" outlineLevel="1" x14ac:dyDescent="0.25">
      <c r="A1311" s="1"/>
      <c r="B1311" s="2" t="s">
        <v>8041</v>
      </c>
      <c r="C1311" s="3" t="s">
        <v>83</v>
      </c>
      <c r="D1311" s="19" t="s">
        <v>2756</v>
      </c>
      <c r="E1311" s="19" t="s">
        <v>2757</v>
      </c>
      <c r="F1311" s="19" t="s">
        <v>2758</v>
      </c>
      <c r="G1311" s="19" t="s">
        <v>2761</v>
      </c>
      <c r="H1311" s="2" t="s">
        <v>88</v>
      </c>
      <c r="I1311" s="4">
        <v>0</v>
      </c>
      <c r="J1311" s="5">
        <v>710000000</v>
      </c>
      <c r="K1311" s="5" t="s">
        <v>89</v>
      </c>
      <c r="L1311" s="2" t="s">
        <v>754</v>
      </c>
      <c r="M1311" s="6" t="s">
        <v>787</v>
      </c>
      <c r="N1311" s="7" t="s">
        <v>92</v>
      </c>
      <c r="O1311" s="7" t="s">
        <v>93</v>
      </c>
      <c r="P1311" s="3" t="s">
        <v>673</v>
      </c>
      <c r="Q1311" s="8">
        <v>796</v>
      </c>
      <c r="R1311" s="7" t="s">
        <v>118</v>
      </c>
      <c r="S1311" s="9">
        <f>15+357+1</f>
        <v>373</v>
      </c>
      <c r="T1311" s="9">
        <v>1116.07</v>
      </c>
      <c r="U1311" s="9">
        <f t="shared" ref="U1311" si="944">T1311*S1311</f>
        <v>416294.11</v>
      </c>
      <c r="V1311" s="9">
        <f t="shared" ref="V1311" si="945">U1311*1.12</f>
        <v>466249.4032</v>
      </c>
      <c r="W1311" s="7"/>
      <c r="X1311" s="2">
        <v>2016</v>
      </c>
      <c r="Y1311" s="2"/>
    </row>
    <row r="1312" spans="1:25" s="11" customFormat="1" ht="89.25" customHeight="1" outlineLevel="1" x14ac:dyDescent="0.25">
      <c r="A1312" s="1"/>
      <c r="B1312" s="2" t="s">
        <v>6158</v>
      </c>
      <c r="C1312" s="3" t="s">
        <v>83</v>
      </c>
      <c r="D1312" s="19" t="s">
        <v>2762</v>
      </c>
      <c r="E1312" s="19" t="s">
        <v>2763</v>
      </c>
      <c r="F1312" s="19" t="s">
        <v>2764</v>
      </c>
      <c r="G1312" s="19" t="s">
        <v>2765</v>
      </c>
      <c r="H1312" s="2" t="s">
        <v>88</v>
      </c>
      <c r="I1312" s="4">
        <v>0.4</v>
      </c>
      <c r="J1312" s="5">
        <v>710000000</v>
      </c>
      <c r="K1312" s="5" t="s">
        <v>89</v>
      </c>
      <c r="L1312" s="2" t="s">
        <v>754</v>
      </c>
      <c r="M1312" s="6" t="s">
        <v>787</v>
      </c>
      <c r="N1312" s="7" t="s">
        <v>92</v>
      </c>
      <c r="O1312" s="7" t="s">
        <v>93</v>
      </c>
      <c r="P1312" s="3" t="s">
        <v>94</v>
      </c>
      <c r="Q1312" s="8">
        <v>796</v>
      </c>
      <c r="R1312" s="7" t="s">
        <v>118</v>
      </c>
      <c r="S1312" s="9">
        <f>445+71+21</f>
        <v>537</v>
      </c>
      <c r="T1312" s="9">
        <v>10227.68</v>
      </c>
      <c r="U1312" s="9">
        <v>0</v>
      </c>
      <c r="V1312" s="9">
        <f t="shared" si="857"/>
        <v>0</v>
      </c>
      <c r="W1312" s="7" t="s">
        <v>97</v>
      </c>
      <c r="X1312" s="2">
        <v>2016</v>
      </c>
      <c r="Y1312" s="2" t="s">
        <v>7793</v>
      </c>
    </row>
    <row r="1313" spans="1:25" s="11" customFormat="1" ht="89.25" customHeight="1" outlineLevel="1" x14ac:dyDescent="0.25">
      <c r="A1313" s="1"/>
      <c r="B1313" s="2" t="s">
        <v>8042</v>
      </c>
      <c r="C1313" s="3" t="s">
        <v>83</v>
      </c>
      <c r="D1313" s="19" t="s">
        <v>2762</v>
      </c>
      <c r="E1313" s="19" t="s">
        <v>2763</v>
      </c>
      <c r="F1313" s="19" t="s">
        <v>2764</v>
      </c>
      <c r="G1313" s="19" t="s">
        <v>2765</v>
      </c>
      <c r="H1313" s="2" t="s">
        <v>88</v>
      </c>
      <c r="I1313" s="4">
        <v>0</v>
      </c>
      <c r="J1313" s="5">
        <v>710000000</v>
      </c>
      <c r="K1313" s="5" t="s">
        <v>89</v>
      </c>
      <c r="L1313" s="2" t="s">
        <v>754</v>
      </c>
      <c r="M1313" s="6" t="s">
        <v>787</v>
      </c>
      <c r="N1313" s="7" t="s">
        <v>92</v>
      </c>
      <c r="O1313" s="7" t="s">
        <v>93</v>
      </c>
      <c r="P1313" s="3" t="s">
        <v>8044</v>
      </c>
      <c r="Q1313" s="8">
        <v>796</v>
      </c>
      <c r="R1313" s="7" t="s">
        <v>118</v>
      </c>
      <c r="S1313" s="9">
        <f>445+71+21</f>
        <v>537</v>
      </c>
      <c r="T1313" s="9">
        <v>10227.68</v>
      </c>
      <c r="U1313" s="9">
        <f t="shared" ref="U1313" si="946">T1313*S1313</f>
        <v>5492264.1600000001</v>
      </c>
      <c r="V1313" s="9">
        <f t="shared" ref="V1313" si="947">U1313*1.12</f>
        <v>6151335.8592000008</v>
      </c>
      <c r="W1313" s="7"/>
      <c r="X1313" s="2">
        <v>2016</v>
      </c>
      <c r="Y1313" s="2"/>
    </row>
    <row r="1314" spans="1:25" s="11" customFormat="1" ht="89.25" customHeight="1" outlineLevel="1" x14ac:dyDescent="0.25">
      <c r="A1314" s="1"/>
      <c r="B1314" s="2" t="s">
        <v>6159</v>
      </c>
      <c r="C1314" s="3" t="s">
        <v>83</v>
      </c>
      <c r="D1314" s="19" t="s">
        <v>2766</v>
      </c>
      <c r="E1314" s="19" t="s">
        <v>2767</v>
      </c>
      <c r="F1314" s="19" t="s">
        <v>2768</v>
      </c>
      <c r="G1314" s="19" t="s">
        <v>2769</v>
      </c>
      <c r="H1314" s="2" t="s">
        <v>88</v>
      </c>
      <c r="I1314" s="4">
        <v>0.4</v>
      </c>
      <c r="J1314" s="5">
        <v>710000000</v>
      </c>
      <c r="K1314" s="5" t="s">
        <v>89</v>
      </c>
      <c r="L1314" s="2" t="s">
        <v>754</v>
      </c>
      <c r="M1314" s="6" t="s">
        <v>787</v>
      </c>
      <c r="N1314" s="7" t="s">
        <v>92</v>
      </c>
      <c r="O1314" s="7" t="s">
        <v>93</v>
      </c>
      <c r="P1314" s="3" t="s">
        <v>94</v>
      </c>
      <c r="Q1314" s="8">
        <v>796</v>
      </c>
      <c r="R1314" s="7" t="s">
        <v>118</v>
      </c>
      <c r="S1314" s="9">
        <v>2000</v>
      </c>
      <c r="T1314" s="9">
        <v>2017.86</v>
      </c>
      <c r="U1314" s="9">
        <v>0</v>
      </c>
      <c r="V1314" s="9">
        <f t="shared" si="857"/>
        <v>0</v>
      </c>
      <c r="W1314" s="7" t="s">
        <v>97</v>
      </c>
      <c r="X1314" s="2">
        <v>2016</v>
      </c>
      <c r="Y1314" s="2" t="s">
        <v>7793</v>
      </c>
    </row>
    <row r="1315" spans="1:25" s="11" customFormat="1" ht="89.25" customHeight="1" outlineLevel="1" x14ac:dyDescent="0.25">
      <c r="A1315" s="1"/>
      <c r="B1315" s="2" t="s">
        <v>8043</v>
      </c>
      <c r="C1315" s="3" t="s">
        <v>83</v>
      </c>
      <c r="D1315" s="19" t="s">
        <v>2766</v>
      </c>
      <c r="E1315" s="19" t="s">
        <v>2767</v>
      </c>
      <c r="F1315" s="19" t="s">
        <v>2768</v>
      </c>
      <c r="G1315" s="19" t="s">
        <v>2769</v>
      </c>
      <c r="H1315" s="2" t="s">
        <v>88</v>
      </c>
      <c r="I1315" s="4">
        <v>0</v>
      </c>
      <c r="J1315" s="5">
        <v>710000000</v>
      </c>
      <c r="K1315" s="5" t="s">
        <v>89</v>
      </c>
      <c r="L1315" s="2" t="s">
        <v>754</v>
      </c>
      <c r="M1315" s="6" t="s">
        <v>787</v>
      </c>
      <c r="N1315" s="7" t="s">
        <v>92</v>
      </c>
      <c r="O1315" s="7" t="s">
        <v>93</v>
      </c>
      <c r="P1315" s="3" t="s">
        <v>673</v>
      </c>
      <c r="Q1315" s="8">
        <v>796</v>
      </c>
      <c r="R1315" s="7" t="s">
        <v>118</v>
      </c>
      <c r="S1315" s="9">
        <v>2000</v>
      </c>
      <c r="T1315" s="9">
        <v>2017.86</v>
      </c>
      <c r="U1315" s="9">
        <v>0</v>
      </c>
      <c r="V1315" s="9">
        <f t="shared" ref="V1315:V1316" si="948">U1315*1.12</f>
        <v>0</v>
      </c>
      <c r="W1315" s="7"/>
      <c r="X1315" s="2">
        <v>2016</v>
      </c>
      <c r="Y1315" s="2" t="s">
        <v>8409</v>
      </c>
    </row>
    <row r="1316" spans="1:25" s="11" customFormat="1" ht="89.25" customHeight="1" outlineLevel="1" x14ac:dyDescent="0.25">
      <c r="A1316" s="1"/>
      <c r="B1316" s="2" t="s">
        <v>9588</v>
      </c>
      <c r="C1316" s="3" t="s">
        <v>83</v>
      </c>
      <c r="D1316" s="19" t="s">
        <v>2766</v>
      </c>
      <c r="E1316" s="19" t="s">
        <v>2767</v>
      </c>
      <c r="F1316" s="19" t="s">
        <v>2768</v>
      </c>
      <c r="G1316" s="19" t="s">
        <v>2769</v>
      </c>
      <c r="H1316" s="2" t="s">
        <v>88</v>
      </c>
      <c r="I1316" s="4">
        <v>0</v>
      </c>
      <c r="J1316" s="5">
        <v>710000000</v>
      </c>
      <c r="K1316" s="5" t="s">
        <v>89</v>
      </c>
      <c r="L1316" s="2" t="s">
        <v>1741</v>
      </c>
      <c r="M1316" s="6" t="s">
        <v>787</v>
      </c>
      <c r="N1316" s="7" t="s">
        <v>92</v>
      </c>
      <c r="O1316" s="7" t="s">
        <v>93</v>
      </c>
      <c r="P1316" s="3" t="s">
        <v>673</v>
      </c>
      <c r="Q1316" s="8">
        <v>796</v>
      </c>
      <c r="R1316" s="7" t="s">
        <v>118</v>
      </c>
      <c r="S1316" s="9">
        <v>3717</v>
      </c>
      <c r="T1316" s="9">
        <v>2017.86</v>
      </c>
      <c r="U1316" s="9">
        <f t="shared" ref="U1316" si="949">T1316*S1316</f>
        <v>7500385.6199999992</v>
      </c>
      <c r="V1316" s="9">
        <f t="shared" si="948"/>
        <v>8400431.8944000006</v>
      </c>
      <c r="W1316" s="7"/>
      <c r="X1316" s="2">
        <v>2016</v>
      </c>
      <c r="Y1316" s="10"/>
    </row>
    <row r="1317" spans="1:25" s="11" customFormat="1" ht="89.25" customHeight="1" outlineLevel="1" x14ac:dyDescent="0.25">
      <c r="A1317" s="1"/>
      <c r="B1317" s="2" t="s">
        <v>6160</v>
      </c>
      <c r="C1317" s="3" t="s">
        <v>83</v>
      </c>
      <c r="D1317" s="19" t="s">
        <v>2770</v>
      </c>
      <c r="E1317" s="19" t="s">
        <v>2763</v>
      </c>
      <c r="F1317" s="19" t="s">
        <v>2771</v>
      </c>
      <c r="G1317" s="19" t="s">
        <v>2772</v>
      </c>
      <c r="H1317" s="2" t="s">
        <v>88</v>
      </c>
      <c r="I1317" s="4">
        <v>0.4</v>
      </c>
      <c r="J1317" s="5">
        <v>710000000</v>
      </c>
      <c r="K1317" s="5" t="s">
        <v>89</v>
      </c>
      <c r="L1317" s="2" t="s">
        <v>754</v>
      </c>
      <c r="M1317" s="6" t="s">
        <v>787</v>
      </c>
      <c r="N1317" s="7" t="s">
        <v>92</v>
      </c>
      <c r="O1317" s="7" t="s">
        <v>93</v>
      </c>
      <c r="P1317" s="3" t="s">
        <v>94</v>
      </c>
      <c r="Q1317" s="8">
        <v>796</v>
      </c>
      <c r="R1317" s="7" t="s">
        <v>118</v>
      </c>
      <c r="S1317" s="9">
        <f>21+8</f>
        <v>29</v>
      </c>
      <c r="T1317" s="9">
        <v>6035.71</v>
      </c>
      <c r="U1317" s="9">
        <v>0</v>
      </c>
      <c r="V1317" s="9">
        <f t="shared" si="857"/>
        <v>0</v>
      </c>
      <c r="W1317" s="7" t="s">
        <v>97</v>
      </c>
      <c r="X1317" s="2">
        <v>2016</v>
      </c>
      <c r="Y1317" s="2" t="s">
        <v>7793</v>
      </c>
    </row>
    <row r="1318" spans="1:25" s="11" customFormat="1" ht="89.25" customHeight="1" outlineLevel="1" x14ac:dyDescent="0.25">
      <c r="A1318" s="1"/>
      <c r="B1318" s="2" t="s">
        <v>8045</v>
      </c>
      <c r="C1318" s="3" t="s">
        <v>83</v>
      </c>
      <c r="D1318" s="19" t="s">
        <v>2770</v>
      </c>
      <c r="E1318" s="19" t="s">
        <v>2763</v>
      </c>
      <c r="F1318" s="19" t="s">
        <v>2771</v>
      </c>
      <c r="G1318" s="19" t="s">
        <v>2772</v>
      </c>
      <c r="H1318" s="2" t="s">
        <v>88</v>
      </c>
      <c r="I1318" s="4">
        <v>0</v>
      </c>
      <c r="J1318" s="5">
        <v>710000000</v>
      </c>
      <c r="K1318" s="5" t="s">
        <v>89</v>
      </c>
      <c r="L1318" s="2" t="s">
        <v>754</v>
      </c>
      <c r="M1318" s="6" t="s">
        <v>787</v>
      </c>
      <c r="N1318" s="7" t="s">
        <v>92</v>
      </c>
      <c r="O1318" s="7" t="s">
        <v>93</v>
      </c>
      <c r="P1318" s="3" t="s">
        <v>673</v>
      </c>
      <c r="Q1318" s="8">
        <v>796</v>
      </c>
      <c r="R1318" s="7" t="s">
        <v>118</v>
      </c>
      <c r="S1318" s="9">
        <f>21+8</f>
        <v>29</v>
      </c>
      <c r="T1318" s="9">
        <v>6035.71</v>
      </c>
      <c r="U1318" s="9">
        <f t="shared" ref="U1318" si="950">T1318*S1318</f>
        <v>175035.59</v>
      </c>
      <c r="V1318" s="9">
        <f t="shared" ref="V1318" si="951">U1318*1.12</f>
        <v>196039.86080000002</v>
      </c>
      <c r="W1318" s="7"/>
      <c r="X1318" s="2">
        <v>2016</v>
      </c>
      <c r="Y1318" s="2"/>
    </row>
    <row r="1319" spans="1:25" s="11" customFormat="1" ht="89.25" customHeight="1" outlineLevel="1" x14ac:dyDescent="0.25">
      <c r="A1319" s="1"/>
      <c r="B1319" s="2" t="s">
        <v>6161</v>
      </c>
      <c r="C1319" s="3" t="s">
        <v>83</v>
      </c>
      <c r="D1319" s="19" t="s">
        <v>2770</v>
      </c>
      <c r="E1319" s="19" t="s">
        <v>2763</v>
      </c>
      <c r="F1319" s="19" t="s">
        <v>2771</v>
      </c>
      <c r="G1319" s="19" t="s">
        <v>2773</v>
      </c>
      <c r="H1319" s="2" t="s">
        <v>88</v>
      </c>
      <c r="I1319" s="4">
        <v>0.4</v>
      </c>
      <c r="J1319" s="5">
        <v>710000000</v>
      </c>
      <c r="K1319" s="5" t="s">
        <v>89</v>
      </c>
      <c r="L1319" s="2" t="s">
        <v>754</v>
      </c>
      <c r="M1319" s="6" t="s">
        <v>787</v>
      </c>
      <c r="N1319" s="7" t="s">
        <v>92</v>
      </c>
      <c r="O1319" s="7" t="s">
        <v>93</v>
      </c>
      <c r="P1319" s="3" t="s">
        <v>94</v>
      </c>
      <c r="Q1319" s="8">
        <v>796</v>
      </c>
      <c r="R1319" s="7" t="s">
        <v>118</v>
      </c>
      <c r="S1319" s="9">
        <v>14</v>
      </c>
      <c r="T1319" s="9">
        <v>4196.43</v>
      </c>
      <c r="U1319" s="9">
        <v>0</v>
      </c>
      <c r="V1319" s="9">
        <f t="shared" si="857"/>
        <v>0</v>
      </c>
      <c r="W1319" s="7" t="s">
        <v>97</v>
      </c>
      <c r="X1319" s="2">
        <v>2016</v>
      </c>
      <c r="Y1319" s="2" t="s">
        <v>7793</v>
      </c>
    </row>
    <row r="1320" spans="1:25" s="11" customFormat="1" ht="89.25" customHeight="1" outlineLevel="1" x14ac:dyDescent="0.25">
      <c r="A1320" s="1"/>
      <c r="B1320" s="2" t="s">
        <v>9648</v>
      </c>
      <c r="C1320" s="3" t="s">
        <v>83</v>
      </c>
      <c r="D1320" s="19" t="s">
        <v>2770</v>
      </c>
      <c r="E1320" s="19" t="s">
        <v>2763</v>
      </c>
      <c r="F1320" s="19" t="s">
        <v>2771</v>
      </c>
      <c r="G1320" s="19" t="s">
        <v>2773</v>
      </c>
      <c r="H1320" s="2" t="s">
        <v>88</v>
      </c>
      <c r="I1320" s="4">
        <v>0</v>
      </c>
      <c r="J1320" s="5">
        <v>710000000</v>
      </c>
      <c r="K1320" s="5" t="s">
        <v>89</v>
      </c>
      <c r="L1320" s="2" t="s">
        <v>754</v>
      </c>
      <c r="M1320" s="6" t="s">
        <v>787</v>
      </c>
      <c r="N1320" s="7" t="s">
        <v>92</v>
      </c>
      <c r="O1320" s="7" t="s">
        <v>93</v>
      </c>
      <c r="P1320" s="3" t="s">
        <v>673</v>
      </c>
      <c r="Q1320" s="8">
        <v>796</v>
      </c>
      <c r="R1320" s="7" t="s">
        <v>118</v>
      </c>
      <c r="S1320" s="9">
        <v>14</v>
      </c>
      <c r="T1320" s="9">
        <v>4196.43</v>
      </c>
      <c r="U1320" s="9">
        <f t="shared" ref="U1320" si="952">T1320*S1320</f>
        <v>58750.020000000004</v>
      </c>
      <c r="V1320" s="9">
        <f t="shared" ref="V1320" si="953">U1320*1.12</f>
        <v>65800.022400000016</v>
      </c>
      <c r="W1320" s="7"/>
      <c r="X1320" s="2">
        <v>2016</v>
      </c>
      <c r="Y1320" s="2"/>
    </row>
    <row r="1321" spans="1:25" s="11" customFormat="1" ht="89.25" customHeight="1" outlineLevel="1" x14ac:dyDescent="0.25">
      <c r="A1321" s="1"/>
      <c r="B1321" s="2" t="s">
        <v>6162</v>
      </c>
      <c r="C1321" s="3" t="s">
        <v>83</v>
      </c>
      <c r="D1321" s="19" t="s">
        <v>2774</v>
      </c>
      <c r="E1321" s="19" t="s">
        <v>2775</v>
      </c>
      <c r="F1321" s="19" t="s">
        <v>2776</v>
      </c>
      <c r="G1321" s="19" t="s">
        <v>2777</v>
      </c>
      <c r="H1321" s="2" t="s">
        <v>88</v>
      </c>
      <c r="I1321" s="4">
        <v>0.4</v>
      </c>
      <c r="J1321" s="5">
        <v>710000000</v>
      </c>
      <c r="K1321" s="5" t="s">
        <v>89</v>
      </c>
      <c r="L1321" s="2" t="s">
        <v>754</v>
      </c>
      <c r="M1321" s="6" t="s">
        <v>787</v>
      </c>
      <c r="N1321" s="7" t="s">
        <v>92</v>
      </c>
      <c r="O1321" s="7" t="s">
        <v>93</v>
      </c>
      <c r="P1321" s="3" t="s">
        <v>94</v>
      </c>
      <c r="Q1321" s="8">
        <v>796</v>
      </c>
      <c r="R1321" s="7" t="s">
        <v>118</v>
      </c>
      <c r="S1321" s="9">
        <f>31+3+20</f>
        <v>54</v>
      </c>
      <c r="T1321" s="9">
        <v>2500</v>
      </c>
      <c r="U1321" s="9">
        <v>0</v>
      </c>
      <c r="V1321" s="9">
        <f t="shared" si="857"/>
        <v>0</v>
      </c>
      <c r="W1321" s="7" t="s">
        <v>97</v>
      </c>
      <c r="X1321" s="2">
        <v>2016</v>
      </c>
      <c r="Y1321" s="2" t="s">
        <v>7793</v>
      </c>
    </row>
    <row r="1322" spans="1:25" s="11" customFormat="1" ht="89.25" customHeight="1" outlineLevel="1" x14ac:dyDescent="0.25">
      <c r="A1322" s="1"/>
      <c r="B1322" s="2" t="s">
        <v>8046</v>
      </c>
      <c r="C1322" s="3" t="s">
        <v>83</v>
      </c>
      <c r="D1322" s="19" t="s">
        <v>2774</v>
      </c>
      <c r="E1322" s="19" t="s">
        <v>2775</v>
      </c>
      <c r="F1322" s="19" t="s">
        <v>2776</v>
      </c>
      <c r="G1322" s="19" t="s">
        <v>2777</v>
      </c>
      <c r="H1322" s="2" t="s">
        <v>88</v>
      </c>
      <c r="I1322" s="4">
        <v>0</v>
      </c>
      <c r="J1322" s="5">
        <v>710000000</v>
      </c>
      <c r="K1322" s="5" t="s">
        <v>89</v>
      </c>
      <c r="L1322" s="2" t="s">
        <v>754</v>
      </c>
      <c r="M1322" s="6" t="s">
        <v>787</v>
      </c>
      <c r="N1322" s="7" t="s">
        <v>92</v>
      </c>
      <c r="O1322" s="7" t="s">
        <v>93</v>
      </c>
      <c r="P1322" s="3" t="s">
        <v>673</v>
      </c>
      <c r="Q1322" s="8">
        <v>796</v>
      </c>
      <c r="R1322" s="7" t="s">
        <v>118</v>
      </c>
      <c r="S1322" s="9">
        <f>31+3+20</f>
        <v>54</v>
      </c>
      <c r="T1322" s="9">
        <v>2500</v>
      </c>
      <c r="U1322" s="9">
        <f t="shared" ref="U1322" si="954">T1322*S1322</f>
        <v>135000</v>
      </c>
      <c r="V1322" s="9">
        <f t="shared" ref="V1322" si="955">U1322*1.12</f>
        <v>151200</v>
      </c>
      <c r="W1322" s="7"/>
      <c r="X1322" s="2">
        <v>2016</v>
      </c>
      <c r="Y1322" s="2"/>
    </row>
    <row r="1323" spans="1:25" s="11" customFormat="1" ht="89.25" customHeight="1" outlineLevel="1" x14ac:dyDescent="0.25">
      <c r="A1323" s="1"/>
      <c r="B1323" s="2" t="s">
        <v>6163</v>
      </c>
      <c r="C1323" s="3" t="s">
        <v>83</v>
      </c>
      <c r="D1323" s="19" t="s">
        <v>2778</v>
      </c>
      <c r="E1323" s="19" t="s">
        <v>2763</v>
      </c>
      <c r="F1323" s="19" t="s">
        <v>2779</v>
      </c>
      <c r="G1323" s="19" t="s">
        <v>2780</v>
      </c>
      <c r="H1323" s="2" t="s">
        <v>88</v>
      </c>
      <c r="I1323" s="4">
        <v>0.4</v>
      </c>
      <c r="J1323" s="5">
        <v>710000000</v>
      </c>
      <c r="K1323" s="5" t="s">
        <v>89</v>
      </c>
      <c r="L1323" s="2" t="s">
        <v>754</v>
      </c>
      <c r="M1323" s="6" t="s">
        <v>787</v>
      </c>
      <c r="N1323" s="7" t="s">
        <v>92</v>
      </c>
      <c r="O1323" s="7" t="s">
        <v>93</v>
      </c>
      <c r="P1323" s="3" t="s">
        <v>94</v>
      </c>
      <c r="Q1323" s="8">
        <v>796</v>
      </c>
      <c r="R1323" s="7" t="s">
        <v>118</v>
      </c>
      <c r="S1323" s="9">
        <v>11</v>
      </c>
      <c r="T1323" s="9">
        <v>843.75</v>
      </c>
      <c r="U1323" s="9">
        <v>0</v>
      </c>
      <c r="V1323" s="9">
        <f t="shared" si="857"/>
        <v>0</v>
      </c>
      <c r="W1323" s="7" t="s">
        <v>97</v>
      </c>
      <c r="X1323" s="2">
        <v>2016</v>
      </c>
      <c r="Y1323" s="2" t="s">
        <v>7793</v>
      </c>
    </row>
    <row r="1324" spans="1:25" s="11" customFormat="1" ht="89.25" customHeight="1" outlineLevel="1" x14ac:dyDescent="0.25">
      <c r="A1324" s="1"/>
      <c r="B1324" s="2" t="s">
        <v>8047</v>
      </c>
      <c r="C1324" s="3" t="s">
        <v>83</v>
      </c>
      <c r="D1324" s="19" t="s">
        <v>2778</v>
      </c>
      <c r="E1324" s="19" t="s">
        <v>2763</v>
      </c>
      <c r="F1324" s="19" t="s">
        <v>2779</v>
      </c>
      <c r="G1324" s="19" t="s">
        <v>2780</v>
      </c>
      <c r="H1324" s="2" t="s">
        <v>88</v>
      </c>
      <c r="I1324" s="4">
        <v>0</v>
      </c>
      <c r="J1324" s="5">
        <v>710000000</v>
      </c>
      <c r="K1324" s="5" t="s">
        <v>89</v>
      </c>
      <c r="L1324" s="2" t="s">
        <v>754</v>
      </c>
      <c r="M1324" s="6" t="s">
        <v>787</v>
      </c>
      <c r="N1324" s="7" t="s">
        <v>92</v>
      </c>
      <c r="O1324" s="7" t="s">
        <v>93</v>
      </c>
      <c r="P1324" s="3" t="s">
        <v>673</v>
      </c>
      <c r="Q1324" s="8">
        <v>796</v>
      </c>
      <c r="R1324" s="7" t="s">
        <v>118</v>
      </c>
      <c r="S1324" s="9">
        <v>11</v>
      </c>
      <c r="T1324" s="9">
        <v>843.75</v>
      </c>
      <c r="U1324" s="9">
        <f t="shared" ref="U1324" si="956">T1324*S1324</f>
        <v>9281.25</v>
      </c>
      <c r="V1324" s="9">
        <f t="shared" ref="V1324" si="957">U1324*1.12</f>
        <v>10395.000000000002</v>
      </c>
      <c r="W1324" s="7"/>
      <c r="X1324" s="2">
        <v>2016</v>
      </c>
      <c r="Y1324" s="2"/>
    </row>
    <row r="1325" spans="1:25" s="11" customFormat="1" ht="89.25" customHeight="1" outlineLevel="1" x14ac:dyDescent="0.25">
      <c r="A1325" s="1"/>
      <c r="B1325" s="2" t="s">
        <v>6164</v>
      </c>
      <c r="C1325" s="3" t="s">
        <v>83</v>
      </c>
      <c r="D1325" s="19" t="s">
        <v>2781</v>
      </c>
      <c r="E1325" s="19" t="s">
        <v>2763</v>
      </c>
      <c r="F1325" s="19" t="s">
        <v>2782</v>
      </c>
      <c r="G1325" s="19" t="s">
        <v>2783</v>
      </c>
      <c r="H1325" s="2" t="s">
        <v>88</v>
      </c>
      <c r="I1325" s="4">
        <v>0.4</v>
      </c>
      <c r="J1325" s="5">
        <v>710000000</v>
      </c>
      <c r="K1325" s="5" t="s">
        <v>89</v>
      </c>
      <c r="L1325" s="2" t="s">
        <v>754</v>
      </c>
      <c r="M1325" s="6" t="s">
        <v>787</v>
      </c>
      <c r="N1325" s="7" t="s">
        <v>92</v>
      </c>
      <c r="O1325" s="7" t="s">
        <v>93</v>
      </c>
      <c r="P1325" s="3" t="s">
        <v>94</v>
      </c>
      <c r="Q1325" s="8">
        <v>796</v>
      </c>
      <c r="R1325" s="7" t="s">
        <v>118</v>
      </c>
      <c r="S1325" s="9">
        <v>10</v>
      </c>
      <c r="T1325" s="9">
        <v>1406.25</v>
      </c>
      <c r="U1325" s="9">
        <v>0</v>
      </c>
      <c r="V1325" s="9">
        <f t="shared" si="857"/>
        <v>0</v>
      </c>
      <c r="W1325" s="7" t="s">
        <v>97</v>
      </c>
      <c r="X1325" s="2">
        <v>2016</v>
      </c>
      <c r="Y1325" s="2" t="s">
        <v>7793</v>
      </c>
    </row>
    <row r="1326" spans="1:25" s="11" customFormat="1" ht="89.25" customHeight="1" outlineLevel="1" x14ac:dyDescent="0.25">
      <c r="A1326" s="1"/>
      <c r="B1326" s="2" t="s">
        <v>8048</v>
      </c>
      <c r="C1326" s="3" t="s">
        <v>83</v>
      </c>
      <c r="D1326" s="19" t="s">
        <v>2781</v>
      </c>
      <c r="E1326" s="19" t="s">
        <v>2763</v>
      </c>
      <c r="F1326" s="19" t="s">
        <v>2782</v>
      </c>
      <c r="G1326" s="19" t="s">
        <v>2783</v>
      </c>
      <c r="H1326" s="2" t="s">
        <v>88</v>
      </c>
      <c r="I1326" s="4">
        <v>0</v>
      </c>
      <c r="J1326" s="5">
        <v>710000000</v>
      </c>
      <c r="K1326" s="5" t="s">
        <v>89</v>
      </c>
      <c r="L1326" s="2" t="s">
        <v>754</v>
      </c>
      <c r="M1326" s="6" t="s">
        <v>787</v>
      </c>
      <c r="N1326" s="7" t="s">
        <v>92</v>
      </c>
      <c r="O1326" s="7" t="s">
        <v>93</v>
      </c>
      <c r="P1326" s="3" t="s">
        <v>673</v>
      </c>
      <c r="Q1326" s="8">
        <v>796</v>
      </c>
      <c r="R1326" s="7" t="s">
        <v>118</v>
      </c>
      <c r="S1326" s="9">
        <v>10</v>
      </c>
      <c r="T1326" s="9">
        <v>1406.25</v>
      </c>
      <c r="U1326" s="9">
        <f t="shared" ref="U1326" si="958">T1326*S1326</f>
        <v>14062.5</v>
      </c>
      <c r="V1326" s="9">
        <f t="shared" ref="V1326" si="959">U1326*1.12</f>
        <v>15750.000000000002</v>
      </c>
      <c r="W1326" s="7"/>
      <c r="X1326" s="2">
        <v>2016</v>
      </c>
      <c r="Y1326" s="2"/>
    </row>
    <row r="1327" spans="1:25" s="11" customFormat="1" ht="89.25" customHeight="1" outlineLevel="1" x14ac:dyDescent="0.25">
      <c r="A1327" s="1"/>
      <c r="B1327" s="2" t="s">
        <v>6165</v>
      </c>
      <c r="C1327" s="3" t="s">
        <v>83</v>
      </c>
      <c r="D1327" s="19" t="s">
        <v>2781</v>
      </c>
      <c r="E1327" s="19" t="s">
        <v>2763</v>
      </c>
      <c r="F1327" s="19" t="s">
        <v>2782</v>
      </c>
      <c r="G1327" s="19" t="s">
        <v>2784</v>
      </c>
      <c r="H1327" s="2" t="s">
        <v>88</v>
      </c>
      <c r="I1327" s="4">
        <v>0.4</v>
      </c>
      <c r="J1327" s="5">
        <v>710000000</v>
      </c>
      <c r="K1327" s="5" t="s">
        <v>89</v>
      </c>
      <c r="L1327" s="2" t="s">
        <v>754</v>
      </c>
      <c r="M1327" s="6" t="s">
        <v>787</v>
      </c>
      <c r="N1327" s="7" t="s">
        <v>92</v>
      </c>
      <c r="O1327" s="7" t="s">
        <v>93</v>
      </c>
      <c r="P1327" s="3" t="s">
        <v>94</v>
      </c>
      <c r="Q1327" s="8">
        <v>796</v>
      </c>
      <c r="R1327" s="7" t="s">
        <v>118</v>
      </c>
      <c r="S1327" s="9">
        <v>10</v>
      </c>
      <c r="T1327" s="9">
        <v>1406.25</v>
      </c>
      <c r="U1327" s="9">
        <v>0</v>
      </c>
      <c r="V1327" s="9">
        <f t="shared" si="857"/>
        <v>0</v>
      </c>
      <c r="W1327" s="7" t="s">
        <v>97</v>
      </c>
      <c r="X1327" s="2">
        <v>2016</v>
      </c>
      <c r="Y1327" s="2" t="s">
        <v>7793</v>
      </c>
    </row>
    <row r="1328" spans="1:25" s="11" customFormat="1" ht="89.25" customHeight="1" outlineLevel="1" x14ac:dyDescent="0.25">
      <c r="A1328" s="1"/>
      <c r="B1328" s="2" t="s">
        <v>8049</v>
      </c>
      <c r="C1328" s="3" t="s">
        <v>83</v>
      </c>
      <c r="D1328" s="19" t="s">
        <v>2781</v>
      </c>
      <c r="E1328" s="19" t="s">
        <v>2763</v>
      </c>
      <c r="F1328" s="19" t="s">
        <v>2782</v>
      </c>
      <c r="G1328" s="19" t="s">
        <v>2784</v>
      </c>
      <c r="H1328" s="2" t="s">
        <v>88</v>
      </c>
      <c r="I1328" s="4">
        <v>0</v>
      </c>
      <c r="J1328" s="5">
        <v>710000000</v>
      </c>
      <c r="K1328" s="5" t="s">
        <v>89</v>
      </c>
      <c r="L1328" s="2" t="s">
        <v>754</v>
      </c>
      <c r="M1328" s="6" t="s">
        <v>787</v>
      </c>
      <c r="N1328" s="7" t="s">
        <v>92</v>
      </c>
      <c r="O1328" s="7" t="s">
        <v>93</v>
      </c>
      <c r="P1328" s="3" t="s">
        <v>673</v>
      </c>
      <c r="Q1328" s="8">
        <v>796</v>
      </c>
      <c r="R1328" s="7" t="s">
        <v>118</v>
      </c>
      <c r="S1328" s="9">
        <v>10</v>
      </c>
      <c r="T1328" s="9">
        <v>1406.25</v>
      </c>
      <c r="U1328" s="9">
        <f t="shared" ref="U1328" si="960">T1328*S1328</f>
        <v>14062.5</v>
      </c>
      <c r="V1328" s="9">
        <f t="shared" ref="V1328" si="961">U1328*1.12</f>
        <v>15750.000000000002</v>
      </c>
      <c r="W1328" s="7" t="s">
        <v>97</v>
      </c>
      <c r="X1328" s="2">
        <v>2016</v>
      </c>
      <c r="Y1328" s="2"/>
    </row>
    <row r="1329" spans="1:25" s="11" customFormat="1" ht="89.25" customHeight="1" outlineLevel="1" x14ac:dyDescent="0.25">
      <c r="A1329" s="1"/>
      <c r="B1329" s="2" t="s">
        <v>6166</v>
      </c>
      <c r="C1329" s="3" t="s">
        <v>83</v>
      </c>
      <c r="D1329" s="19" t="s">
        <v>2785</v>
      </c>
      <c r="E1329" s="19" t="s">
        <v>2786</v>
      </c>
      <c r="F1329" s="19" t="s">
        <v>2787</v>
      </c>
      <c r="G1329" s="19" t="s">
        <v>2788</v>
      </c>
      <c r="H1329" s="2" t="s">
        <v>88</v>
      </c>
      <c r="I1329" s="4">
        <v>0.4</v>
      </c>
      <c r="J1329" s="5">
        <v>710000000</v>
      </c>
      <c r="K1329" s="5" t="s">
        <v>89</v>
      </c>
      <c r="L1329" s="2" t="s">
        <v>754</v>
      </c>
      <c r="M1329" s="6" t="s">
        <v>787</v>
      </c>
      <c r="N1329" s="7" t="s">
        <v>92</v>
      </c>
      <c r="O1329" s="7" t="s">
        <v>93</v>
      </c>
      <c r="P1329" s="3" t="s">
        <v>94</v>
      </c>
      <c r="Q1329" s="8">
        <v>796</v>
      </c>
      <c r="R1329" s="7" t="s">
        <v>118</v>
      </c>
      <c r="S1329" s="9">
        <v>3</v>
      </c>
      <c r="T1329" s="9">
        <v>17233.93</v>
      </c>
      <c r="U1329" s="9">
        <v>0</v>
      </c>
      <c r="V1329" s="9">
        <f t="shared" si="857"/>
        <v>0</v>
      </c>
      <c r="W1329" s="7" t="s">
        <v>97</v>
      </c>
      <c r="X1329" s="2">
        <v>2016</v>
      </c>
      <c r="Y1329" s="2" t="s">
        <v>7793</v>
      </c>
    </row>
    <row r="1330" spans="1:25" s="11" customFormat="1" ht="89.25" customHeight="1" outlineLevel="1" x14ac:dyDescent="0.25">
      <c r="A1330" s="1"/>
      <c r="B1330" s="2" t="s">
        <v>8050</v>
      </c>
      <c r="C1330" s="3" t="s">
        <v>83</v>
      </c>
      <c r="D1330" s="19" t="s">
        <v>2785</v>
      </c>
      <c r="E1330" s="19" t="s">
        <v>2786</v>
      </c>
      <c r="F1330" s="19" t="s">
        <v>2787</v>
      </c>
      <c r="G1330" s="19" t="s">
        <v>2788</v>
      </c>
      <c r="H1330" s="2" t="s">
        <v>88</v>
      </c>
      <c r="I1330" s="4">
        <v>0</v>
      </c>
      <c r="J1330" s="5">
        <v>710000000</v>
      </c>
      <c r="K1330" s="5" t="s">
        <v>89</v>
      </c>
      <c r="L1330" s="2" t="s">
        <v>754</v>
      </c>
      <c r="M1330" s="6" t="s">
        <v>787</v>
      </c>
      <c r="N1330" s="7" t="s">
        <v>92</v>
      </c>
      <c r="O1330" s="7" t="s">
        <v>93</v>
      </c>
      <c r="P1330" s="3" t="s">
        <v>673</v>
      </c>
      <c r="Q1330" s="8">
        <v>796</v>
      </c>
      <c r="R1330" s="7" t="s">
        <v>118</v>
      </c>
      <c r="S1330" s="9">
        <v>3</v>
      </c>
      <c r="T1330" s="9">
        <v>17233.93</v>
      </c>
      <c r="U1330" s="9">
        <f t="shared" ref="U1330" si="962">T1330*S1330</f>
        <v>51701.79</v>
      </c>
      <c r="V1330" s="9">
        <f t="shared" ref="V1330" si="963">U1330*1.12</f>
        <v>57906.00480000001</v>
      </c>
      <c r="W1330" s="7"/>
      <c r="X1330" s="2">
        <v>2016</v>
      </c>
      <c r="Y1330" s="2"/>
    </row>
    <row r="1331" spans="1:25" s="11" customFormat="1" ht="89.25" customHeight="1" outlineLevel="1" x14ac:dyDescent="0.25">
      <c r="A1331" s="1"/>
      <c r="B1331" s="2" t="s">
        <v>6167</v>
      </c>
      <c r="C1331" s="3" t="s">
        <v>83</v>
      </c>
      <c r="D1331" s="19" t="s">
        <v>2789</v>
      </c>
      <c r="E1331" s="19" t="s">
        <v>2786</v>
      </c>
      <c r="F1331" s="19" t="s">
        <v>2790</v>
      </c>
      <c r="G1331" s="19" t="s">
        <v>2791</v>
      </c>
      <c r="H1331" s="2" t="s">
        <v>88</v>
      </c>
      <c r="I1331" s="4">
        <v>0.4</v>
      </c>
      <c r="J1331" s="5">
        <v>710000000</v>
      </c>
      <c r="K1331" s="5" t="s">
        <v>89</v>
      </c>
      <c r="L1331" s="2" t="s">
        <v>754</v>
      </c>
      <c r="M1331" s="6" t="s">
        <v>787</v>
      </c>
      <c r="N1331" s="7" t="s">
        <v>92</v>
      </c>
      <c r="O1331" s="7" t="s">
        <v>93</v>
      </c>
      <c r="P1331" s="3" t="s">
        <v>94</v>
      </c>
      <c r="Q1331" s="8">
        <v>796</v>
      </c>
      <c r="R1331" s="7" t="s">
        <v>118</v>
      </c>
      <c r="S1331" s="9">
        <v>3</v>
      </c>
      <c r="T1331" s="9">
        <v>12120.54</v>
      </c>
      <c r="U1331" s="9">
        <v>0</v>
      </c>
      <c r="V1331" s="9">
        <f t="shared" si="857"/>
        <v>0</v>
      </c>
      <c r="W1331" s="7" t="s">
        <v>97</v>
      </c>
      <c r="X1331" s="2">
        <v>2016</v>
      </c>
      <c r="Y1331" s="2" t="s">
        <v>7793</v>
      </c>
    </row>
    <row r="1332" spans="1:25" s="11" customFormat="1" ht="89.25" customHeight="1" outlineLevel="1" x14ac:dyDescent="0.25">
      <c r="A1332" s="1"/>
      <c r="B1332" s="2" t="s">
        <v>8051</v>
      </c>
      <c r="C1332" s="3" t="s">
        <v>83</v>
      </c>
      <c r="D1332" s="19" t="s">
        <v>2789</v>
      </c>
      <c r="E1332" s="19" t="s">
        <v>2786</v>
      </c>
      <c r="F1332" s="19" t="s">
        <v>2790</v>
      </c>
      <c r="G1332" s="19" t="s">
        <v>2791</v>
      </c>
      <c r="H1332" s="2" t="s">
        <v>88</v>
      </c>
      <c r="I1332" s="4">
        <v>0</v>
      </c>
      <c r="J1332" s="5">
        <v>710000000</v>
      </c>
      <c r="K1332" s="5" t="s">
        <v>89</v>
      </c>
      <c r="L1332" s="2" t="s">
        <v>754</v>
      </c>
      <c r="M1332" s="6" t="s">
        <v>787</v>
      </c>
      <c r="N1332" s="7" t="s">
        <v>92</v>
      </c>
      <c r="O1332" s="7" t="s">
        <v>93</v>
      </c>
      <c r="P1332" s="3" t="s">
        <v>673</v>
      </c>
      <c r="Q1332" s="8">
        <v>796</v>
      </c>
      <c r="R1332" s="7" t="s">
        <v>118</v>
      </c>
      <c r="S1332" s="9">
        <v>3</v>
      </c>
      <c r="T1332" s="9">
        <v>12120.54</v>
      </c>
      <c r="U1332" s="9">
        <f t="shared" ref="U1332" si="964">T1332*S1332</f>
        <v>36361.620000000003</v>
      </c>
      <c r="V1332" s="9">
        <f t="shared" ref="V1332" si="965">U1332*1.12</f>
        <v>40725.014400000007</v>
      </c>
      <c r="W1332" s="7"/>
      <c r="X1332" s="2">
        <v>2016</v>
      </c>
      <c r="Y1332" s="2"/>
    </row>
    <row r="1333" spans="1:25" s="11" customFormat="1" ht="89.25" customHeight="1" outlineLevel="1" x14ac:dyDescent="0.25">
      <c r="A1333" s="16"/>
      <c r="B1333" s="2" t="s">
        <v>6168</v>
      </c>
      <c r="C1333" s="19" t="s">
        <v>83</v>
      </c>
      <c r="D1333" s="19" t="s">
        <v>2792</v>
      </c>
      <c r="E1333" s="19" t="s">
        <v>2786</v>
      </c>
      <c r="F1333" s="19" t="s">
        <v>2793</v>
      </c>
      <c r="G1333" s="19" t="s">
        <v>2794</v>
      </c>
      <c r="H1333" s="2" t="s">
        <v>88</v>
      </c>
      <c r="I1333" s="4">
        <v>0.4</v>
      </c>
      <c r="J1333" s="5">
        <v>710000000</v>
      </c>
      <c r="K1333" s="5" t="s">
        <v>89</v>
      </c>
      <c r="L1333" s="2" t="s">
        <v>754</v>
      </c>
      <c r="M1333" s="6" t="s">
        <v>787</v>
      </c>
      <c r="N1333" s="7" t="s">
        <v>92</v>
      </c>
      <c r="O1333" s="7" t="s">
        <v>93</v>
      </c>
      <c r="P1333" s="3" t="s">
        <v>94</v>
      </c>
      <c r="Q1333" s="8">
        <v>796</v>
      </c>
      <c r="R1333" s="7" t="s">
        <v>118</v>
      </c>
      <c r="S1333" s="9">
        <v>3</v>
      </c>
      <c r="T1333" s="9">
        <v>10669.65</v>
      </c>
      <c r="U1333" s="9">
        <v>0</v>
      </c>
      <c r="V1333" s="9">
        <f t="shared" si="857"/>
        <v>0</v>
      </c>
      <c r="W1333" s="7" t="s">
        <v>97</v>
      </c>
      <c r="X1333" s="2">
        <v>2016</v>
      </c>
      <c r="Y1333" s="2" t="s">
        <v>7793</v>
      </c>
    </row>
    <row r="1334" spans="1:25" s="11" customFormat="1" ht="89.25" customHeight="1" outlineLevel="1" x14ac:dyDescent="0.25">
      <c r="A1334" s="16"/>
      <c r="B1334" s="2" t="s">
        <v>8052</v>
      </c>
      <c r="C1334" s="19" t="s">
        <v>83</v>
      </c>
      <c r="D1334" s="19" t="s">
        <v>2792</v>
      </c>
      <c r="E1334" s="19" t="s">
        <v>2786</v>
      </c>
      <c r="F1334" s="19" t="s">
        <v>2793</v>
      </c>
      <c r="G1334" s="19" t="s">
        <v>2794</v>
      </c>
      <c r="H1334" s="2" t="s">
        <v>88</v>
      </c>
      <c r="I1334" s="4">
        <v>0</v>
      </c>
      <c r="J1334" s="5">
        <v>710000000</v>
      </c>
      <c r="K1334" s="5" t="s">
        <v>89</v>
      </c>
      <c r="L1334" s="2" t="s">
        <v>754</v>
      </c>
      <c r="M1334" s="6" t="s">
        <v>787</v>
      </c>
      <c r="N1334" s="7" t="s">
        <v>92</v>
      </c>
      <c r="O1334" s="7" t="s">
        <v>93</v>
      </c>
      <c r="P1334" s="3" t="s">
        <v>673</v>
      </c>
      <c r="Q1334" s="8">
        <v>796</v>
      </c>
      <c r="R1334" s="7" t="s">
        <v>118</v>
      </c>
      <c r="S1334" s="9">
        <v>3</v>
      </c>
      <c r="T1334" s="9">
        <v>10669.65</v>
      </c>
      <c r="U1334" s="9">
        <f t="shared" ref="U1334" si="966">T1334*S1334</f>
        <v>32008.949999999997</v>
      </c>
      <c r="V1334" s="9">
        <f t="shared" ref="V1334" si="967">U1334*1.12</f>
        <v>35850.023999999998</v>
      </c>
      <c r="W1334" s="7"/>
      <c r="X1334" s="2">
        <v>2016</v>
      </c>
      <c r="Y1334" s="2"/>
    </row>
    <row r="1335" spans="1:25" s="11" customFormat="1" ht="89.25" customHeight="1" outlineLevel="1" x14ac:dyDescent="0.25">
      <c r="A1335" s="16"/>
      <c r="B1335" s="2" t="s">
        <v>6169</v>
      </c>
      <c r="C1335" s="3" t="s">
        <v>83</v>
      </c>
      <c r="D1335" s="19" t="s">
        <v>2795</v>
      </c>
      <c r="E1335" s="19" t="s">
        <v>2796</v>
      </c>
      <c r="F1335" s="19" t="s">
        <v>2797</v>
      </c>
      <c r="G1335" s="19" t="s">
        <v>2798</v>
      </c>
      <c r="H1335" s="2" t="s">
        <v>88</v>
      </c>
      <c r="I1335" s="4">
        <v>0.4</v>
      </c>
      <c r="J1335" s="5">
        <v>710000000</v>
      </c>
      <c r="K1335" s="5" t="s">
        <v>89</v>
      </c>
      <c r="L1335" s="2" t="s">
        <v>754</v>
      </c>
      <c r="M1335" s="6" t="s">
        <v>787</v>
      </c>
      <c r="N1335" s="7" t="s">
        <v>92</v>
      </c>
      <c r="O1335" s="7" t="s">
        <v>93</v>
      </c>
      <c r="P1335" s="3" t="s">
        <v>94</v>
      </c>
      <c r="Q1335" s="8">
        <v>796</v>
      </c>
      <c r="R1335" s="7" t="s">
        <v>118</v>
      </c>
      <c r="S1335" s="9">
        <f>148+280+10+55+280+16+3+28</f>
        <v>820</v>
      </c>
      <c r="T1335" s="9">
        <v>794.64</v>
      </c>
      <c r="U1335" s="9">
        <v>0</v>
      </c>
      <c r="V1335" s="9">
        <f t="shared" si="857"/>
        <v>0</v>
      </c>
      <c r="W1335" s="7" t="s">
        <v>97</v>
      </c>
      <c r="X1335" s="2">
        <v>2016</v>
      </c>
      <c r="Y1335" s="2" t="s">
        <v>7793</v>
      </c>
    </row>
    <row r="1336" spans="1:25" s="11" customFormat="1" ht="89.25" customHeight="1" outlineLevel="1" x14ac:dyDescent="0.25">
      <c r="A1336" s="16"/>
      <c r="B1336" s="2" t="s">
        <v>8053</v>
      </c>
      <c r="C1336" s="3" t="s">
        <v>83</v>
      </c>
      <c r="D1336" s="19" t="s">
        <v>2795</v>
      </c>
      <c r="E1336" s="19" t="s">
        <v>2796</v>
      </c>
      <c r="F1336" s="19" t="s">
        <v>2797</v>
      </c>
      <c r="G1336" s="19" t="s">
        <v>2798</v>
      </c>
      <c r="H1336" s="2" t="s">
        <v>88</v>
      </c>
      <c r="I1336" s="4">
        <v>0</v>
      </c>
      <c r="J1336" s="5">
        <v>710000000</v>
      </c>
      <c r="K1336" s="5" t="s">
        <v>89</v>
      </c>
      <c r="L1336" s="2" t="s">
        <v>754</v>
      </c>
      <c r="M1336" s="6" t="s">
        <v>787</v>
      </c>
      <c r="N1336" s="7" t="s">
        <v>92</v>
      </c>
      <c r="O1336" s="7" t="s">
        <v>93</v>
      </c>
      <c r="P1336" s="3" t="s">
        <v>673</v>
      </c>
      <c r="Q1336" s="8">
        <v>796</v>
      </c>
      <c r="R1336" s="7" t="s">
        <v>118</v>
      </c>
      <c r="S1336" s="9">
        <f>148+280+10+55+280+16+3+28</f>
        <v>820</v>
      </c>
      <c r="T1336" s="9">
        <v>794.64</v>
      </c>
      <c r="U1336" s="9">
        <f t="shared" ref="U1336" si="968">T1336*S1336</f>
        <v>651604.80000000005</v>
      </c>
      <c r="V1336" s="9">
        <f t="shared" ref="V1336" si="969">U1336*1.12</f>
        <v>729797.37600000016</v>
      </c>
      <c r="W1336" s="7"/>
      <c r="X1336" s="2">
        <v>2016</v>
      </c>
      <c r="Y1336" s="2"/>
    </row>
    <row r="1337" spans="1:25" s="11" customFormat="1" ht="89.25" customHeight="1" outlineLevel="1" x14ac:dyDescent="0.25">
      <c r="A1337" s="16"/>
      <c r="B1337" s="2" t="s">
        <v>6170</v>
      </c>
      <c r="C1337" s="3" t="s">
        <v>83</v>
      </c>
      <c r="D1337" s="19" t="s">
        <v>2799</v>
      </c>
      <c r="E1337" s="19" t="s">
        <v>2800</v>
      </c>
      <c r="F1337" s="19" t="s">
        <v>2801</v>
      </c>
      <c r="G1337" s="19"/>
      <c r="H1337" s="2" t="s">
        <v>88</v>
      </c>
      <c r="I1337" s="4">
        <v>0.4</v>
      </c>
      <c r="J1337" s="5">
        <v>710000000</v>
      </c>
      <c r="K1337" s="5" t="s">
        <v>89</v>
      </c>
      <c r="L1337" s="2" t="s">
        <v>754</v>
      </c>
      <c r="M1337" s="6" t="s">
        <v>787</v>
      </c>
      <c r="N1337" s="7" t="s">
        <v>92</v>
      </c>
      <c r="O1337" s="7" t="s">
        <v>93</v>
      </c>
      <c r="P1337" s="3" t="s">
        <v>94</v>
      </c>
      <c r="Q1337" s="8">
        <v>796</v>
      </c>
      <c r="R1337" s="7" t="s">
        <v>118</v>
      </c>
      <c r="S1337" s="9">
        <f>213+315+93+3</f>
        <v>624</v>
      </c>
      <c r="T1337" s="9">
        <v>767.86</v>
      </c>
      <c r="U1337" s="9">
        <v>0</v>
      </c>
      <c r="V1337" s="9">
        <f t="shared" si="857"/>
        <v>0</v>
      </c>
      <c r="W1337" s="7" t="s">
        <v>97</v>
      </c>
      <c r="X1337" s="2">
        <v>2016</v>
      </c>
      <c r="Y1337" s="2" t="s">
        <v>7793</v>
      </c>
    </row>
    <row r="1338" spans="1:25" s="11" customFormat="1" ht="89.25" customHeight="1" outlineLevel="1" x14ac:dyDescent="0.25">
      <c r="A1338" s="16"/>
      <c r="B1338" s="2" t="s">
        <v>8054</v>
      </c>
      <c r="C1338" s="3" t="s">
        <v>83</v>
      </c>
      <c r="D1338" s="19" t="s">
        <v>2799</v>
      </c>
      <c r="E1338" s="19" t="s">
        <v>2800</v>
      </c>
      <c r="F1338" s="19" t="s">
        <v>2801</v>
      </c>
      <c r="G1338" s="19"/>
      <c r="H1338" s="2" t="s">
        <v>88</v>
      </c>
      <c r="I1338" s="4">
        <v>0</v>
      </c>
      <c r="J1338" s="5">
        <v>710000000</v>
      </c>
      <c r="K1338" s="5" t="s">
        <v>89</v>
      </c>
      <c r="L1338" s="2" t="s">
        <v>754</v>
      </c>
      <c r="M1338" s="6" t="s">
        <v>787</v>
      </c>
      <c r="N1338" s="7" t="s">
        <v>92</v>
      </c>
      <c r="O1338" s="7" t="s">
        <v>93</v>
      </c>
      <c r="P1338" s="3" t="s">
        <v>673</v>
      </c>
      <c r="Q1338" s="8">
        <v>796</v>
      </c>
      <c r="R1338" s="7" t="s">
        <v>118</v>
      </c>
      <c r="S1338" s="9">
        <f>213+315+93+3</f>
        <v>624</v>
      </c>
      <c r="T1338" s="9">
        <v>767.86</v>
      </c>
      <c r="U1338" s="9">
        <f t="shared" ref="U1338" si="970">T1338*S1338</f>
        <v>479144.64</v>
      </c>
      <c r="V1338" s="9">
        <f t="shared" ref="V1338" si="971">U1338*1.12</f>
        <v>536641.99680000008</v>
      </c>
      <c r="W1338" s="7"/>
      <c r="X1338" s="2">
        <v>2016</v>
      </c>
      <c r="Y1338" s="2"/>
    </row>
    <row r="1339" spans="1:25" s="11" customFormat="1" ht="89.25" customHeight="1" outlineLevel="1" x14ac:dyDescent="0.25">
      <c r="A1339" s="1"/>
      <c r="B1339" s="2" t="s">
        <v>6171</v>
      </c>
      <c r="C1339" s="3" t="s">
        <v>83</v>
      </c>
      <c r="D1339" s="19" t="s">
        <v>2802</v>
      </c>
      <c r="E1339" s="19" t="s">
        <v>2803</v>
      </c>
      <c r="F1339" s="19" t="s">
        <v>2804</v>
      </c>
      <c r="G1339" s="19"/>
      <c r="H1339" s="2" t="s">
        <v>88</v>
      </c>
      <c r="I1339" s="4">
        <v>0.4</v>
      </c>
      <c r="J1339" s="5">
        <v>710000000</v>
      </c>
      <c r="K1339" s="5" t="s">
        <v>89</v>
      </c>
      <c r="L1339" s="2" t="s">
        <v>754</v>
      </c>
      <c r="M1339" s="6" t="s">
        <v>787</v>
      </c>
      <c r="N1339" s="7" t="s">
        <v>92</v>
      </c>
      <c r="O1339" s="7" t="s">
        <v>93</v>
      </c>
      <c r="P1339" s="3" t="s">
        <v>94</v>
      </c>
      <c r="Q1339" s="8" t="s">
        <v>2439</v>
      </c>
      <c r="R1339" s="7" t="s">
        <v>2440</v>
      </c>
      <c r="S1339" s="9">
        <v>132</v>
      </c>
      <c r="T1339" s="9">
        <v>310.72000000000003</v>
      </c>
      <c r="U1339" s="9">
        <v>0</v>
      </c>
      <c r="V1339" s="9">
        <f t="shared" si="857"/>
        <v>0</v>
      </c>
      <c r="W1339" s="7" t="s">
        <v>97</v>
      </c>
      <c r="X1339" s="2">
        <v>2016</v>
      </c>
      <c r="Y1339" s="2" t="s">
        <v>7793</v>
      </c>
    </row>
    <row r="1340" spans="1:25" s="11" customFormat="1" ht="89.25" customHeight="1" outlineLevel="1" x14ac:dyDescent="0.25">
      <c r="A1340" s="1"/>
      <c r="B1340" s="2" t="s">
        <v>8055</v>
      </c>
      <c r="C1340" s="3" t="s">
        <v>83</v>
      </c>
      <c r="D1340" s="19" t="s">
        <v>2802</v>
      </c>
      <c r="E1340" s="19" t="s">
        <v>2803</v>
      </c>
      <c r="F1340" s="19" t="s">
        <v>2804</v>
      </c>
      <c r="G1340" s="19"/>
      <c r="H1340" s="2" t="s">
        <v>88</v>
      </c>
      <c r="I1340" s="4">
        <v>0</v>
      </c>
      <c r="J1340" s="5">
        <v>710000000</v>
      </c>
      <c r="K1340" s="5" t="s">
        <v>89</v>
      </c>
      <c r="L1340" s="2" t="s">
        <v>754</v>
      </c>
      <c r="M1340" s="6" t="s">
        <v>787</v>
      </c>
      <c r="N1340" s="7" t="s">
        <v>92</v>
      </c>
      <c r="O1340" s="7" t="s">
        <v>93</v>
      </c>
      <c r="P1340" s="3" t="s">
        <v>673</v>
      </c>
      <c r="Q1340" s="8" t="s">
        <v>2439</v>
      </c>
      <c r="R1340" s="7" t="s">
        <v>2440</v>
      </c>
      <c r="S1340" s="9">
        <v>132</v>
      </c>
      <c r="T1340" s="9">
        <v>310.72000000000003</v>
      </c>
      <c r="U1340" s="9">
        <f t="shared" ref="U1340" si="972">T1340*S1340</f>
        <v>41015.040000000001</v>
      </c>
      <c r="V1340" s="9">
        <f t="shared" ref="V1340" si="973">U1340*1.12</f>
        <v>45936.844800000006</v>
      </c>
      <c r="W1340" s="7"/>
      <c r="X1340" s="2">
        <v>2016</v>
      </c>
      <c r="Y1340" s="2"/>
    </row>
    <row r="1341" spans="1:25" s="11" customFormat="1" ht="89.25" customHeight="1" outlineLevel="1" x14ac:dyDescent="0.25">
      <c r="A1341" s="1"/>
      <c r="B1341" s="2" t="s">
        <v>6172</v>
      </c>
      <c r="C1341" s="3" t="s">
        <v>83</v>
      </c>
      <c r="D1341" s="19" t="s">
        <v>2805</v>
      </c>
      <c r="E1341" s="19" t="s">
        <v>2803</v>
      </c>
      <c r="F1341" s="19" t="s">
        <v>2806</v>
      </c>
      <c r="G1341" s="19"/>
      <c r="H1341" s="2" t="s">
        <v>88</v>
      </c>
      <c r="I1341" s="4">
        <v>0.4</v>
      </c>
      <c r="J1341" s="5">
        <v>710000000</v>
      </c>
      <c r="K1341" s="5" t="s">
        <v>89</v>
      </c>
      <c r="L1341" s="2" t="s">
        <v>754</v>
      </c>
      <c r="M1341" s="6" t="s">
        <v>787</v>
      </c>
      <c r="N1341" s="7" t="s">
        <v>92</v>
      </c>
      <c r="O1341" s="7" t="s">
        <v>93</v>
      </c>
      <c r="P1341" s="3" t="s">
        <v>94</v>
      </c>
      <c r="Q1341" s="8" t="s">
        <v>2439</v>
      </c>
      <c r="R1341" s="7" t="s">
        <v>2440</v>
      </c>
      <c r="S1341" s="9">
        <v>575</v>
      </c>
      <c r="T1341" s="9">
        <v>199.11</v>
      </c>
      <c r="U1341" s="9">
        <v>0</v>
      </c>
      <c r="V1341" s="9">
        <f t="shared" si="857"/>
        <v>0</v>
      </c>
      <c r="W1341" s="7" t="s">
        <v>97</v>
      </c>
      <c r="X1341" s="2">
        <v>2016</v>
      </c>
      <c r="Y1341" s="2" t="s">
        <v>7793</v>
      </c>
    </row>
    <row r="1342" spans="1:25" s="11" customFormat="1" ht="89.25" customHeight="1" outlineLevel="1" x14ac:dyDescent="0.25">
      <c r="A1342" s="1"/>
      <c r="B1342" s="2" t="s">
        <v>8056</v>
      </c>
      <c r="C1342" s="3" t="s">
        <v>83</v>
      </c>
      <c r="D1342" s="19" t="s">
        <v>2805</v>
      </c>
      <c r="E1342" s="19" t="s">
        <v>2803</v>
      </c>
      <c r="F1342" s="19" t="s">
        <v>2806</v>
      </c>
      <c r="G1342" s="19"/>
      <c r="H1342" s="2" t="s">
        <v>88</v>
      </c>
      <c r="I1342" s="4">
        <v>0</v>
      </c>
      <c r="J1342" s="5">
        <v>710000000</v>
      </c>
      <c r="K1342" s="5" t="s">
        <v>89</v>
      </c>
      <c r="L1342" s="2" t="s">
        <v>754</v>
      </c>
      <c r="M1342" s="6" t="s">
        <v>787</v>
      </c>
      <c r="N1342" s="7" t="s">
        <v>92</v>
      </c>
      <c r="O1342" s="7" t="s">
        <v>93</v>
      </c>
      <c r="P1342" s="3" t="s">
        <v>673</v>
      </c>
      <c r="Q1342" s="8" t="s">
        <v>2439</v>
      </c>
      <c r="R1342" s="7" t="s">
        <v>2440</v>
      </c>
      <c r="S1342" s="9">
        <v>575</v>
      </c>
      <c r="T1342" s="9">
        <v>199.11</v>
      </c>
      <c r="U1342" s="9">
        <f t="shared" ref="U1342" si="974">T1342*S1342</f>
        <v>114488.25000000001</v>
      </c>
      <c r="V1342" s="9">
        <f t="shared" ref="V1342" si="975">U1342*1.12</f>
        <v>128226.84000000003</v>
      </c>
      <c r="W1342" s="7"/>
      <c r="X1342" s="2">
        <v>2016</v>
      </c>
      <c r="Y1342" s="2"/>
    </row>
    <row r="1343" spans="1:25" s="11" customFormat="1" ht="89.25" customHeight="1" outlineLevel="1" x14ac:dyDescent="0.25">
      <c r="A1343" s="1"/>
      <c r="B1343" s="2" t="s">
        <v>6173</v>
      </c>
      <c r="C1343" s="3" t="s">
        <v>83</v>
      </c>
      <c r="D1343" s="19" t="s">
        <v>2807</v>
      </c>
      <c r="E1343" s="19" t="s">
        <v>2803</v>
      </c>
      <c r="F1343" s="19" t="s">
        <v>2808</v>
      </c>
      <c r="G1343" s="19"/>
      <c r="H1343" s="2" t="s">
        <v>88</v>
      </c>
      <c r="I1343" s="4">
        <v>0.4</v>
      </c>
      <c r="J1343" s="5">
        <v>710000000</v>
      </c>
      <c r="K1343" s="5" t="s">
        <v>89</v>
      </c>
      <c r="L1343" s="2" t="s">
        <v>754</v>
      </c>
      <c r="M1343" s="6" t="s">
        <v>787</v>
      </c>
      <c r="N1343" s="7" t="s">
        <v>92</v>
      </c>
      <c r="O1343" s="7" t="s">
        <v>93</v>
      </c>
      <c r="P1343" s="3" t="s">
        <v>94</v>
      </c>
      <c r="Q1343" s="8" t="s">
        <v>2439</v>
      </c>
      <c r="R1343" s="7" t="s">
        <v>2440</v>
      </c>
      <c r="S1343" s="9">
        <f>1331+900+6+570</f>
        <v>2807</v>
      </c>
      <c r="T1343" s="9">
        <v>183.04</v>
      </c>
      <c r="U1343" s="9">
        <v>0</v>
      </c>
      <c r="V1343" s="9">
        <f t="shared" si="857"/>
        <v>0</v>
      </c>
      <c r="W1343" s="7" t="s">
        <v>97</v>
      </c>
      <c r="X1343" s="2">
        <v>2016</v>
      </c>
      <c r="Y1343" s="2" t="s">
        <v>7793</v>
      </c>
    </row>
    <row r="1344" spans="1:25" s="11" customFormat="1" ht="89.25" customHeight="1" outlineLevel="1" x14ac:dyDescent="0.25">
      <c r="A1344" s="1"/>
      <c r="B1344" s="2" t="s">
        <v>8057</v>
      </c>
      <c r="C1344" s="3" t="s">
        <v>83</v>
      </c>
      <c r="D1344" s="19" t="s">
        <v>2807</v>
      </c>
      <c r="E1344" s="19" t="s">
        <v>2803</v>
      </c>
      <c r="F1344" s="19" t="s">
        <v>2808</v>
      </c>
      <c r="G1344" s="19"/>
      <c r="H1344" s="2" t="s">
        <v>88</v>
      </c>
      <c r="I1344" s="4">
        <v>0</v>
      </c>
      <c r="J1344" s="5">
        <v>710000000</v>
      </c>
      <c r="K1344" s="5" t="s">
        <v>89</v>
      </c>
      <c r="L1344" s="2" t="s">
        <v>754</v>
      </c>
      <c r="M1344" s="6" t="s">
        <v>787</v>
      </c>
      <c r="N1344" s="7" t="s">
        <v>92</v>
      </c>
      <c r="O1344" s="7" t="s">
        <v>93</v>
      </c>
      <c r="P1344" s="3" t="s">
        <v>673</v>
      </c>
      <c r="Q1344" s="8" t="s">
        <v>2439</v>
      </c>
      <c r="R1344" s="7" t="s">
        <v>2440</v>
      </c>
      <c r="S1344" s="9">
        <f>1331+900+6+570</f>
        <v>2807</v>
      </c>
      <c r="T1344" s="9">
        <v>183.04</v>
      </c>
      <c r="U1344" s="9">
        <f t="shared" ref="U1344" si="976">T1344*S1344</f>
        <v>513793.27999999997</v>
      </c>
      <c r="V1344" s="9">
        <f t="shared" ref="V1344" si="977">U1344*1.12</f>
        <v>575448.47360000003</v>
      </c>
      <c r="W1344" s="7"/>
      <c r="X1344" s="2">
        <v>2016</v>
      </c>
      <c r="Y1344" s="2"/>
    </row>
    <row r="1345" spans="1:25" s="11" customFormat="1" ht="89.25" customHeight="1" outlineLevel="1" x14ac:dyDescent="0.25">
      <c r="A1345" s="1"/>
      <c r="B1345" s="2" t="s">
        <v>6174</v>
      </c>
      <c r="C1345" s="3" t="s">
        <v>83</v>
      </c>
      <c r="D1345" s="19" t="s">
        <v>2809</v>
      </c>
      <c r="E1345" s="19" t="s">
        <v>2803</v>
      </c>
      <c r="F1345" s="19" t="s">
        <v>2810</v>
      </c>
      <c r="G1345" s="19"/>
      <c r="H1345" s="2" t="s">
        <v>88</v>
      </c>
      <c r="I1345" s="4">
        <v>0.4</v>
      </c>
      <c r="J1345" s="5">
        <v>710000000</v>
      </c>
      <c r="K1345" s="5" t="s">
        <v>89</v>
      </c>
      <c r="L1345" s="2" t="s">
        <v>754</v>
      </c>
      <c r="M1345" s="6" t="s">
        <v>787</v>
      </c>
      <c r="N1345" s="7" t="s">
        <v>92</v>
      </c>
      <c r="O1345" s="7" t="s">
        <v>93</v>
      </c>
      <c r="P1345" s="3" t="s">
        <v>94</v>
      </c>
      <c r="Q1345" s="8" t="s">
        <v>2439</v>
      </c>
      <c r="R1345" s="7" t="s">
        <v>2440</v>
      </c>
      <c r="S1345" s="9">
        <f>2118+1400+72+90</f>
        <v>3680</v>
      </c>
      <c r="T1345" s="9">
        <v>118.75</v>
      </c>
      <c r="U1345" s="9">
        <v>0</v>
      </c>
      <c r="V1345" s="9">
        <f t="shared" ref="V1345:V1471" si="978">U1345*1.12</f>
        <v>0</v>
      </c>
      <c r="W1345" s="7" t="s">
        <v>97</v>
      </c>
      <c r="X1345" s="2">
        <v>2016</v>
      </c>
      <c r="Y1345" s="2" t="s">
        <v>7793</v>
      </c>
    </row>
    <row r="1346" spans="1:25" s="11" customFormat="1" ht="89.25" customHeight="1" outlineLevel="1" x14ac:dyDescent="0.25">
      <c r="A1346" s="1"/>
      <c r="B1346" s="2" t="s">
        <v>8058</v>
      </c>
      <c r="C1346" s="3" t="s">
        <v>83</v>
      </c>
      <c r="D1346" s="19" t="s">
        <v>2809</v>
      </c>
      <c r="E1346" s="19" t="s">
        <v>2803</v>
      </c>
      <c r="F1346" s="19" t="s">
        <v>2810</v>
      </c>
      <c r="G1346" s="19"/>
      <c r="H1346" s="2" t="s">
        <v>88</v>
      </c>
      <c r="I1346" s="4">
        <v>0</v>
      </c>
      <c r="J1346" s="5">
        <v>710000000</v>
      </c>
      <c r="K1346" s="5" t="s">
        <v>89</v>
      </c>
      <c r="L1346" s="2" t="s">
        <v>754</v>
      </c>
      <c r="M1346" s="6" t="s">
        <v>787</v>
      </c>
      <c r="N1346" s="7" t="s">
        <v>92</v>
      </c>
      <c r="O1346" s="7" t="s">
        <v>93</v>
      </c>
      <c r="P1346" s="3" t="s">
        <v>673</v>
      </c>
      <c r="Q1346" s="8" t="s">
        <v>2439</v>
      </c>
      <c r="R1346" s="7" t="s">
        <v>2440</v>
      </c>
      <c r="S1346" s="9">
        <f>2118+1400+72+90</f>
        <v>3680</v>
      </c>
      <c r="T1346" s="9">
        <v>118.75</v>
      </c>
      <c r="U1346" s="9">
        <f t="shared" ref="U1346" si="979">T1346*S1346</f>
        <v>437000</v>
      </c>
      <c r="V1346" s="9">
        <f t="shared" ref="V1346" si="980">U1346*1.12</f>
        <v>489440.00000000006</v>
      </c>
      <c r="W1346" s="7"/>
      <c r="X1346" s="2">
        <v>2016</v>
      </c>
      <c r="Y1346" s="2"/>
    </row>
    <row r="1347" spans="1:25" s="11" customFormat="1" ht="89.25" customHeight="1" outlineLevel="1" x14ac:dyDescent="0.25">
      <c r="A1347" s="1"/>
      <c r="B1347" s="2" t="s">
        <v>6175</v>
      </c>
      <c r="C1347" s="3" t="s">
        <v>83</v>
      </c>
      <c r="D1347" s="19" t="s">
        <v>2811</v>
      </c>
      <c r="E1347" s="19" t="s">
        <v>2803</v>
      </c>
      <c r="F1347" s="19" t="s">
        <v>2812</v>
      </c>
      <c r="G1347" s="19"/>
      <c r="H1347" s="2" t="s">
        <v>88</v>
      </c>
      <c r="I1347" s="4">
        <v>0.4</v>
      </c>
      <c r="J1347" s="5">
        <v>710000000</v>
      </c>
      <c r="K1347" s="5" t="s">
        <v>89</v>
      </c>
      <c r="L1347" s="2" t="s">
        <v>754</v>
      </c>
      <c r="M1347" s="6" t="s">
        <v>787</v>
      </c>
      <c r="N1347" s="7" t="s">
        <v>92</v>
      </c>
      <c r="O1347" s="7" t="s">
        <v>93</v>
      </c>
      <c r="P1347" s="3" t="s">
        <v>94</v>
      </c>
      <c r="Q1347" s="8" t="s">
        <v>2439</v>
      </c>
      <c r="R1347" s="7" t="s">
        <v>2440</v>
      </c>
      <c r="S1347" s="9">
        <f>50+20</f>
        <v>70</v>
      </c>
      <c r="T1347" s="9">
        <v>1044.6500000000001</v>
      </c>
      <c r="U1347" s="9">
        <v>0</v>
      </c>
      <c r="V1347" s="9">
        <f t="shared" si="978"/>
        <v>0</v>
      </c>
      <c r="W1347" s="7" t="s">
        <v>97</v>
      </c>
      <c r="X1347" s="2">
        <v>2016</v>
      </c>
      <c r="Y1347" s="2" t="s">
        <v>7793</v>
      </c>
    </row>
    <row r="1348" spans="1:25" s="11" customFormat="1" ht="89.25" customHeight="1" outlineLevel="1" x14ac:dyDescent="0.25">
      <c r="A1348" s="1"/>
      <c r="B1348" s="2" t="s">
        <v>8059</v>
      </c>
      <c r="C1348" s="3" t="s">
        <v>83</v>
      </c>
      <c r="D1348" s="19" t="s">
        <v>2811</v>
      </c>
      <c r="E1348" s="19" t="s">
        <v>2803</v>
      </c>
      <c r="F1348" s="19" t="s">
        <v>2812</v>
      </c>
      <c r="G1348" s="19"/>
      <c r="H1348" s="2" t="s">
        <v>88</v>
      </c>
      <c r="I1348" s="4">
        <v>0</v>
      </c>
      <c r="J1348" s="5">
        <v>710000000</v>
      </c>
      <c r="K1348" s="5" t="s">
        <v>89</v>
      </c>
      <c r="L1348" s="2" t="s">
        <v>754</v>
      </c>
      <c r="M1348" s="6" t="s">
        <v>787</v>
      </c>
      <c r="N1348" s="7" t="s">
        <v>92</v>
      </c>
      <c r="O1348" s="7" t="s">
        <v>93</v>
      </c>
      <c r="P1348" s="3" t="s">
        <v>673</v>
      </c>
      <c r="Q1348" s="8" t="s">
        <v>2439</v>
      </c>
      <c r="R1348" s="7" t="s">
        <v>2440</v>
      </c>
      <c r="S1348" s="9">
        <f>50+20</f>
        <v>70</v>
      </c>
      <c r="T1348" s="9">
        <v>1044.6500000000001</v>
      </c>
      <c r="U1348" s="9">
        <f t="shared" ref="U1348" si="981">T1348*S1348</f>
        <v>73125.5</v>
      </c>
      <c r="V1348" s="9">
        <f t="shared" ref="V1348" si="982">U1348*1.12</f>
        <v>81900.560000000012</v>
      </c>
      <c r="W1348" s="7"/>
      <c r="X1348" s="2">
        <v>2016</v>
      </c>
      <c r="Y1348" s="2"/>
    </row>
    <row r="1349" spans="1:25" s="11" customFormat="1" ht="89.25" customHeight="1" outlineLevel="1" x14ac:dyDescent="0.25">
      <c r="A1349" s="1"/>
      <c r="B1349" s="2" t="s">
        <v>6176</v>
      </c>
      <c r="C1349" s="3" t="s">
        <v>83</v>
      </c>
      <c r="D1349" s="19" t="s">
        <v>2813</v>
      </c>
      <c r="E1349" s="19" t="s">
        <v>2803</v>
      </c>
      <c r="F1349" s="19" t="s">
        <v>2814</v>
      </c>
      <c r="G1349" s="19"/>
      <c r="H1349" s="2" t="s">
        <v>88</v>
      </c>
      <c r="I1349" s="4">
        <v>0.4</v>
      </c>
      <c r="J1349" s="5">
        <v>710000000</v>
      </c>
      <c r="K1349" s="5" t="s">
        <v>89</v>
      </c>
      <c r="L1349" s="2" t="s">
        <v>754</v>
      </c>
      <c r="M1349" s="6" t="s">
        <v>787</v>
      </c>
      <c r="N1349" s="7" t="s">
        <v>92</v>
      </c>
      <c r="O1349" s="7" t="s">
        <v>93</v>
      </c>
      <c r="P1349" s="3" t="s">
        <v>94</v>
      </c>
      <c r="Q1349" s="8" t="s">
        <v>2439</v>
      </c>
      <c r="R1349" s="7" t="s">
        <v>2440</v>
      </c>
      <c r="S1349" s="9">
        <v>24</v>
      </c>
      <c r="T1349" s="9">
        <v>156.25</v>
      </c>
      <c r="U1349" s="9">
        <v>0</v>
      </c>
      <c r="V1349" s="9">
        <f t="shared" si="978"/>
        <v>0</v>
      </c>
      <c r="W1349" s="7" t="s">
        <v>97</v>
      </c>
      <c r="X1349" s="2">
        <v>2016</v>
      </c>
      <c r="Y1349" s="2" t="s">
        <v>7793</v>
      </c>
    </row>
    <row r="1350" spans="1:25" s="11" customFormat="1" ht="89.25" customHeight="1" outlineLevel="1" x14ac:dyDescent="0.25">
      <c r="A1350" s="1"/>
      <c r="B1350" s="2" t="s">
        <v>8060</v>
      </c>
      <c r="C1350" s="3" t="s">
        <v>83</v>
      </c>
      <c r="D1350" s="19" t="s">
        <v>2813</v>
      </c>
      <c r="E1350" s="19" t="s">
        <v>2803</v>
      </c>
      <c r="F1350" s="19" t="s">
        <v>2814</v>
      </c>
      <c r="G1350" s="19"/>
      <c r="H1350" s="2" t="s">
        <v>88</v>
      </c>
      <c r="I1350" s="4">
        <v>0</v>
      </c>
      <c r="J1350" s="5">
        <v>710000000</v>
      </c>
      <c r="K1350" s="5" t="s">
        <v>89</v>
      </c>
      <c r="L1350" s="2" t="s">
        <v>754</v>
      </c>
      <c r="M1350" s="6" t="s">
        <v>787</v>
      </c>
      <c r="N1350" s="7" t="s">
        <v>92</v>
      </c>
      <c r="O1350" s="7" t="s">
        <v>93</v>
      </c>
      <c r="P1350" s="3" t="s">
        <v>673</v>
      </c>
      <c r="Q1350" s="8" t="s">
        <v>2439</v>
      </c>
      <c r="R1350" s="7" t="s">
        <v>2440</v>
      </c>
      <c r="S1350" s="9">
        <v>24</v>
      </c>
      <c r="T1350" s="9">
        <v>156.25</v>
      </c>
      <c r="U1350" s="9">
        <f t="shared" ref="U1350" si="983">T1350*S1350</f>
        <v>3750</v>
      </c>
      <c r="V1350" s="9">
        <f t="shared" ref="V1350" si="984">U1350*1.12</f>
        <v>4200</v>
      </c>
      <c r="W1350" s="7"/>
      <c r="X1350" s="2">
        <v>2016</v>
      </c>
      <c r="Y1350" s="2"/>
    </row>
    <row r="1351" spans="1:25" s="11" customFormat="1" ht="89.25" customHeight="1" outlineLevel="1" x14ac:dyDescent="0.25">
      <c r="A1351" s="1"/>
      <c r="B1351" s="2" t="s">
        <v>6177</v>
      </c>
      <c r="C1351" s="3" t="s">
        <v>83</v>
      </c>
      <c r="D1351" s="19" t="s">
        <v>2815</v>
      </c>
      <c r="E1351" s="19" t="s">
        <v>2803</v>
      </c>
      <c r="F1351" s="19" t="s">
        <v>2816</v>
      </c>
      <c r="G1351" s="19" t="s">
        <v>2817</v>
      </c>
      <c r="H1351" s="2" t="s">
        <v>88</v>
      </c>
      <c r="I1351" s="4">
        <v>0.4</v>
      </c>
      <c r="J1351" s="5">
        <v>710000000</v>
      </c>
      <c r="K1351" s="5" t="s">
        <v>89</v>
      </c>
      <c r="L1351" s="2" t="s">
        <v>754</v>
      </c>
      <c r="M1351" s="6" t="s">
        <v>787</v>
      </c>
      <c r="N1351" s="7" t="s">
        <v>92</v>
      </c>
      <c r="O1351" s="7" t="s">
        <v>93</v>
      </c>
      <c r="P1351" s="3" t="s">
        <v>94</v>
      </c>
      <c r="Q1351" s="8" t="s">
        <v>2439</v>
      </c>
      <c r="R1351" s="7" t="s">
        <v>2440</v>
      </c>
      <c r="S1351" s="9">
        <v>63</v>
      </c>
      <c r="T1351" s="9">
        <v>715.18</v>
      </c>
      <c r="U1351" s="9">
        <v>0</v>
      </c>
      <c r="V1351" s="9">
        <f t="shared" si="978"/>
        <v>0</v>
      </c>
      <c r="W1351" s="7" t="s">
        <v>97</v>
      </c>
      <c r="X1351" s="2">
        <v>2016</v>
      </c>
      <c r="Y1351" s="2" t="s">
        <v>7793</v>
      </c>
    </row>
    <row r="1352" spans="1:25" s="11" customFormat="1" ht="89.25" customHeight="1" outlineLevel="1" x14ac:dyDescent="0.25">
      <c r="A1352" s="1"/>
      <c r="B1352" s="2" t="s">
        <v>8061</v>
      </c>
      <c r="C1352" s="3" t="s">
        <v>83</v>
      </c>
      <c r="D1352" s="19" t="s">
        <v>2815</v>
      </c>
      <c r="E1352" s="19" t="s">
        <v>2803</v>
      </c>
      <c r="F1352" s="19" t="s">
        <v>2816</v>
      </c>
      <c r="G1352" s="19" t="s">
        <v>2817</v>
      </c>
      <c r="H1352" s="2" t="s">
        <v>88</v>
      </c>
      <c r="I1352" s="4">
        <v>0</v>
      </c>
      <c r="J1352" s="5">
        <v>710000000</v>
      </c>
      <c r="K1352" s="5" t="s">
        <v>89</v>
      </c>
      <c r="L1352" s="2" t="s">
        <v>754</v>
      </c>
      <c r="M1352" s="6" t="s">
        <v>787</v>
      </c>
      <c r="N1352" s="7" t="s">
        <v>92</v>
      </c>
      <c r="O1352" s="7" t="s">
        <v>93</v>
      </c>
      <c r="P1352" s="3" t="s">
        <v>673</v>
      </c>
      <c r="Q1352" s="8" t="s">
        <v>2439</v>
      </c>
      <c r="R1352" s="7" t="s">
        <v>2440</v>
      </c>
      <c r="S1352" s="9">
        <v>63</v>
      </c>
      <c r="T1352" s="9">
        <v>715.18</v>
      </c>
      <c r="U1352" s="9">
        <f t="shared" ref="U1352" si="985">T1352*S1352</f>
        <v>45056.34</v>
      </c>
      <c r="V1352" s="9">
        <f t="shared" ref="V1352" si="986">U1352*1.12</f>
        <v>50463.1008</v>
      </c>
      <c r="W1352" s="7"/>
      <c r="X1352" s="2">
        <v>2016</v>
      </c>
      <c r="Y1352" s="2"/>
    </row>
    <row r="1353" spans="1:25" s="11" customFormat="1" ht="89.25" customHeight="1" outlineLevel="1" x14ac:dyDescent="0.25">
      <c r="A1353" s="1"/>
      <c r="B1353" s="2" t="s">
        <v>6178</v>
      </c>
      <c r="C1353" s="3" t="s">
        <v>83</v>
      </c>
      <c r="D1353" s="19" t="s">
        <v>2818</v>
      </c>
      <c r="E1353" s="19" t="s">
        <v>2803</v>
      </c>
      <c r="F1353" s="19" t="s">
        <v>2819</v>
      </c>
      <c r="G1353" s="19" t="s">
        <v>2820</v>
      </c>
      <c r="H1353" s="2" t="s">
        <v>88</v>
      </c>
      <c r="I1353" s="4">
        <v>0.4</v>
      </c>
      <c r="J1353" s="5">
        <v>710000000</v>
      </c>
      <c r="K1353" s="5" t="s">
        <v>89</v>
      </c>
      <c r="L1353" s="2" t="s">
        <v>754</v>
      </c>
      <c r="M1353" s="6" t="s">
        <v>787</v>
      </c>
      <c r="N1353" s="7" t="s">
        <v>92</v>
      </c>
      <c r="O1353" s="7" t="s">
        <v>93</v>
      </c>
      <c r="P1353" s="3" t="s">
        <v>94</v>
      </c>
      <c r="Q1353" s="8" t="s">
        <v>2439</v>
      </c>
      <c r="R1353" s="7" t="s">
        <v>2440</v>
      </c>
      <c r="S1353" s="9">
        <v>31</v>
      </c>
      <c r="T1353" s="9">
        <v>1583.04</v>
      </c>
      <c r="U1353" s="9">
        <v>0</v>
      </c>
      <c r="V1353" s="9">
        <f t="shared" si="978"/>
        <v>0</v>
      </c>
      <c r="W1353" s="7" t="s">
        <v>97</v>
      </c>
      <c r="X1353" s="2">
        <v>2016</v>
      </c>
      <c r="Y1353" s="2" t="s">
        <v>7793</v>
      </c>
    </row>
    <row r="1354" spans="1:25" s="11" customFormat="1" ht="89.25" customHeight="1" outlineLevel="1" x14ac:dyDescent="0.25">
      <c r="A1354" s="1"/>
      <c r="B1354" s="2" t="s">
        <v>8062</v>
      </c>
      <c r="C1354" s="3" t="s">
        <v>83</v>
      </c>
      <c r="D1354" s="19" t="s">
        <v>2818</v>
      </c>
      <c r="E1354" s="19" t="s">
        <v>2803</v>
      </c>
      <c r="F1354" s="19" t="s">
        <v>2819</v>
      </c>
      <c r="G1354" s="19" t="s">
        <v>2820</v>
      </c>
      <c r="H1354" s="2" t="s">
        <v>88</v>
      </c>
      <c r="I1354" s="4">
        <v>0</v>
      </c>
      <c r="J1354" s="5">
        <v>710000000</v>
      </c>
      <c r="K1354" s="5" t="s">
        <v>89</v>
      </c>
      <c r="L1354" s="2" t="s">
        <v>754</v>
      </c>
      <c r="M1354" s="6" t="s">
        <v>787</v>
      </c>
      <c r="N1354" s="7" t="s">
        <v>92</v>
      </c>
      <c r="O1354" s="7" t="s">
        <v>93</v>
      </c>
      <c r="P1354" s="3" t="s">
        <v>673</v>
      </c>
      <c r="Q1354" s="8" t="s">
        <v>2439</v>
      </c>
      <c r="R1354" s="7" t="s">
        <v>2440</v>
      </c>
      <c r="S1354" s="9">
        <v>31</v>
      </c>
      <c r="T1354" s="9">
        <v>1583.04</v>
      </c>
      <c r="U1354" s="9">
        <f t="shared" ref="U1354" si="987">T1354*S1354</f>
        <v>49074.239999999998</v>
      </c>
      <c r="V1354" s="9">
        <f t="shared" ref="V1354" si="988">U1354*1.12</f>
        <v>54963.148800000003</v>
      </c>
      <c r="W1354" s="7"/>
      <c r="X1354" s="2">
        <v>2016</v>
      </c>
      <c r="Y1354" s="2"/>
    </row>
    <row r="1355" spans="1:25" s="11" customFormat="1" ht="89.25" customHeight="1" outlineLevel="1" x14ac:dyDescent="0.25">
      <c r="A1355" s="1"/>
      <c r="B1355" s="2" t="s">
        <v>6179</v>
      </c>
      <c r="C1355" s="3" t="s">
        <v>83</v>
      </c>
      <c r="D1355" s="19" t="s">
        <v>2821</v>
      </c>
      <c r="E1355" s="19" t="s">
        <v>2803</v>
      </c>
      <c r="F1355" s="19" t="s">
        <v>2822</v>
      </c>
      <c r="G1355" s="19"/>
      <c r="H1355" s="2" t="s">
        <v>88</v>
      </c>
      <c r="I1355" s="4">
        <v>0.4</v>
      </c>
      <c r="J1355" s="5">
        <v>710000000</v>
      </c>
      <c r="K1355" s="5" t="s">
        <v>89</v>
      </c>
      <c r="L1355" s="2" t="s">
        <v>754</v>
      </c>
      <c r="M1355" s="6" t="s">
        <v>787</v>
      </c>
      <c r="N1355" s="7" t="s">
        <v>92</v>
      </c>
      <c r="O1355" s="7" t="s">
        <v>93</v>
      </c>
      <c r="P1355" s="3" t="s">
        <v>94</v>
      </c>
      <c r="Q1355" s="8" t="s">
        <v>2439</v>
      </c>
      <c r="R1355" s="7" t="s">
        <v>2440</v>
      </c>
      <c r="S1355" s="9">
        <v>69</v>
      </c>
      <c r="T1355" s="9">
        <v>1439.29</v>
      </c>
      <c r="U1355" s="9">
        <v>0</v>
      </c>
      <c r="V1355" s="9">
        <f t="shared" si="978"/>
        <v>0</v>
      </c>
      <c r="W1355" s="7" t="s">
        <v>97</v>
      </c>
      <c r="X1355" s="2">
        <v>2016</v>
      </c>
      <c r="Y1355" s="2" t="s">
        <v>7793</v>
      </c>
    </row>
    <row r="1356" spans="1:25" s="11" customFormat="1" ht="89.25" customHeight="1" outlineLevel="1" x14ac:dyDescent="0.25">
      <c r="A1356" s="1"/>
      <c r="B1356" s="2" t="s">
        <v>8063</v>
      </c>
      <c r="C1356" s="3" t="s">
        <v>83</v>
      </c>
      <c r="D1356" s="19" t="s">
        <v>2821</v>
      </c>
      <c r="E1356" s="19" t="s">
        <v>2803</v>
      </c>
      <c r="F1356" s="19" t="s">
        <v>2822</v>
      </c>
      <c r="G1356" s="19"/>
      <c r="H1356" s="2" t="s">
        <v>88</v>
      </c>
      <c r="I1356" s="4">
        <v>0</v>
      </c>
      <c r="J1356" s="5">
        <v>710000000</v>
      </c>
      <c r="K1356" s="5" t="s">
        <v>89</v>
      </c>
      <c r="L1356" s="2" t="s">
        <v>754</v>
      </c>
      <c r="M1356" s="6" t="s">
        <v>787</v>
      </c>
      <c r="N1356" s="7" t="s">
        <v>92</v>
      </c>
      <c r="O1356" s="7" t="s">
        <v>93</v>
      </c>
      <c r="P1356" s="3" t="s">
        <v>673</v>
      </c>
      <c r="Q1356" s="8" t="s">
        <v>2439</v>
      </c>
      <c r="R1356" s="7" t="s">
        <v>2440</v>
      </c>
      <c r="S1356" s="9">
        <v>69</v>
      </c>
      <c r="T1356" s="9">
        <v>1439.29</v>
      </c>
      <c r="U1356" s="9">
        <f t="shared" ref="U1356" si="989">T1356*S1356</f>
        <v>99311.01</v>
      </c>
      <c r="V1356" s="9">
        <f t="shared" ref="V1356" si="990">U1356*1.12</f>
        <v>111228.3312</v>
      </c>
      <c r="W1356" s="7"/>
      <c r="X1356" s="2">
        <v>2016</v>
      </c>
      <c r="Y1356" s="2"/>
    </row>
    <row r="1357" spans="1:25" s="20" customFormat="1" ht="89.25" customHeight="1" outlineLevel="1" x14ac:dyDescent="0.25">
      <c r="A1357" s="1"/>
      <c r="B1357" s="2" t="s">
        <v>6180</v>
      </c>
      <c r="C1357" s="3" t="s">
        <v>83</v>
      </c>
      <c r="D1357" s="19" t="s">
        <v>2823</v>
      </c>
      <c r="E1357" s="19" t="s">
        <v>2800</v>
      </c>
      <c r="F1357" s="19" t="s">
        <v>2824</v>
      </c>
      <c r="G1357" s="19" t="s">
        <v>2825</v>
      </c>
      <c r="H1357" s="2" t="s">
        <v>88</v>
      </c>
      <c r="I1357" s="4">
        <v>0.4</v>
      </c>
      <c r="J1357" s="5">
        <v>710000000</v>
      </c>
      <c r="K1357" s="5" t="s">
        <v>89</v>
      </c>
      <c r="L1357" s="2" t="s">
        <v>754</v>
      </c>
      <c r="M1357" s="6" t="s">
        <v>787</v>
      </c>
      <c r="N1357" s="7" t="s">
        <v>92</v>
      </c>
      <c r="O1357" s="7" t="s">
        <v>93</v>
      </c>
      <c r="P1357" s="3" t="s">
        <v>94</v>
      </c>
      <c r="Q1357" s="8">
        <v>796</v>
      </c>
      <c r="R1357" s="7" t="s">
        <v>118</v>
      </c>
      <c r="S1357" s="9">
        <v>4</v>
      </c>
      <c r="T1357" s="9">
        <v>2254.4699999999998</v>
      </c>
      <c r="U1357" s="9">
        <v>0</v>
      </c>
      <c r="V1357" s="9">
        <f t="shared" si="978"/>
        <v>0</v>
      </c>
      <c r="W1357" s="7" t="s">
        <v>97</v>
      </c>
      <c r="X1357" s="2">
        <v>2016</v>
      </c>
      <c r="Y1357" s="2" t="s">
        <v>7793</v>
      </c>
    </row>
    <row r="1358" spans="1:25" s="20" customFormat="1" ht="89.25" customHeight="1" outlineLevel="1" x14ac:dyDescent="0.25">
      <c r="A1358" s="1"/>
      <c r="B1358" s="2" t="s">
        <v>8064</v>
      </c>
      <c r="C1358" s="3" t="s">
        <v>83</v>
      </c>
      <c r="D1358" s="19" t="s">
        <v>2823</v>
      </c>
      <c r="E1358" s="19" t="s">
        <v>2800</v>
      </c>
      <c r="F1358" s="19" t="s">
        <v>2824</v>
      </c>
      <c r="G1358" s="19" t="s">
        <v>2825</v>
      </c>
      <c r="H1358" s="2" t="s">
        <v>88</v>
      </c>
      <c r="I1358" s="4">
        <v>0</v>
      </c>
      <c r="J1358" s="5">
        <v>710000000</v>
      </c>
      <c r="K1358" s="5" t="s">
        <v>89</v>
      </c>
      <c r="L1358" s="2" t="s">
        <v>754</v>
      </c>
      <c r="M1358" s="6" t="s">
        <v>787</v>
      </c>
      <c r="N1358" s="7" t="s">
        <v>92</v>
      </c>
      <c r="O1358" s="7" t="s">
        <v>93</v>
      </c>
      <c r="P1358" s="3" t="s">
        <v>673</v>
      </c>
      <c r="Q1358" s="8">
        <v>796</v>
      </c>
      <c r="R1358" s="7" t="s">
        <v>118</v>
      </c>
      <c r="S1358" s="9">
        <v>4</v>
      </c>
      <c r="T1358" s="9">
        <v>2254.4699999999998</v>
      </c>
      <c r="U1358" s="9">
        <f t="shared" ref="U1358" si="991">T1358*S1358</f>
        <v>9017.8799999999992</v>
      </c>
      <c r="V1358" s="9">
        <f t="shared" ref="V1358" si="992">U1358*1.12</f>
        <v>10100.025600000001</v>
      </c>
      <c r="W1358" s="7"/>
      <c r="X1358" s="2">
        <v>2016</v>
      </c>
      <c r="Y1358" s="2"/>
    </row>
    <row r="1359" spans="1:25" s="20" customFormat="1" ht="89.25" customHeight="1" outlineLevel="1" x14ac:dyDescent="0.25">
      <c r="A1359" s="1"/>
      <c r="B1359" s="2" t="s">
        <v>6181</v>
      </c>
      <c r="C1359" s="3" t="s">
        <v>83</v>
      </c>
      <c r="D1359" s="19" t="s">
        <v>2823</v>
      </c>
      <c r="E1359" s="19" t="s">
        <v>2800</v>
      </c>
      <c r="F1359" s="19" t="s">
        <v>2824</v>
      </c>
      <c r="G1359" s="19" t="s">
        <v>2826</v>
      </c>
      <c r="H1359" s="2" t="s">
        <v>88</v>
      </c>
      <c r="I1359" s="4">
        <v>0.4</v>
      </c>
      <c r="J1359" s="5">
        <v>710000000</v>
      </c>
      <c r="K1359" s="5" t="s">
        <v>89</v>
      </c>
      <c r="L1359" s="2" t="s">
        <v>754</v>
      </c>
      <c r="M1359" s="6" t="s">
        <v>787</v>
      </c>
      <c r="N1359" s="7" t="s">
        <v>92</v>
      </c>
      <c r="O1359" s="7" t="s">
        <v>93</v>
      </c>
      <c r="P1359" s="3" t="s">
        <v>94</v>
      </c>
      <c r="Q1359" s="8">
        <v>796</v>
      </c>
      <c r="R1359" s="7" t="s">
        <v>118</v>
      </c>
      <c r="S1359" s="9">
        <v>40</v>
      </c>
      <c r="T1359" s="9">
        <v>703.78</v>
      </c>
      <c r="U1359" s="9">
        <v>0</v>
      </c>
      <c r="V1359" s="9">
        <f t="shared" si="978"/>
        <v>0</v>
      </c>
      <c r="W1359" s="7" t="s">
        <v>97</v>
      </c>
      <c r="X1359" s="2">
        <v>2016</v>
      </c>
      <c r="Y1359" s="2" t="s">
        <v>7793</v>
      </c>
    </row>
    <row r="1360" spans="1:25" s="20" customFormat="1" ht="89.25" customHeight="1" outlineLevel="1" x14ac:dyDescent="0.25">
      <c r="A1360" s="1"/>
      <c r="B1360" s="2" t="s">
        <v>9647</v>
      </c>
      <c r="C1360" s="3" t="s">
        <v>83</v>
      </c>
      <c r="D1360" s="19" t="s">
        <v>2823</v>
      </c>
      <c r="E1360" s="19" t="s">
        <v>2800</v>
      </c>
      <c r="F1360" s="19" t="s">
        <v>2824</v>
      </c>
      <c r="G1360" s="19" t="s">
        <v>2826</v>
      </c>
      <c r="H1360" s="2" t="s">
        <v>88</v>
      </c>
      <c r="I1360" s="4">
        <v>0</v>
      </c>
      <c r="J1360" s="5">
        <v>710000000</v>
      </c>
      <c r="K1360" s="5" t="s">
        <v>89</v>
      </c>
      <c r="L1360" s="2" t="s">
        <v>754</v>
      </c>
      <c r="M1360" s="6" t="s">
        <v>787</v>
      </c>
      <c r="N1360" s="7" t="s">
        <v>92</v>
      </c>
      <c r="O1360" s="7" t="s">
        <v>93</v>
      </c>
      <c r="P1360" s="3" t="s">
        <v>673</v>
      </c>
      <c r="Q1360" s="8">
        <v>796</v>
      </c>
      <c r="R1360" s="7" t="s">
        <v>118</v>
      </c>
      <c r="S1360" s="9">
        <v>40</v>
      </c>
      <c r="T1360" s="9">
        <v>703.78</v>
      </c>
      <c r="U1360" s="9">
        <f t="shared" ref="U1360" si="993">T1360*S1360</f>
        <v>28151.199999999997</v>
      </c>
      <c r="V1360" s="9">
        <f t="shared" ref="V1360" si="994">U1360*1.12</f>
        <v>31529.344000000001</v>
      </c>
      <c r="W1360" s="7"/>
      <c r="X1360" s="2">
        <v>2016</v>
      </c>
      <c r="Y1360" s="2"/>
    </row>
    <row r="1361" spans="1:25" s="20" customFormat="1" ht="89.25" customHeight="1" outlineLevel="1" x14ac:dyDescent="0.25">
      <c r="A1361" s="1"/>
      <c r="B1361" s="2" t="s">
        <v>6182</v>
      </c>
      <c r="C1361" s="3" t="s">
        <v>83</v>
      </c>
      <c r="D1361" s="19" t="s">
        <v>2823</v>
      </c>
      <c r="E1361" s="19" t="s">
        <v>2800</v>
      </c>
      <c r="F1361" s="19" t="s">
        <v>2824</v>
      </c>
      <c r="G1361" s="19" t="s">
        <v>2827</v>
      </c>
      <c r="H1361" s="2" t="s">
        <v>88</v>
      </c>
      <c r="I1361" s="4">
        <v>0.4</v>
      </c>
      <c r="J1361" s="5">
        <v>710000000</v>
      </c>
      <c r="K1361" s="5" t="s">
        <v>89</v>
      </c>
      <c r="L1361" s="2" t="s">
        <v>754</v>
      </c>
      <c r="M1361" s="6" t="s">
        <v>787</v>
      </c>
      <c r="N1361" s="7" t="s">
        <v>92</v>
      </c>
      <c r="O1361" s="7" t="s">
        <v>93</v>
      </c>
      <c r="P1361" s="3" t="s">
        <v>94</v>
      </c>
      <c r="Q1361" s="8">
        <v>796</v>
      </c>
      <c r="R1361" s="7" t="s">
        <v>118</v>
      </c>
      <c r="S1361" s="9">
        <f>6+40</f>
        <v>46</v>
      </c>
      <c r="T1361" s="9">
        <v>982.15</v>
      </c>
      <c r="U1361" s="9">
        <v>0</v>
      </c>
      <c r="V1361" s="9">
        <f t="shared" si="978"/>
        <v>0</v>
      </c>
      <c r="W1361" s="7" t="s">
        <v>97</v>
      </c>
      <c r="X1361" s="2">
        <v>2016</v>
      </c>
      <c r="Y1361" s="2" t="s">
        <v>7793</v>
      </c>
    </row>
    <row r="1362" spans="1:25" s="20" customFormat="1" ht="89.25" customHeight="1" outlineLevel="1" x14ac:dyDescent="0.25">
      <c r="A1362" s="1"/>
      <c r="B1362" s="2" t="s">
        <v>8065</v>
      </c>
      <c r="C1362" s="3" t="s">
        <v>83</v>
      </c>
      <c r="D1362" s="19" t="s">
        <v>2823</v>
      </c>
      <c r="E1362" s="19" t="s">
        <v>2800</v>
      </c>
      <c r="F1362" s="19" t="s">
        <v>2824</v>
      </c>
      <c r="G1362" s="19" t="s">
        <v>2827</v>
      </c>
      <c r="H1362" s="2" t="s">
        <v>88</v>
      </c>
      <c r="I1362" s="4">
        <v>0</v>
      </c>
      <c r="J1362" s="5">
        <v>710000000</v>
      </c>
      <c r="K1362" s="5" t="s">
        <v>89</v>
      </c>
      <c r="L1362" s="2" t="s">
        <v>754</v>
      </c>
      <c r="M1362" s="6" t="s">
        <v>787</v>
      </c>
      <c r="N1362" s="7" t="s">
        <v>92</v>
      </c>
      <c r="O1362" s="7" t="s">
        <v>93</v>
      </c>
      <c r="P1362" s="3" t="s">
        <v>673</v>
      </c>
      <c r="Q1362" s="8">
        <v>796</v>
      </c>
      <c r="R1362" s="7" t="s">
        <v>118</v>
      </c>
      <c r="S1362" s="9">
        <f>6+40</f>
        <v>46</v>
      </c>
      <c r="T1362" s="9">
        <v>982.15</v>
      </c>
      <c r="U1362" s="9">
        <f t="shared" ref="U1362" si="995">T1362*S1362</f>
        <v>45178.9</v>
      </c>
      <c r="V1362" s="9">
        <f t="shared" ref="V1362" si="996">U1362*1.12</f>
        <v>50600.368000000009</v>
      </c>
      <c r="W1362" s="7"/>
      <c r="X1362" s="2">
        <v>2016</v>
      </c>
      <c r="Y1362" s="2"/>
    </row>
    <row r="1363" spans="1:25" s="20" customFormat="1" ht="89.25" customHeight="1" outlineLevel="1" x14ac:dyDescent="0.25">
      <c r="A1363" s="1"/>
      <c r="B1363" s="2" t="s">
        <v>6183</v>
      </c>
      <c r="C1363" s="3" t="s">
        <v>83</v>
      </c>
      <c r="D1363" s="19" t="s">
        <v>2823</v>
      </c>
      <c r="E1363" s="19" t="s">
        <v>2800</v>
      </c>
      <c r="F1363" s="19" t="s">
        <v>2824</v>
      </c>
      <c r="G1363" s="19" t="s">
        <v>2828</v>
      </c>
      <c r="H1363" s="2" t="s">
        <v>88</v>
      </c>
      <c r="I1363" s="4">
        <v>0.4</v>
      </c>
      <c r="J1363" s="5">
        <v>710000000</v>
      </c>
      <c r="K1363" s="5" t="s">
        <v>89</v>
      </c>
      <c r="L1363" s="2" t="s">
        <v>754</v>
      </c>
      <c r="M1363" s="6" t="s">
        <v>787</v>
      </c>
      <c r="N1363" s="7" t="s">
        <v>92</v>
      </c>
      <c r="O1363" s="7" t="s">
        <v>93</v>
      </c>
      <c r="P1363" s="3" t="s">
        <v>94</v>
      </c>
      <c r="Q1363" s="8">
        <v>796</v>
      </c>
      <c r="R1363" s="7" t="s">
        <v>118</v>
      </c>
      <c r="S1363" s="9">
        <f>8+6</f>
        <v>14</v>
      </c>
      <c r="T1363" s="9">
        <v>982.15</v>
      </c>
      <c r="U1363" s="9">
        <v>0</v>
      </c>
      <c r="V1363" s="9">
        <f t="shared" si="978"/>
        <v>0</v>
      </c>
      <c r="W1363" s="7" t="s">
        <v>97</v>
      </c>
      <c r="X1363" s="2">
        <v>2016</v>
      </c>
      <c r="Y1363" s="2" t="s">
        <v>7793</v>
      </c>
    </row>
    <row r="1364" spans="1:25" s="20" customFormat="1" ht="89.25" customHeight="1" outlineLevel="1" x14ac:dyDescent="0.25">
      <c r="A1364" s="1"/>
      <c r="B1364" s="2" t="s">
        <v>8066</v>
      </c>
      <c r="C1364" s="3" t="s">
        <v>83</v>
      </c>
      <c r="D1364" s="19" t="s">
        <v>2823</v>
      </c>
      <c r="E1364" s="19" t="s">
        <v>2800</v>
      </c>
      <c r="F1364" s="19" t="s">
        <v>2824</v>
      </c>
      <c r="G1364" s="19" t="s">
        <v>2828</v>
      </c>
      <c r="H1364" s="2" t="s">
        <v>88</v>
      </c>
      <c r="I1364" s="4">
        <v>0</v>
      </c>
      <c r="J1364" s="5">
        <v>710000000</v>
      </c>
      <c r="K1364" s="5" t="s">
        <v>89</v>
      </c>
      <c r="L1364" s="2" t="s">
        <v>754</v>
      </c>
      <c r="M1364" s="6" t="s">
        <v>787</v>
      </c>
      <c r="N1364" s="7" t="s">
        <v>92</v>
      </c>
      <c r="O1364" s="7" t="s">
        <v>93</v>
      </c>
      <c r="P1364" s="3" t="s">
        <v>673</v>
      </c>
      <c r="Q1364" s="8">
        <v>796</v>
      </c>
      <c r="R1364" s="7" t="s">
        <v>118</v>
      </c>
      <c r="S1364" s="9">
        <f>8+6</f>
        <v>14</v>
      </c>
      <c r="T1364" s="9">
        <v>982.15</v>
      </c>
      <c r="U1364" s="9">
        <f t="shared" ref="U1364" si="997">T1364*S1364</f>
        <v>13750.1</v>
      </c>
      <c r="V1364" s="9">
        <f t="shared" ref="V1364" si="998">U1364*1.12</f>
        <v>15400.112000000001</v>
      </c>
      <c r="W1364" s="7"/>
      <c r="X1364" s="2">
        <v>2016</v>
      </c>
      <c r="Y1364" s="2"/>
    </row>
    <row r="1365" spans="1:25" s="11" customFormat="1" ht="89.25" customHeight="1" outlineLevel="1" x14ac:dyDescent="0.25">
      <c r="A1365" s="1"/>
      <c r="B1365" s="2" t="s">
        <v>6184</v>
      </c>
      <c r="C1365" s="3" t="s">
        <v>83</v>
      </c>
      <c r="D1365" s="19" t="s">
        <v>2823</v>
      </c>
      <c r="E1365" s="19" t="s">
        <v>2800</v>
      </c>
      <c r="F1365" s="19" t="s">
        <v>2824</v>
      </c>
      <c r="G1365" s="19" t="s">
        <v>2829</v>
      </c>
      <c r="H1365" s="2" t="s">
        <v>88</v>
      </c>
      <c r="I1365" s="4">
        <v>0.4</v>
      </c>
      <c r="J1365" s="5">
        <v>710000000</v>
      </c>
      <c r="K1365" s="5" t="s">
        <v>89</v>
      </c>
      <c r="L1365" s="2" t="s">
        <v>754</v>
      </c>
      <c r="M1365" s="6" t="s">
        <v>787</v>
      </c>
      <c r="N1365" s="7" t="s">
        <v>92</v>
      </c>
      <c r="O1365" s="7" t="s">
        <v>93</v>
      </c>
      <c r="P1365" s="3" t="s">
        <v>94</v>
      </c>
      <c r="Q1365" s="8">
        <v>796</v>
      </c>
      <c r="R1365" s="7" t="s">
        <v>118</v>
      </c>
      <c r="S1365" s="9">
        <f>9+1</f>
        <v>10</v>
      </c>
      <c r="T1365" s="9">
        <v>1281.25</v>
      </c>
      <c r="U1365" s="9">
        <v>0</v>
      </c>
      <c r="V1365" s="9">
        <f t="shared" si="978"/>
        <v>0</v>
      </c>
      <c r="W1365" s="7" t="s">
        <v>97</v>
      </c>
      <c r="X1365" s="2">
        <v>2016</v>
      </c>
      <c r="Y1365" s="2" t="s">
        <v>7793</v>
      </c>
    </row>
    <row r="1366" spans="1:25" s="11" customFormat="1" ht="89.25" customHeight="1" outlineLevel="1" x14ac:dyDescent="0.25">
      <c r="A1366" s="1"/>
      <c r="B1366" s="2" t="s">
        <v>8067</v>
      </c>
      <c r="C1366" s="3" t="s">
        <v>83</v>
      </c>
      <c r="D1366" s="19" t="s">
        <v>2823</v>
      </c>
      <c r="E1366" s="19" t="s">
        <v>2800</v>
      </c>
      <c r="F1366" s="19" t="s">
        <v>2824</v>
      </c>
      <c r="G1366" s="19" t="s">
        <v>2829</v>
      </c>
      <c r="H1366" s="2" t="s">
        <v>88</v>
      </c>
      <c r="I1366" s="4">
        <v>0</v>
      </c>
      <c r="J1366" s="5">
        <v>710000000</v>
      </c>
      <c r="K1366" s="5" t="s">
        <v>89</v>
      </c>
      <c r="L1366" s="2" t="s">
        <v>754</v>
      </c>
      <c r="M1366" s="6" t="s">
        <v>787</v>
      </c>
      <c r="N1366" s="7" t="s">
        <v>92</v>
      </c>
      <c r="O1366" s="7" t="s">
        <v>93</v>
      </c>
      <c r="P1366" s="3" t="s">
        <v>673</v>
      </c>
      <c r="Q1366" s="8">
        <v>796</v>
      </c>
      <c r="R1366" s="7" t="s">
        <v>118</v>
      </c>
      <c r="S1366" s="9">
        <f>9+1</f>
        <v>10</v>
      </c>
      <c r="T1366" s="9">
        <v>1281.25</v>
      </c>
      <c r="U1366" s="9">
        <f t="shared" ref="U1366" si="999">T1366*S1366</f>
        <v>12812.5</v>
      </c>
      <c r="V1366" s="9">
        <f t="shared" ref="V1366" si="1000">U1366*1.12</f>
        <v>14350.000000000002</v>
      </c>
      <c r="W1366" s="7"/>
      <c r="X1366" s="2">
        <v>2016</v>
      </c>
      <c r="Y1366" s="2"/>
    </row>
    <row r="1367" spans="1:25" s="11" customFormat="1" ht="89.25" customHeight="1" outlineLevel="1" x14ac:dyDescent="0.25">
      <c r="A1367" s="1"/>
      <c r="B1367" s="2" t="s">
        <v>6185</v>
      </c>
      <c r="C1367" s="3" t="s">
        <v>83</v>
      </c>
      <c r="D1367" s="19" t="s">
        <v>2823</v>
      </c>
      <c r="E1367" s="19" t="s">
        <v>2800</v>
      </c>
      <c r="F1367" s="19" t="s">
        <v>2824</v>
      </c>
      <c r="G1367" s="19" t="s">
        <v>2830</v>
      </c>
      <c r="H1367" s="2" t="s">
        <v>88</v>
      </c>
      <c r="I1367" s="4">
        <v>0.4</v>
      </c>
      <c r="J1367" s="5">
        <v>710000000</v>
      </c>
      <c r="K1367" s="5" t="s">
        <v>89</v>
      </c>
      <c r="L1367" s="2" t="s">
        <v>754</v>
      </c>
      <c r="M1367" s="6" t="s">
        <v>787</v>
      </c>
      <c r="N1367" s="7" t="s">
        <v>92</v>
      </c>
      <c r="O1367" s="7" t="s">
        <v>93</v>
      </c>
      <c r="P1367" s="3" t="s">
        <v>94</v>
      </c>
      <c r="Q1367" s="8">
        <v>796</v>
      </c>
      <c r="R1367" s="7" t="s">
        <v>118</v>
      </c>
      <c r="S1367" s="9">
        <f>4+2</f>
        <v>6</v>
      </c>
      <c r="T1367" s="9">
        <v>5089.29</v>
      </c>
      <c r="U1367" s="9">
        <v>0</v>
      </c>
      <c r="V1367" s="9">
        <f t="shared" si="978"/>
        <v>0</v>
      </c>
      <c r="W1367" s="7" t="s">
        <v>97</v>
      </c>
      <c r="X1367" s="2">
        <v>2016</v>
      </c>
      <c r="Y1367" s="2" t="s">
        <v>7793</v>
      </c>
    </row>
    <row r="1368" spans="1:25" s="11" customFormat="1" ht="89.25" customHeight="1" outlineLevel="1" x14ac:dyDescent="0.25">
      <c r="A1368" s="1"/>
      <c r="B1368" s="2" t="s">
        <v>8068</v>
      </c>
      <c r="C1368" s="3" t="s">
        <v>83</v>
      </c>
      <c r="D1368" s="19" t="s">
        <v>2823</v>
      </c>
      <c r="E1368" s="19" t="s">
        <v>2800</v>
      </c>
      <c r="F1368" s="19" t="s">
        <v>2824</v>
      </c>
      <c r="G1368" s="19" t="s">
        <v>2830</v>
      </c>
      <c r="H1368" s="2" t="s">
        <v>88</v>
      </c>
      <c r="I1368" s="4">
        <v>0</v>
      </c>
      <c r="J1368" s="5">
        <v>710000000</v>
      </c>
      <c r="K1368" s="5" t="s">
        <v>89</v>
      </c>
      <c r="L1368" s="2" t="s">
        <v>754</v>
      </c>
      <c r="M1368" s="6" t="s">
        <v>787</v>
      </c>
      <c r="N1368" s="7" t="s">
        <v>92</v>
      </c>
      <c r="O1368" s="7" t="s">
        <v>93</v>
      </c>
      <c r="P1368" s="3" t="s">
        <v>673</v>
      </c>
      <c r="Q1368" s="8">
        <v>796</v>
      </c>
      <c r="R1368" s="7" t="s">
        <v>118</v>
      </c>
      <c r="S1368" s="9">
        <f>4+2</f>
        <v>6</v>
      </c>
      <c r="T1368" s="9">
        <v>5089.29</v>
      </c>
      <c r="U1368" s="9">
        <f t="shared" ref="U1368" si="1001">T1368*S1368</f>
        <v>30535.739999999998</v>
      </c>
      <c r="V1368" s="9">
        <f t="shared" ref="V1368" si="1002">U1368*1.12</f>
        <v>34200.0288</v>
      </c>
      <c r="W1368" s="7"/>
      <c r="X1368" s="2">
        <v>2016</v>
      </c>
      <c r="Y1368" s="2"/>
    </row>
    <row r="1369" spans="1:25" s="11" customFormat="1" ht="89.25" customHeight="1" outlineLevel="1" x14ac:dyDescent="0.25">
      <c r="A1369" s="1"/>
      <c r="B1369" s="2" t="s">
        <v>6186</v>
      </c>
      <c r="C1369" s="9" t="s">
        <v>83</v>
      </c>
      <c r="D1369" s="19" t="s">
        <v>2823</v>
      </c>
      <c r="E1369" s="19" t="s">
        <v>2800</v>
      </c>
      <c r="F1369" s="19" t="s">
        <v>2824</v>
      </c>
      <c r="G1369" s="19" t="s">
        <v>2831</v>
      </c>
      <c r="H1369" s="2" t="s">
        <v>88</v>
      </c>
      <c r="I1369" s="4">
        <v>0.4</v>
      </c>
      <c r="J1369" s="5">
        <v>710000000</v>
      </c>
      <c r="K1369" s="5" t="s">
        <v>89</v>
      </c>
      <c r="L1369" s="2" t="s">
        <v>754</v>
      </c>
      <c r="M1369" s="6" t="s">
        <v>787</v>
      </c>
      <c r="N1369" s="7" t="s">
        <v>92</v>
      </c>
      <c r="O1369" s="7" t="s">
        <v>93</v>
      </c>
      <c r="P1369" s="3" t="s">
        <v>94</v>
      </c>
      <c r="Q1369" s="8">
        <v>796</v>
      </c>
      <c r="R1369" s="7" t="s">
        <v>118</v>
      </c>
      <c r="S1369" s="9">
        <f>3+2</f>
        <v>5</v>
      </c>
      <c r="T1369" s="9">
        <v>14471.43</v>
      </c>
      <c r="U1369" s="9">
        <v>0</v>
      </c>
      <c r="V1369" s="9">
        <f t="shared" si="978"/>
        <v>0</v>
      </c>
      <c r="W1369" s="7" t="s">
        <v>97</v>
      </c>
      <c r="X1369" s="2">
        <v>2016</v>
      </c>
      <c r="Y1369" s="2" t="s">
        <v>7793</v>
      </c>
    </row>
    <row r="1370" spans="1:25" s="11" customFormat="1" ht="89.25" customHeight="1" outlineLevel="1" x14ac:dyDescent="0.25">
      <c r="A1370" s="1"/>
      <c r="B1370" s="2" t="s">
        <v>8069</v>
      </c>
      <c r="C1370" s="9" t="s">
        <v>83</v>
      </c>
      <c r="D1370" s="19" t="s">
        <v>2823</v>
      </c>
      <c r="E1370" s="19" t="s">
        <v>2800</v>
      </c>
      <c r="F1370" s="19" t="s">
        <v>2824</v>
      </c>
      <c r="G1370" s="19" t="s">
        <v>2831</v>
      </c>
      <c r="H1370" s="2" t="s">
        <v>88</v>
      </c>
      <c r="I1370" s="4">
        <v>0</v>
      </c>
      <c r="J1370" s="5">
        <v>710000000</v>
      </c>
      <c r="K1370" s="5" t="s">
        <v>89</v>
      </c>
      <c r="L1370" s="2" t="s">
        <v>754</v>
      </c>
      <c r="M1370" s="6" t="s">
        <v>787</v>
      </c>
      <c r="N1370" s="7" t="s">
        <v>92</v>
      </c>
      <c r="O1370" s="7" t="s">
        <v>93</v>
      </c>
      <c r="P1370" s="3" t="s">
        <v>673</v>
      </c>
      <c r="Q1370" s="8">
        <v>796</v>
      </c>
      <c r="R1370" s="7" t="s">
        <v>118</v>
      </c>
      <c r="S1370" s="9">
        <f>3+2</f>
        <v>5</v>
      </c>
      <c r="T1370" s="9">
        <v>14471.43</v>
      </c>
      <c r="U1370" s="9">
        <f t="shared" ref="U1370" si="1003">T1370*S1370</f>
        <v>72357.149999999994</v>
      </c>
      <c r="V1370" s="9">
        <f t="shared" ref="V1370" si="1004">U1370*1.12</f>
        <v>81040.008000000002</v>
      </c>
      <c r="W1370" s="7"/>
      <c r="X1370" s="2">
        <v>2016</v>
      </c>
      <c r="Y1370" s="2"/>
    </row>
    <row r="1371" spans="1:25" s="11" customFormat="1" ht="89.25" customHeight="1" outlineLevel="1" x14ac:dyDescent="0.25">
      <c r="A1371" s="1"/>
      <c r="B1371" s="2" t="s">
        <v>6187</v>
      </c>
      <c r="C1371" s="3" t="s">
        <v>83</v>
      </c>
      <c r="D1371" s="19" t="s">
        <v>2832</v>
      </c>
      <c r="E1371" s="19" t="s">
        <v>2800</v>
      </c>
      <c r="F1371" s="19" t="s">
        <v>2833</v>
      </c>
      <c r="G1371" s="19" t="s">
        <v>2834</v>
      </c>
      <c r="H1371" s="2" t="s">
        <v>88</v>
      </c>
      <c r="I1371" s="4">
        <v>0.4</v>
      </c>
      <c r="J1371" s="5">
        <v>710000000</v>
      </c>
      <c r="K1371" s="3" t="s">
        <v>89</v>
      </c>
      <c r="L1371" s="2" t="s">
        <v>754</v>
      </c>
      <c r="M1371" s="3" t="s">
        <v>787</v>
      </c>
      <c r="N1371" s="7" t="s">
        <v>92</v>
      </c>
      <c r="O1371" s="7" t="s">
        <v>93</v>
      </c>
      <c r="P1371" s="3" t="s">
        <v>94</v>
      </c>
      <c r="Q1371" s="8">
        <v>796</v>
      </c>
      <c r="R1371" s="7" t="s">
        <v>118</v>
      </c>
      <c r="S1371" s="9">
        <f>94+37</f>
        <v>131</v>
      </c>
      <c r="T1371" s="9">
        <v>325.89999999999998</v>
      </c>
      <c r="U1371" s="9">
        <v>0</v>
      </c>
      <c r="V1371" s="9">
        <f t="shared" si="978"/>
        <v>0</v>
      </c>
      <c r="W1371" s="7" t="s">
        <v>97</v>
      </c>
      <c r="X1371" s="2">
        <v>2016</v>
      </c>
      <c r="Y1371" s="3" t="s">
        <v>7793</v>
      </c>
    </row>
    <row r="1372" spans="1:25" s="11" customFormat="1" ht="89.25" customHeight="1" outlineLevel="1" x14ac:dyDescent="0.25">
      <c r="A1372" s="1"/>
      <c r="B1372" s="2" t="s">
        <v>8070</v>
      </c>
      <c r="C1372" s="3" t="s">
        <v>83</v>
      </c>
      <c r="D1372" s="19" t="s">
        <v>2832</v>
      </c>
      <c r="E1372" s="19" t="s">
        <v>2800</v>
      </c>
      <c r="F1372" s="19" t="s">
        <v>2833</v>
      </c>
      <c r="G1372" s="19" t="s">
        <v>2834</v>
      </c>
      <c r="H1372" s="2" t="s">
        <v>88</v>
      </c>
      <c r="I1372" s="4">
        <v>0</v>
      </c>
      <c r="J1372" s="5">
        <v>710000000</v>
      </c>
      <c r="K1372" s="3" t="s">
        <v>89</v>
      </c>
      <c r="L1372" s="2" t="s">
        <v>754</v>
      </c>
      <c r="M1372" s="3" t="s">
        <v>787</v>
      </c>
      <c r="N1372" s="7" t="s">
        <v>92</v>
      </c>
      <c r="O1372" s="7" t="s">
        <v>93</v>
      </c>
      <c r="P1372" s="3" t="s">
        <v>673</v>
      </c>
      <c r="Q1372" s="8">
        <v>796</v>
      </c>
      <c r="R1372" s="7" t="s">
        <v>118</v>
      </c>
      <c r="S1372" s="9">
        <f>94+37</f>
        <v>131</v>
      </c>
      <c r="T1372" s="9">
        <v>325.89999999999998</v>
      </c>
      <c r="U1372" s="9">
        <f t="shared" ref="U1372" si="1005">T1372*S1372</f>
        <v>42692.899999999994</v>
      </c>
      <c r="V1372" s="9">
        <f t="shared" ref="V1372" si="1006">U1372*1.12</f>
        <v>47816.047999999995</v>
      </c>
      <c r="W1372" s="7"/>
      <c r="X1372" s="2">
        <v>2016</v>
      </c>
      <c r="Y1372" s="3"/>
    </row>
    <row r="1373" spans="1:25" s="11" customFormat="1" ht="89.25" customHeight="1" outlineLevel="1" x14ac:dyDescent="0.25">
      <c r="A1373" s="1"/>
      <c r="B1373" s="2" t="s">
        <v>6188</v>
      </c>
      <c r="C1373" s="3" t="s">
        <v>83</v>
      </c>
      <c r="D1373" s="19" t="s">
        <v>2832</v>
      </c>
      <c r="E1373" s="19" t="s">
        <v>2800</v>
      </c>
      <c r="F1373" s="19" t="s">
        <v>2833</v>
      </c>
      <c r="G1373" s="19" t="s">
        <v>2835</v>
      </c>
      <c r="H1373" s="2" t="s">
        <v>88</v>
      </c>
      <c r="I1373" s="4">
        <v>0.4</v>
      </c>
      <c r="J1373" s="5">
        <v>710000000</v>
      </c>
      <c r="K1373" s="5" t="s">
        <v>89</v>
      </c>
      <c r="L1373" s="2" t="s">
        <v>754</v>
      </c>
      <c r="M1373" s="6" t="s">
        <v>787</v>
      </c>
      <c r="N1373" s="7" t="s">
        <v>92</v>
      </c>
      <c r="O1373" s="7" t="s">
        <v>93</v>
      </c>
      <c r="P1373" s="3" t="s">
        <v>94</v>
      </c>
      <c r="Q1373" s="8">
        <v>796</v>
      </c>
      <c r="R1373" s="7" t="s">
        <v>118</v>
      </c>
      <c r="S1373" s="9">
        <f>98+18</f>
        <v>116</v>
      </c>
      <c r="T1373" s="9">
        <v>325.89999999999998</v>
      </c>
      <c r="U1373" s="9">
        <v>0</v>
      </c>
      <c r="V1373" s="9">
        <f t="shared" si="978"/>
        <v>0</v>
      </c>
      <c r="W1373" s="7" t="s">
        <v>97</v>
      </c>
      <c r="X1373" s="2">
        <v>2016</v>
      </c>
      <c r="Y1373" s="2" t="s">
        <v>7793</v>
      </c>
    </row>
    <row r="1374" spans="1:25" s="11" customFormat="1" ht="89.25" customHeight="1" outlineLevel="1" x14ac:dyDescent="0.25">
      <c r="A1374" s="1"/>
      <c r="B1374" s="2" t="s">
        <v>8071</v>
      </c>
      <c r="C1374" s="3" t="s">
        <v>83</v>
      </c>
      <c r="D1374" s="19" t="s">
        <v>2832</v>
      </c>
      <c r="E1374" s="19" t="s">
        <v>2800</v>
      </c>
      <c r="F1374" s="19" t="s">
        <v>2833</v>
      </c>
      <c r="G1374" s="19" t="s">
        <v>2835</v>
      </c>
      <c r="H1374" s="2" t="s">
        <v>88</v>
      </c>
      <c r="I1374" s="4">
        <v>0</v>
      </c>
      <c r="J1374" s="5">
        <v>710000000</v>
      </c>
      <c r="K1374" s="5" t="s">
        <v>89</v>
      </c>
      <c r="L1374" s="2" t="s">
        <v>754</v>
      </c>
      <c r="M1374" s="6" t="s">
        <v>787</v>
      </c>
      <c r="N1374" s="7" t="s">
        <v>92</v>
      </c>
      <c r="O1374" s="7" t="s">
        <v>93</v>
      </c>
      <c r="P1374" s="3" t="s">
        <v>673</v>
      </c>
      <c r="Q1374" s="8">
        <v>796</v>
      </c>
      <c r="R1374" s="7" t="s">
        <v>118</v>
      </c>
      <c r="S1374" s="9">
        <f>98+18</f>
        <v>116</v>
      </c>
      <c r="T1374" s="9">
        <v>325.89999999999998</v>
      </c>
      <c r="U1374" s="9">
        <f t="shared" ref="U1374" si="1007">T1374*S1374</f>
        <v>37804.399999999994</v>
      </c>
      <c r="V1374" s="9">
        <f t="shared" ref="V1374" si="1008">U1374*1.12</f>
        <v>42340.928</v>
      </c>
      <c r="W1374" s="7"/>
      <c r="X1374" s="2">
        <v>2016</v>
      </c>
      <c r="Y1374" s="2"/>
    </row>
    <row r="1375" spans="1:25" s="11" customFormat="1" ht="89.25" customHeight="1" outlineLevel="1" x14ac:dyDescent="0.25">
      <c r="A1375" s="1"/>
      <c r="B1375" s="2" t="s">
        <v>6189</v>
      </c>
      <c r="C1375" s="3" t="s">
        <v>83</v>
      </c>
      <c r="D1375" s="19" t="s">
        <v>2832</v>
      </c>
      <c r="E1375" s="19" t="s">
        <v>2800</v>
      </c>
      <c r="F1375" s="19" t="s">
        <v>2833</v>
      </c>
      <c r="G1375" s="19" t="s">
        <v>2836</v>
      </c>
      <c r="H1375" s="2" t="s">
        <v>88</v>
      </c>
      <c r="I1375" s="4">
        <v>0.4</v>
      </c>
      <c r="J1375" s="5">
        <v>710000000</v>
      </c>
      <c r="K1375" s="5" t="s">
        <v>89</v>
      </c>
      <c r="L1375" s="2" t="s">
        <v>754</v>
      </c>
      <c r="M1375" s="6" t="s">
        <v>787</v>
      </c>
      <c r="N1375" s="7" t="s">
        <v>92</v>
      </c>
      <c r="O1375" s="7" t="s">
        <v>93</v>
      </c>
      <c r="P1375" s="3" t="s">
        <v>94</v>
      </c>
      <c r="Q1375" s="8">
        <v>796</v>
      </c>
      <c r="R1375" s="7" t="s">
        <v>118</v>
      </c>
      <c r="S1375" s="9">
        <f>99+2</f>
        <v>101</v>
      </c>
      <c r="T1375" s="9">
        <v>816.97</v>
      </c>
      <c r="U1375" s="9">
        <v>0</v>
      </c>
      <c r="V1375" s="9">
        <f t="shared" si="978"/>
        <v>0</v>
      </c>
      <c r="W1375" s="7" t="s">
        <v>97</v>
      </c>
      <c r="X1375" s="2">
        <v>2016</v>
      </c>
      <c r="Y1375" s="2" t="s">
        <v>7793</v>
      </c>
    </row>
    <row r="1376" spans="1:25" s="11" customFormat="1" ht="89.25" customHeight="1" outlineLevel="1" x14ac:dyDescent="0.25">
      <c r="A1376" s="1"/>
      <c r="B1376" s="2" t="s">
        <v>8072</v>
      </c>
      <c r="C1376" s="3" t="s">
        <v>83</v>
      </c>
      <c r="D1376" s="19" t="s">
        <v>2832</v>
      </c>
      <c r="E1376" s="19" t="s">
        <v>2800</v>
      </c>
      <c r="F1376" s="19" t="s">
        <v>2833</v>
      </c>
      <c r="G1376" s="19" t="s">
        <v>2836</v>
      </c>
      <c r="H1376" s="2" t="s">
        <v>88</v>
      </c>
      <c r="I1376" s="4">
        <v>0</v>
      </c>
      <c r="J1376" s="5">
        <v>710000000</v>
      </c>
      <c r="K1376" s="5" t="s">
        <v>89</v>
      </c>
      <c r="L1376" s="2" t="s">
        <v>754</v>
      </c>
      <c r="M1376" s="6" t="s">
        <v>787</v>
      </c>
      <c r="N1376" s="7" t="s">
        <v>92</v>
      </c>
      <c r="O1376" s="7" t="s">
        <v>93</v>
      </c>
      <c r="P1376" s="3" t="s">
        <v>673</v>
      </c>
      <c r="Q1376" s="8">
        <v>796</v>
      </c>
      <c r="R1376" s="7" t="s">
        <v>118</v>
      </c>
      <c r="S1376" s="9">
        <f>99+2</f>
        <v>101</v>
      </c>
      <c r="T1376" s="9">
        <v>816.97</v>
      </c>
      <c r="U1376" s="9">
        <f t="shared" ref="U1376" si="1009">T1376*S1376</f>
        <v>82513.97</v>
      </c>
      <c r="V1376" s="9">
        <f t="shared" ref="V1376" si="1010">U1376*1.12</f>
        <v>92415.646400000012</v>
      </c>
      <c r="W1376" s="7"/>
      <c r="X1376" s="2">
        <v>2016</v>
      </c>
      <c r="Y1376" s="2"/>
    </row>
    <row r="1377" spans="1:25" s="11" customFormat="1" ht="89.25" customHeight="1" outlineLevel="1" x14ac:dyDescent="0.25">
      <c r="A1377" s="1"/>
      <c r="B1377" s="2" t="s">
        <v>6190</v>
      </c>
      <c r="C1377" s="3" t="s">
        <v>83</v>
      </c>
      <c r="D1377" s="19" t="s">
        <v>2832</v>
      </c>
      <c r="E1377" s="19" t="s">
        <v>2800</v>
      </c>
      <c r="F1377" s="19" t="s">
        <v>2833</v>
      </c>
      <c r="G1377" s="19" t="s">
        <v>2837</v>
      </c>
      <c r="H1377" s="2" t="s">
        <v>88</v>
      </c>
      <c r="I1377" s="4">
        <v>0.4</v>
      </c>
      <c r="J1377" s="5">
        <v>710000000</v>
      </c>
      <c r="K1377" s="5" t="s">
        <v>89</v>
      </c>
      <c r="L1377" s="2" t="s">
        <v>754</v>
      </c>
      <c r="M1377" s="6" t="s">
        <v>787</v>
      </c>
      <c r="N1377" s="7" t="s">
        <v>92</v>
      </c>
      <c r="O1377" s="7" t="s">
        <v>93</v>
      </c>
      <c r="P1377" s="3" t="s">
        <v>94</v>
      </c>
      <c r="Q1377" s="8">
        <v>796</v>
      </c>
      <c r="R1377" s="7" t="s">
        <v>118</v>
      </c>
      <c r="S1377" s="9">
        <f>90+11</f>
        <v>101</v>
      </c>
      <c r="T1377" s="9">
        <v>861.61</v>
      </c>
      <c r="U1377" s="9">
        <v>0</v>
      </c>
      <c r="V1377" s="9">
        <f t="shared" si="978"/>
        <v>0</v>
      </c>
      <c r="W1377" s="7" t="s">
        <v>97</v>
      </c>
      <c r="X1377" s="2">
        <v>2016</v>
      </c>
      <c r="Y1377" s="2" t="s">
        <v>7793</v>
      </c>
    </row>
    <row r="1378" spans="1:25" s="11" customFormat="1" ht="89.25" customHeight="1" outlineLevel="1" x14ac:dyDescent="0.25">
      <c r="A1378" s="1"/>
      <c r="B1378" s="2" t="s">
        <v>8073</v>
      </c>
      <c r="C1378" s="3" t="s">
        <v>83</v>
      </c>
      <c r="D1378" s="19" t="s">
        <v>2832</v>
      </c>
      <c r="E1378" s="19" t="s">
        <v>2800</v>
      </c>
      <c r="F1378" s="19" t="s">
        <v>2833</v>
      </c>
      <c r="G1378" s="19" t="s">
        <v>2837</v>
      </c>
      <c r="H1378" s="2" t="s">
        <v>88</v>
      </c>
      <c r="I1378" s="4">
        <v>0</v>
      </c>
      <c r="J1378" s="5">
        <v>710000000</v>
      </c>
      <c r="K1378" s="5" t="s">
        <v>89</v>
      </c>
      <c r="L1378" s="2" t="s">
        <v>754</v>
      </c>
      <c r="M1378" s="6" t="s">
        <v>787</v>
      </c>
      <c r="N1378" s="7" t="s">
        <v>92</v>
      </c>
      <c r="O1378" s="7" t="s">
        <v>93</v>
      </c>
      <c r="P1378" s="3" t="s">
        <v>673</v>
      </c>
      <c r="Q1378" s="8">
        <v>796</v>
      </c>
      <c r="R1378" s="7" t="s">
        <v>118</v>
      </c>
      <c r="S1378" s="9">
        <f>90+11</f>
        <v>101</v>
      </c>
      <c r="T1378" s="9">
        <v>861.61</v>
      </c>
      <c r="U1378" s="9">
        <f t="shared" ref="U1378" si="1011">T1378*S1378</f>
        <v>87022.61</v>
      </c>
      <c r="V1378" s="9">
        <f t="shared" ref="V1378" si="1012">U1378*1.12</f>
        <v>97465.323200000013</v>
      </c>
      <c r="W1378" s="7"/>
      <c r="X1378" s="2">
        <v>2016</v>
      </c>
      <c r="Y1378" s="2"/>
    </row>
    <row r="1379" spans="1:25" s="11" customFormat="1" ht="89.25" customHeight="1" outlineLevel="1" x14ac:dyDescent="0.25">
      <c r="A1379" s="1"/>
      <c r="B1379" s="2" t="s">
        <v>6191</v>
      </c>
      <c r="C1379" s="3" t="s">
        <v>83</v>
      </c>
      <c r="D1379" s="19" t="s">
        <v>2838</v>
      </c>
      <c r="E1379" s="19" t="s">
        <v>2839</v>
      </c>
      <c r="F1379" s="19" t="s">
        <v>2840</v>
      </c>
      <c r="G1379" s="19" t="s">
        <v>2841</v>
      </c>
      <c r="H1379" s="2" t="s">
        <v>88</v>
      </c>
      <c r="I1379" s="4">
        <v>0.4</v>
      </c>
      <c r="J1379" s="5">
        <v>710000000</v>
      </c>
      <c r="K1379" s="5" t="s">
        <v>89</v>
      </c>
      <c r="L1379" s="2" t="s">
        <v>754</v>
      </c>
      <c r="M1379" s="6" t="s">
        <v>787</v>
      </c>
      <c r="N1379" s="7" t="s">
        <v>92</v>
      </c>
      <c r="O1379" s="7" t="s">
        <v>93</v>
      </c>
      <c r="P1379" s="3" t="s">
        <v>94</v>
      </c>
      <c r="Q1379" s="8">
        <v>796</v>
      </c>
      <c r="R1379" s="7" t="s">
        <v>118</v>
      </c>
      <c r="S1379" s="9">
        <v>2</v>
      </c>
      <c r="T1379" s="9">
        <v>44392.86</v>
      </c>
      <c r="U1379" s="9">
        <v>0</v>
      </c>
      <c r="V1379" s="9">
        <f t="shared" si="978"/>
        <v>0</v>
      </c>
      <c r="W1379" s="7" t="s">
        <v>97</v>
      </c>
      <c r="X1379" s="2">
        <v>2016</v>
      </c>
      <c r="Y1379" s="2" t="s">
        <v>7793</v>
      </c>
    </row>
    <row r="1380" spans="1:25" s="11" customFormat="1" ht="89.25" customHeight="1" outlineLevel="1" x14ac:dyDescent="0.25">
      <c r="A1380" s="1"/>
      <c r="B1380" s="2" t="s">
        <v>8074</v>
      </c>
      <c r="C1380" s="3" t="s">
        <v>83</v>
      </c>
      <c r="D1380" s="19" t="s">
        <v>2838</v>
      </c>
      <c r="E1380" s="19" t="s">
        <v>2839</v>
      </c>
      <c r="F1380" s="19" t="s">
        <v>2840</v>
      </c>
      <c r="G1380" s="19" t="s">
        <v>2841</v>
      </c>
      <c r="H1380" s="2" t="s">
        <v>88</v>
      </c>
      <c r="I1380" s="4">
        <v>0</v>
      </c>
      <c r="J1380" s="5">
        <v>710000000</v>
      </c>
      <c r="K1380" s="5" t="s">
        <v>89</v>
      </c>
      <c r="L1380" s="2" t="s">
        <v>754</v>
      </c>
      <c r="M1380" s="6" t="s">
        <v>787</v>
      </c>
      <c r="N1380" s="7" t="s">
        <v>92</v>
      </c>
      <c r="O1380" s="7" t="s">
        <v>93</v>
      </c>
      <c r="P1380" s="3" t="s">
        <v>673</v>
      </c>
      <c r="Q1380" s="8">
        <v>796</v>
      </c>
      <c r="R1380" s="7" t="s">
        <v>118</v>
      </c>
      <c r="S1380" s="9">
        <v>2</v>
      </c>
      <c r="T1380" s="9">
        <v>44392.86</v>
      </c>
      <c r="U1380" s="9">
        <f t="shared" ref="U1380" si="1013">T1380*S1380</f>
        <v>88785.72</v>
      </c>
      <c r="V1380" s="9">
        <f t="shared" ref="V1380" si="1014">U1380*1.12</f>
        <v>99440.006400000013</v>
      </c>
      <c r="W1380" s="7"/>
      <c r="X1380" s="2">
        <v>2016</v>
      </c>
      <c r="Y1380" s="2"/>
    </row>
    <row r="1381" spans="1:25" s="11" customFormat="1" ht="89.25" customHeight="1" outlineLevel="1" x14ac:dyDescent="0.25">
      <c r="A1381" s="1"/>
      <c r="B1381" s="2" t="s">
        <v>6192</v>
      </c>
      <c r="C1381" s="3" t="s">
        <v>83</v>
      </c>
      <c r="D1381" s="19" t="s">
        <v>2842</v>
      </c>
      <c r="E1381" s="19" t="s">
        <v>2843</v>
      </c>
      <c r="F1381" s="19" t="s">
        <v>2844</v>
      </c>
      <c r="G1381" s="19" t="s">
        <v>2845</v>
      </c>
      <c r="H1381" s="2" t="s">
        <v>88</v>
      </c>
      <c r="I1381" s="4">
        <v>0.4</v>
      </c>
      <c r="J1381" s="5">
        <v>710000000</v>
      </c>
      <c r="K1381" s="5" t="s">
        <v>89</v>
      </c>
      <c r="L1381" s="2" t="s">
        <v>754</v>
      </c>
      <c r="M1381" s="6" t="s">
        <v>787</v>
      </c>
      <c r="N1381" s="7" t="s">
        <v>92</v>
      </c>
      <c r="O1381" s="7" t="s">
        <v>93</v>
      </c>
      <c r="P1381" s="3" t="s">
        <v>94</v>
      </c>
      <c r="Q1381" s="8">
        <v>796</v>
      </c>
      <c r="R1381" s="7" t="s">
        <v>118</v>
      </c>
      <c r="S1381" s="9">
        <v>1</v>
      </c>
      <c r="T1381" s="9">
        <v>140863</v>
      </c>
      <c r="U1381" s="9">
        <v>0</v>
      </c>
      <c r="V1381" s="9">
        <f t="shared" si="978"/>
        <v>0</v>
      </c>
      <c r="W1381" s="7" t="s">
        <v>97</v>
      </c>
      <c r="X1381" s="2">
        <v>2016</v>
      </c>
      <c r="Y1381" s="2" t="s">
        <v>7793</v>
      </c>
    </row>
    <row r="1382" spans="1:25" s="11" customFormat="1" ht="89.25" customHeight="1" outlineLevel="1" x14ac:dyDescent="0.25">
      <c r="A1382" s="1"/>
      <c r="B1382" s="2" t="s">
        <v>8075</v>
      </c>
      <c r="C1382" s="3" t="s">
        <v>83</v>
      </c>
      <c r="D1382" s="19" t="s">
        <v>2842</v>
      </c>
      <c r="E1382" s="19" t="s">
        <v>2843</v>
      </c>
      <c r="F1382" s="19" t="s">
        <v>2844</v>
      </c>
      <c r="G1382" s="19" t="s">
        <v>2845</v>
      </c>
      <c r="H1382" s="2" t="s">
        <v>88</v>
      </c>
      <c r="I1382" s="4">
        <v>0</v>
      </c>
      <c r="J1382" s="5">
        <v>710000000</v>
      </c>
      <c r="K1382" s="5" t="s">
        <v>89</v>
      </c>
      <c r="L1382" s="2" t="s">
        <v>754</v>
      </c>
      <c r="M1382" s="6" t="s">
        <v>787</v>
      </c>
      <c r="N1382" s="7" t="s">
        <v>92</v>
      </c>
      <c r="O1382" s="7" t="s">
        <v>93</v>
      </c>
      <c r="P1382" s="3" t="s">
        <v>673</v>
      </c>
      <c r="Q1382" s="8">
        <v>796</v>
      </c>
      <c r="R1382" s="7" t="s">
        <v>118</v>
      </c>
      <c r="S1382" s="9">
        <v>1</v>
      </c>
      <c r="T1382" s="9">
        <v>140863</v>
      </c>
      <c r="U1382" s="9">
        <f t="shared" ref="U1382" si="1015">T1382*S1382</f>
        <v>140863</v>
      </c>
      <c r="V1382" s="9">
        <f t="shared" ref="V1382" si="1016">U1382*1.12</f>
        <v>157766.56000000003</v>
      </c>
      <c r="W1382" s="7"/>
      <c r="X1382" s="2">
        <v>2016</v>
      </c>
      <c r="Y1382" s="2"/>
    </row>
    <row r="1383" spans="1:25" s="11" customFormat="1" ht="89.25" customHeight="1" outlineLevel="1" x14ac:dyDescent="0.25">
      <c r="A1383" s="1"/>
      <c r="B1383" s="2" t="s">
        <v>6193</v>
      </c>
      <c r="C1383" s="3" t="s">
        <v>83</v>
      </c>
      <c r="D1383" s="19" t="s">
        <v>2842</v>
      </c>
      <c r="E1383" s="19" t="s">
        <v>2843</v>
      </c>
      <c r="F1383" s="19" t="s">
        <v>2844</v>
      </c>
      <c r="G1383" s="19" t="s">
        <v>2846</v>
      </c>
      <c r="H1383" s="2" t="s">
        <v>88</v>
      </c>
      <c r="I1383" s="4">
        <v>0.4</v>
      </c>
      <c r="J1383" s="5">
        <v>710000000</v>
      </c>
      <c r="K1383" s="5" t="s">
        <v>89</v>
      </c>
      <c r="L1383" s="2" t="s">
        <v>754</v>
      </c>
      <c r="M1383" s="6" t="s">
        <v>787</v>
      </c>
      <c r="N1383" s="7" t="s">
        <v>92</v>
      </c>
      <c r="O1383" s="7" t="s">
        <v>93</v>
      </c>
      <c r="P1383" s="3" t="s">
        <v>94</v>
      </c>
      <c r="Q1383" s="8">
        <v>796</v>
      </c>
      <c r="R1383" s="7" t="s">
        <v>118</v>
      </c>
      <c r="S1383" s="9">
        <v>1</v>
      </c>
      <c r="T1383" s="9">
        <v>90020</v>
      </c>
      <c r="U1383" s="9">
        <v>0</v>
      </c>
      <c r="V1383" s="9">
        <f t="shared" si="978"/>
        <v>0</v>
      </c>
      <c r="W1383" s="7" t="s">
        <v>97</v>
      </c>
      <c r="X1383" s="2">
        <v>2016</v>
      </c>
      <c r="Y1383" s="2" t="s">
        <v>7793</v>
      </c>
    </row>
    <row r="1384" spans="1:25" s="11" customFormat="1" ht="89.25" customHeight="1" outlineLevel="1" x14ac:dyDescent="0.25">
      <c r="A1384" s="1"/>
      <c r="B1384" s="2" t="s">
        <v>8076</v>
      </c>
      <c r="C1384" s="3" t="s">
        <v>83</v>
      </c>
      <c r="D1384" s="19" t="s">
        <v>2842</v>
      </c>
      <c r="E1384" s="19" t="s">
        <v>2843</v>
      </c>
      <c r="F1384" s="19" t="s">
        <v>2844</v>
      </c>
      <c r="G1384" s="19" t="s">
        <v>2846</v>
      </c>
      <c r="H1384" s="2" t="s">
        <v>88</v>
      </c>
      <c r="I1384" s="4">
        <v>0</v>
      </c>
      <c r="J1384" s="5">
        <v>710000000</v>
      </c>
      <c r="K1384" s="5" t="s">
        <v>89</v>
      </c>
      <c r="L1384" s="2" t="s">
        <v>754</v>
      </c>
      <c r="M1384" s="6" t="s">
        <v>787</v>
      </c>
      <c r="N1384" s="7" t="s">
        <v>92</v>
      </c>
      <c r="O1384" s="7" t="s">
        <v>93</v>
      </c>
      <c r="P1384" s="3" t="s">
        <v>673</v>
      </c>
      <c r="Q1384" s="8">
        <v>796</v>
      </c>
      <c r="R1384" s="7" t="s">
        <v>118</v>
      </c>
      <c r="S1384" s="9">
        <v>1</v>
      </c>
      <c r="T1384" s="9">
        <v>90020</v>
      </c>
      <c r="U1384" s="9">
        <f t="shared" ref="U1384" si="1017">T1384*S1384</f>
        <v>90020</v>
      </c>
      <c r="V1384" s="9">
        <f t="shared" ref="V1384" si="1018">U1384*1.12</f>
        <v>100822.40000000001</v>
      </c>
      <c r="W1384" s="7"/>
      <c r="X1384" s="2">
        <v>2016</v>
      </c>
      <c r="Y1384" s="2"/>
    </row>
    <row r="1385" spans="1:25" s="11" customFormat="1" ht="89.25" customHeight="1" outlineLevel="1" x14ac:dyDescent="0.25">
      <c r="A1385" s="1"/>
      <c r="B1385" s="2" t="s">
        <v>6194</v>
      </c>
      <c r="C1385" s="3" t="s">
        <v>83</v>
      </c>
      <c r="D1385" s="19" t="s">
        <v>2842</v>
      </c>
      <c r="E1385" s="19" t="s">
        <v>2843</v>
      </c>
      <c r="F1385" s="19" t="s">
        <v>2844</v>
      </c>
      <c r="G1385" s="19" t="s">
        <v>2847</v>
      </c>
      <c r="H1385" s="2" t="s">
        <v>88</v>
      </c>
      <c r="I1385" s="4">
        <v>0.4</v>
      </c>
      <c r="J1385" s="5">
        <v>710000000</v>
      </c>
      <c r="K1385" s="5" t="s">
        <v>89</v>
      </c>
      <c r="L1385" s="2" t="s">
        <v>754</v>
      </c>
      <c r="M1385" s="6" t="s">
        <v>787</v>
      </c>
      <c r="N1385" s="7" t="s">
        <v>92</v>
      </c>
      <c r="O1385" s="7" t="s">
        <v>93</v>
      </c>
      <c r="P1385" s="3" t="s">
        <v>94</v>
      </c>
      <c r="Q1385" s="8">
        <v>796</v>
      </c>
      <c r="R1385" s="7" t="s">
        <v>118</v>
      </c>
      <c r="S1385" s="9">
        <v>1</v>
      </c>
      <c r="T1385" s="9">
        <v>140863</v>
      </c>
      <c r="U1385" s="9">
        <v>0</v>
      </c>
      <c r="V1385" s="9">
        <f t="shared" si="978"/>
        <v>0</v>
      </c>
      <c r="W1385" s="7" t="s">
        <v>97</v>
      </c>
      <c r="X1385" s="2">
        <v>2016</v>
      </c>
      <c r="Y1385" s="2" t="s">
        <v>7793</v>
      </c>
    </row>
    <row r="1386" spans="1:25" s="11" customFormat="1" ht="89.25" customHeight="1" outlineLevel="1" x14ac:dyDescent="0.25">
      <c r="A1386" s="1"/>
      <c r="B1386" s="2" t="s">
        <v>8077</v>
      </c>
      <c r="C1386" s="3" t="s">
        <v>83</v>
      </c>
      <c r="D1386" s="19" t="s">
        <v>2842</v>
      </c>
      <c r="E1386" s="19" t="s">
        <v>2843</v>
      </c>
      <c r="F1386" s="19" t="s">
        <v>2844</v>
      </c>
      <c r="G1386" s="19" t="s">
        <v>2847</v>
      </c>
      <c r="H1386" s="2" t="s">
        <v>88</v>
      </c>
      <c r="I1386" s="4">
        <v>0</v>
      </c>
      <c r="J1386" s="5">
        <v>710000000</v>
      </c>
      <c r="K1386" s="5" t="s">
        <v>89</v>
      </c>
      <c r="L1386" s="2" t="s">
        <v>754</v>
      </c>
      <c r="M1386" s="6" t="s">
        <v>787</v>
      </c>
      <c r="N1386" s="7" t="s">
        <v>92</v>
      </c>
      <c r="O1386" s="7" t="s">
        <v>93</v>
      </c>
      <c r="P1386" s="3" t="s">
        <v>673</v>
      </c>
      <c r="Q1386" s="8">
        <v>796</v>
      </c>
      <c r="R1386" s="7" t="s">
        <v>118</v>
      </c>
      <c r="S1386" s="9">
        <v>1</v>
      </c>
      <c r="T1386" s="9">
        <v>140863</v>
      </c>
      <c r="U1386" s="9">
        <f t="shared" ref="U1386" si="1019">T1386*S1386</f>
        <v>140863</v>
      </c>
      <c r="V1386" s="9">
        <f t="shared" ref="V1386" si="1020">U1386*1.12</f>
        <v>157766.56000000003</v>
      </c>
      <c r="W1386" s="7" t="s">
        <v>97</v>
      </c>
      <c r="X1386" s="2">
        <v>2016</v>
      </c>
      <c r="Y1386" s="2"/>
    </row>
    <row r="1387" spans="1:25" s="11" customFormat="1" ht="89.25" customHeight="1" outlineLevel="1" x14ac:dyDescent="0.25">
      <c r="A1387" s="1"/>
      <c r="B1387" s="2" t="s">
        <v>6195</v>
      </c>
      <c r="C1387" s="3" t="s">
        <v>83</v>
      </c>
      <c r="D1387" s="19" t="s">
        <v>2848</v>
      </c>
      <c r="E1387" s="19" t="s">
        <v>853</v>
      </c>
      <c r="F1387" s="19" t="s">
        <v>2849</v>
      </c>
      <c r="G1387" s="19" t="s">
        <v>2850</v>
      </c>
      <c r="H1387" s="2" t="s">
        <v>88</v>
      </c>
      <c r="I1387" s="4">
        <v>0.4</v>
      </c>
      <c r="J1387" s="5">
        <v>710000000</v>
      </c>
      <c r="K1387" s="5" t="s">
        <v>89</v>
      </c>
      <c r="L1387" s="2" t="s">
        <v>754</v>
      </c>
      <c r="M1387" s="6" t="s">
        <v>787</v>
      </c>
      <c r="N1387" s="7" t="s">
        <v>92</v>
      </c>
      <c r="O1387" s="7" t="s">
        <v>93</v>
      </c>
      <c r="P1387" s="3" t="s">
        <v>94</v>
      </c>
      <c r="Q1387" s="8">
        <v>796</v>
      </c>
      <c r="R1387" s="7" t="s">
        <v>118</v>
      </c>
      <c r="S1387" s="9">
        <v>5</v>
      </c>
      <c r="T1387" s="9">
        <v>1522.33</v>
      </c>
      <c r="U1387" s="9">
        <v>0</v>
      </c>
      <c r="V1387" s="9">
        <f t="shared" si="978"/>
        <v>0</v>
      </c>
      <c r="W1387" s="7" t="s">
        <v>97</v>
      </c>
      <c r="X1387" s="2">
        <v>2016</v>
      </c>
      <c r="Y1387" s="2" t="s">
        <v>7793</v>
      </c>
    </row>
    <row r="1388" spans="1:25" s="11" customFormat="1" ht="89.25" customHeight="1" outlineLevel="1" x14ac:dyDescent="0.25">
      <c r="A1388" s="1"/>
      <c r="B1388" s="2" t="s">
        <v>8078</v>
      </c>
      <c r="C1388" s="3" t="s">
        <v>83</v>
      </c>
      <c r="D1388" s="19" t="s">
        <v>2848</v>
      </c>
      <c r="E1388" s="19" t="s">
        <v>853</v>
      </c>
      <c r="F1388" s="19" t="s">
        <v>2849</v>
      </c>
      <c r="G1388" s="19" t="s">
        <v>2850</v>
      </c>
      <c r="H1388" s="2" t="s">
        <v>88</v>
      </c>
      <c r="I1388" s="4">
        <v>0</v>
      </c>
      <c r="J1388" s="5">
        <v>710000000</v>
      </c>
      <c r="K1388" s="5" t="s">
        <v>89</v>
      </c>
      <c r="L1388" s="2" t="s">
        <v>754</v>
      </c>
      <c r="M1388" s="6" t="s">
        <v>787</v>
      </c>
      <c r="N1388" s="7" t="s">
        <v>92</v>
      </c>
      <c r="O1388" s="7" t="s">
        <v>93</v>
      </c>
      <c r="P1388" s="3" t="s">
        <v>673</v>
      </c>
      <c r="Q1388" s="8">
        <v>796</v>
      </c>
      <c r="R1388" s="7" t="s">
        <v>118</v>
      </c>
      <c r="S1388" s="9">
        <v>5</v>
      </c>
      <c r="T1388" s="9">
        <v>1522.33</v>
      </c>
      <c r="U1388" s="9">
        <f t="shared" ref="U1388" si="1021">T1388*S1388</f>
        <v>7611.65</v>
      </c>
      <c r="V1388" s="9">
        <f t="shared" ref="V1388" si="1022">U1388*1.12</f>
        <v>8525.0480000000007</v>
      </c>
      <c r="W1388" s="7"/>
      <c r="X1388" s="2">
        <v>2016</v>
      </c>
      <c r="Y1388" s="2"/>
    </row>
    <row r="1389" spans="1:25" s="11" customFormat="1" ht="89.25" customHeight="1" outlineLevel="1" x14ac:dyDescent="0.25">
      <c r="A1389" s="1"/>
      <c r="B1389" s="2" t="s">
        <v>6196</v>
      </c>
      <c r="C1389" s="3" t="s">
        <v>83</v>
      </c>
      <c r="D1389" s="19" t="s">
        <v>2848</v>
      </c>
      <c r="E1389" s="19" t="s">
        <v>853</v>
      </c>
      <c r="F1389" s="19" t="s">
        <v>2849</v>
      </c>
      <c r="G1389" s="19" t="s">
        <v>2851</v>
      </c>
      <c r="H1389" s="2" t="s">
        <v>88</v>
      </c>
      <c r="I1389" s="4">
        <v>0.4</v>
      </c>
      <c r="J1389" s="5">
        <v>710000000</v>
      </c>
      <c r="K1389" s="5" t="s">
        <v>89</v>
      </c>
      <c r="L1389" s="2" t="s">
        <v>754</v>
      </c>
      <c r="M1389" s="6" t="s">
        <v>787</v>
      </c>
      <c r="N1389" s="7" t="s">
        <v>92</v>
      </c>
      <c r="O1389" s="7" t="s">
        <v>93</v>
      </c>
      <c r="P1389" s="3" t="s">
        <v>94</v>
      </c>
      <c r="Q1389" s="8">
        <v>796</v>
      </c>
      <c r="R1389" s="7" t="s">
        <v>118</v>
      </c>
      <c r="S1389" s="9">
        <v>5</v>
      </c>
      <c r="T1389" s="9">
        <v>1522.33</v>
      </c>
      <c r="U1389" s="9">
        <v>0</v>
      </c>
      <c r="V1389" s="9">
        <f t="shared" si="978"/>
        <v>0</v>
      </c>
      <c r="W1389" s="7" t="s">
        <v>97</v>
      </c>
      <c r="X1389" s="2">
        <v>2016</v>
      </c>
      <c r="Y1389" s="2" t="s">
        <v>7793</v>
      </c>
    </row>
    <row r="1390" spans="1:25" s="11" customFormat="1" ht="89.25" customHeight="1" outlineLevel="1" x14ac:dyDescent="0.25">
      <c r="A1390" s="1"/>
      <c r="B1390" s="2" t="s">
        <v>8079</v>
      </c>
      <c r="C1390" s="3" t="s">
        <v>83</v>
      </c>
      <c r="D1390" s="19" t="s">
        <v>2848</v>
      </c>
      <c r="E1390" s="19" t="s">
        <v>853</v>
      </c>
      <c r="F1390" s="19" t="s">
        <v>2849</v>
      </c>
      <c r="G1390" s="19" t="s">
        <v>2851</v>
      </c>
      <c r="H1390" s="2" t="s">
        <v>88</v>
      </c>
      <c r="I1390" s="4">
        <v>0</v>
      </c>
      <c r="J1390" s="5">
        <v>710000000</v>
      </c>
      <c r="K1390" s="5" t="s">
        <v>89</v>
      </c>
      <c r="L1390" s="2" t="s">
        <v>754</v>
      </c>
      <c r="M1390" s="6" t="s">
        <v>787</v>
      </c>
      <c r="N1390" s="7" t="s">
        <v>92</v>
      </c>
      <c r="O1390" s="7" t="s">
        <v>93</v>
      </c>
      <c r="P1390" s="3" t="s">
        <v>673</v>
      </c>
      <c r="Q1390" s="8">
        <v>796</v>
      </c>
      <c r="R1390" s="7" t="s">
        <v>118</v>
      </c>
      <c r="S1390" s="9">
        <v>5</v>
      </c>
      <c r="T1390" s="9">
        <v>1522.33</v>
      </c>
      <c r="U1390" s="9">
        <f t="shared" ref="U1390" si="1023">T1390*S1390</f>
        <v>7611.65</v>
      </c>
      <c r="V1390" s="9">
        <f t="shared" ref="V1390" si="1024">U1390*1.12</f>
        <v>8525.0480000000007</v>
      </c>
      <c r="W1390" s="7"/>
      <c r="X1390" s="2">
        <v>2016</v>
      </c>
      <c r="Y1390" s="2"/>
    </row>
    <row r="1391" spans="1:25" s="11" customFormat="1" ht="89.25" customHeight="1" outlineLevel="1" x14ac:dyDescent="0.25">
      <c r="A1391" s="1"/>
      <c r="B1391" s="2" t="s">
        <v>6197</v>
      </c>
      <c r="C1391" s="3" t="s">
        <v>83</v>
      </c>
      <c r="D1391" s="19" t="s">
        <v>2848</v>
      </c>
      <c r="E1391" s="19" t="s">
        <v>853</v>
      </c>
      <c r="F1391" s="19" t="s">
        <v>2849</v>
      </c>
      <c r="G1391" s="19" t="s">
        <v>2852</v>
      </c>
      <c r="H1391" s="2" t="s">
        <v>88</v>
      </c>
      <c r="I1391" s="4">
        <v>0.4</v>
      </c>
      <c r="J1391" s="5">
        <v>710000000</v>
      </c>
      <c r="K1391" s="5" t="s">
        <v>89</v>
      </c>
      <c r="L1391" s="2" t="s">
        <v>754</v>
      </c>
      <c r="M1391" s="6" t="s">
        <v>787</v>
      </c>
      <c r="N1391" s="7" t="s">
        <v>92</v>
      </c>
      <c r="O1391" s="7" t="s">
        <v>93</v>
      </c>
      <c r="P1391" s="3" t="s">
        <v>94</v>
      </c>
      <c r="Q1391" s="8">
        <v>796</v>
      </c>
      <c r="R1391" s="7" t="s">
        <v>118</v>
      </c>
      <c r="S1391" s="9">
        <v>5</v>
      </c>
      <c r="T1391" s="9">
        <v>1522.33</v>
      </c>
      <c r="U1391" s="9">
        <v>0</v>
      </c>
      <c r="V1391" s="9">
        <f t="shared" si="978"/>
        <v>0</v>
      </c>
      <c r="W1391" s="7" t="s">
        <v>97</v>
      </c>
      <c r="X1391" s="2">
        <v>2016</v>
      </c>
      <c r="Y1391" s="2" t="s">
        <v>7793</v>
      </c>
    </row>
    <row r="1392" spans="1:25" s="11" customFormat="1" ht="89.25" customHeight="1" outlineLevel="1" x14ac:dyDescent="0.25">
      <c r="A1392" s="1"/>
      <c r="B1392" s="2" t="s">
        <v>8080</v>
      </c>
      <c r="C1392" s="3" t="s">
        <v>83</v>
      </c>
      <c r="D1392" s="19" t="s">
        <v>2848</v>
      </c>
      <c r="E1392" s="19" t="s">
        <v>853</v>
      </c>
      <c r="F1392" s="19" t="s">
        <v>2849</v>
      </c>
      <c r="G1392" s="19" t="s">
        <v>2852</v>
      </c>
      <c r="H1392" s="2" t="s">
        <v>88</v>
      </c>
      <c r="I1392" s="4">
        <v>0</v>
      </c>
      <c r="J1392" s="5">
        <v>710000000</v>
      </c>
      <c r="K1392" s="5" t="s">
        <v>89</v>
      </c>
      <c r="L1392" s="2" t="s">
        <v>754</v>
      </c>
      <c r="M1392" s="6" t="s">
        <v>787</v>
      </c>
      <c r="N1392" s="7" t="s">
        <v>92</v>
      </c>
      <c r="O1392" s="7" t="s">
        <v>93</v>
      </c>
      <c r="P1392" s="3" t="s">
        <v>673</v>
      </c>
      <c r="Q1392" s="8">
        <v>796</v>
      </c>
      <c r="R1392" s="7" t="s">
        <v>118</v>
      </c>
      <c r="S1392" s="9">
        <v>5</v>
      </c>
      <c r="T1392" s="9">
        <v>1522.33</v>
      </c>
      <c r="U1392" s="9">
        <f t="shared" ref="U1392" si="1025">T1392*S1392</f>
        <v>7611.65</v>
      </c>
      <c r="V1392" s="9">
        <f t="shared" ref="V1392" si="1026">U1392*1.12</f>
        <v>8525.0480000000007</v>
      </c>
      <c r="W1392" s="7"/>
      <c r="X1392" s="2">
        <v>2016</v>
      </c>
      <c r="Y1392" s="2"/>
    </row>
    <row r="1393" spans="1:25" s="11" customFormat="1" ht="89.25" customHeight="1" outlineLevel="1" x14ac:dyDescent="0.25">
      <c r="A1393" s="1"/>
      <c r="B1393" s="2" t="s">
        <v>6198</v>
      </c>
      <c r="C1393" s="3" t="s">
        <v>83</v>
      </c>
      <c r="D1393" s="19" t="s">
        <v>2853</v>
      </c>
      <c r="E1393" s="19" t="s">
        <v>2854</v>
      </c>
      <c r="F1393" s="19" t="s">
        <v>2855</v>
      </c>
      <c r="G1393" s="19" t="s">
        <v>2856</v>
      </c>
      <c r="H1393" s="2" t="s">
        <v>88</v>
      </c>
      <c r="I1393" s="4">
        <v>0.4</v>
      </c>
      <c r="J1393" s="5">
        <v>710000000</v>
      </c>
      <c r="K1393" s="5" t="s">
        <v>89</v>
      </c>
      <c r="L1393" s="2" t="s">
        <v>754</v>
      </c>
      <c r="M1393" s="6" t="s">
        <v>787</v>
      </c>
      <c r="N1393" s="7" t="s">
        <v>92</v>
      </c>
      <c r="O1393" s="7" t="s">
        <v>93</v>
      </c>
      <c r="P1393" s="3" t="s">
        <v>94</v>
      </c>
      <c r="Q1393" s="8">
        <v>796</v>
      </c>
      <c r="R1393" s="7" t="s">
        <v>118</v>
      </c>
      <c r="S1393" s="9">
        <v>5</v>
      </c>
      <c r="T1393" s="9">
        <v>1522.33</v>
      </c>
      <c r="U1393" s="9">
        <v>0</v>
      </c>
      <c r="V1393" s="9">
        <f t="shared" si="978"/>
        <v>0</v>
      </c>
      <c r="W1393" s="7" t="s">
        <v>97</v>
      </c>
      <c r="X1393" s="2">
        <v>2016</v>
      </c>
      <c r="Y1393" s="2" t="s">
        <v>7793</v>
      </c>
    </row>
    <row r="1394" spans="1:25" s="11" customFormat="1" ht="89.25" customHeight="1" outlineLevel="1" x14ac:dyDescent="0.25">
      <c r="A1394" s="1"/>
      <c r="B1394" s="2" t="s">
        <v>8081</v>
      </c>
      <c r="C1394" s="3" t="s">
        <v>83</v>
      </c>
      <c r="D1394" s="19" t="s">
        <v>2853</v>
      </c>
      <c r="E1394" s="19" t="s">
        <v>2854</v>
      </c>
      <c r="F1394" s="19" t="s">
        <v>2855</v>
      </c>
      <c r="G1394" s="19" t="s">
        <v>2856</v>
      </c>
      <c r="H1394" s="2" t="s">
        <v>88</v>
      </c>
      <c r="I1394" s="4">
        <v>0</v>
      </c>
      <c r="J1394" s="5">
        <v>710000000</v>
      </c>
      <c r="K1394" s="5" t="s">
        <v>89</v>
      </c>
      <c r="L1394" s="2" t="s">
        <v>754</v>
      </c>
      <c r="M1394" s="6" t="s">
        <v>787</v>
      </c>
      <c r="N1394" s="7" t="s">
        <v>92</v>
      </c>
      <c r="O1394" s="7" t="s">
        <v>93</v>
      </c>
      <c r="P1394" s="3" t="s">
        <v>673</v>
      </c>
      <c r="Q1394" s="8">
        <v>796</v>
      </c>
      <c r="R1394" s="7" t="s">
        <v>118</v>
      </c>
      <c r="S1394" s="9">
        <v>5</v>
      </c>
      <c r="T1394" s="9">
        <v>1522.33</v>
      </c>
      <c r="U1394" s="9">
        <f t="shared" ref="U1394" si="1027">T1394*S1394</f>
        <v>7611.65</v>
      </c>
      <c r="V1394" s="9">
        <f t="shared" ref="V1394" si="1028">U1394*1.12</f>
        <v>8525.0480000000007</v>
      </c>
      <c r="W1394" s="7"/>
      <c r="X1394" s="2">
        <v>2016</v>
      </c>
      <c r="Y1394" s="2"/>
    </row>
    <row r="1395" spans="1:25" s="11" customFormat="1" ht="89.25" customHeight="1" outlineLevel="1" x14ac:dyDescent="0.25">
      <c r="A1395" s="1"/>
      <c r="B1395" s="2" t="s">
        <v>6199</v>
      </c>
      <c r="C1395" s="3" t="s">
        <v>83</v>
      </c>
      <c r="D1395" s="19" t="s">
        <v>2857</v>
      </c>
      <c r="E1395" s="19" t="s">
        <v>2300</v>
      </c>
      <c r="F1395" s="19" t="s">
        <v>2858</v>
      </c>
      <c r="G1395" s="19" t="s">
        <v>2859</v>
      </c>
      <c r="H1395" s="2" t="s">
        <v>88</v>
      </c>
      <c r="I1395" s="4">
        <v>0.4</v>
      </c>
      <c r="J1395" s="5">
        <v>710000000</v>
      </c>
      <c r="K1395" s="5" t="s">
        <v>89</v>
      </c>
      <c r="L1395" s="2" t="s">
        <v>754</v>
      </c>
      <c r="M1395" s="6" t="s">
        <v>787</v>
      </c>
      <c r="N1395" s="7" t="s">
        <v>92</v>
      </c>
      <c r="O1395" s="7" t="s">
        <v>93</v>
      </c>
      <c r="P1395" s="3" t="s">
        <v>94</v>
      </c>
      <c r="Q1395" s="8">
        <v>796</v>
      </c>
      <c r="R1395" s="7" t="s">
        <v>118</v>
      </c>
      <c r="S1395" s="9">
        <v>29</v>
      </c>
      <c r="T1395" s="9">
        <v>2678.57</v>
      </c>
      <c r="U1395" s="9">
        <v>0</v>
      </c>
      <c r="V1395" s="9">
        <f t="shared" si="978"/>
        <v>0</v>
      </c>
      <c r="W1395" s="7" t="s">
        <v>97</v>
      </c>
      <c r="X1395" s="2">
        <v>2016</v>
      </c>
      <c r="Y1395" s="2" t="s">
        <v>7793</v>
      </c>
    </row>
    <row r="1396" spans="1:25" s="11" customFormat="1" ht="89.25" customHeight="1" outlineLevel="1" x14ac:dyDescent="0.25">
      <c r="A1396" s="1"/>
      <c r="B1396" s="2" t="s">
        <v>8082</v>
      </c>
      <c r="C1396" s="3" t="s">
        <v>83</v>
      </c>
      <c r="D1396" s="19" t="s">
        <v>2857</v>
      </c>
      <c r="E1396" s="19" t="s">
        <v>2300</v>
      </c>
      <c r="F1396" s="19" t="s">
        <v>2858</v>
      </c>
      <c r="G1396" s="19" t="s">
        <v>2859</v>
      </c>
      <c r="H1396" s="2" t="s">
        <v>88</v>
      </c>
      <c r="I1396" s="4">
        <v>0</v>
      </c>
      <c r="J1396" s="5">
        <v>710000000</v>
      </c>
      <c r="K1396" s="5" t="s">
        <v>89</v>
      </c>
      <c r="L1396" s="2" t="s">
        <v>754</v>
      </c>
      <c r="M1396" s="6" t="s">
        <v>787</v>
      </c>
      <c r="N1396" s="7" t="s">
        <v>92</v>
      </c>
      <c r="O1396" s="7" t="s">
        <v>93</v>
      </c>
      <c r="P1396" s="3" t="s">
        <v>673</v>
      </c>
      <c r="Q1396" s="8">
        <v>796</v>
      </c>
      <c r="R1396" s="7" t="s">
        <v>118</v>
      </c>
      <c r="S1396" s="9">
        <v>29</v>
      </c>
      <c r="T1396" s="9">
        <v>2678.57</v>
      </c>
      <c r="U1396" s="9">
        <f t="shared" ref="U1396" si="1029">T1396*S1396</f>
        <v>77678.53</v>
      </c>
      <c r="V1396" s="9">
        <f t="shared" ref="V1396" si="1030">U1396*1.12</f>
        <v>86999.953600000008</v>
      </c>
      <c r="W1396" s="7"/>
      <c r="X1396" s="2">
        <v>2016</v>
      </c>
      <c r="Y1396" s="2"/>
    </row>
    <row r="1397" spans="1:25" s="11" customFormat="1" ht="89.25" customHeight="1" outlineLevel="1" x14ac:dyDescent="0.25">
      <c r="A1397" s="1"/>
      <c r="B1397" s="2" t="s">
        <v>6200</v>
      </c>
      <c r="C1397" s="3" t="s">
        <v>83</v>
      </c>
      <c r="D1397" s="19" t="s">
        <v>2860</v>
      </c>
      <c r="E1397" s="19" t="s">
        <v>853</v>
      </c>
      <c r="F1397" s="19" t="s">
        <v>2861</v>
      </c>
      <c r="G1397" s="19" t="s">
        <v>2862</v>
      </c>
      <c r="H1397" s="2" t="s">
        <v>88</v>
      </c>
      <c r="I1397" s="4">
        <v>0.4</v>
      </c>
      <c r="J1397" s="5">
        <v>710000000</v>
      </c>
      <c r="K1397" s="5" t="s">
        <v>89</v>
      </c>
      <c r="L1397" s="2" t="s">
        <v>754</v>
      </c>
      <c r="M1397" s="6" t="s">
        <v>787</v>
      </c>
      <c r="N1397" s="7" t="s">
        <v>92</v>
      </c>
      <c r="O1397" s="7" t="s">
        <v>93</v>
      </c>
      <c r="P1397" s="3" t="s">
        <v>94</v>
      </c>
      <c r="Q1397" s="8">
        <v>796</v>
      </c>
      <c r="R1397" s="7" t="s">
        <v>118</v>
      </c>
      <c r="S1397" s="9">
        <v>10</v>
      </c>
      <c r="T1397" s="9">
        <v>641.07000000000005</v>
      </c>
      <c r="U1397" s="9">
        <v>0</v>
      </c>
      <c r="V1397" s="9">
        <f t="shared" si="978"/>
        <v>0</v>
      </c>
      <c r="W1397" s="7" t="s">
        <v>97</v>
      </c>
      <c r="X1397" s="2">
        <v>2016</v>
      </c>
      <c r="Y1397" s="2" t="s">
        <v>7793</v>
      </c>
    </row>
    <row r="1398" spans="1:25" s="11" customFormat="1" ht="89.25" customHeight="1" outlineLevel="1" x14ac:dyDescent="0.25">
      <c r="A1398" s="1"/>
      <c r="B1398" s="2" t="s">
        <v>8083</v>
      </c>
      <c r="C1398" s="3" t="s">
        <v>83</v>
      </c>
      <c r="D1398" s="19" t="s">
        <v>2860</v>
      </c>
      <c r="E1398" s="19" t="s">
        <v>853</v>
      </c>
      <c r="F1398" s="19" t="s">
        <v>2861</v>
      </c>
      <c r="G1398" s="19" t="s">
        <v>2862</v>
      </c>
      <c r="H1398" s="2" t="s">
        <v>88</v>
      </c>
      <c r="I1398" s="4">
        <v>0</v>
      </c>
      <c r="J1398" s="5">
        <v>710000000</v>
      </c>
      <c r="K1398" s="5" t="s">
        <v>89</v>
      </c>
      <c r="L1398" s="2" t="s">
        <v>754</v>
      </c>
      <c r="M1398" s="6" t="s">
        <v>787</v>
      </c>
      <c r="N1398" s="7" t="s">
        <v>92</v>
      </c>
      <c r="O1398" s="7" t="s">
        <v>93</v>
      </c>
      <c r="P1398" s="3" t="s">
        <v>673</v>
      </c>
      <c r="Q1398" s="8">
        <v>796</v>
      </c>
      <c r="R1398" s="7" t="s">
        <v>118</v>
      </c>
      <c r="S1398" s="9">
        <v>10</v>
      </c>
      <c r="T1398" s="9">
        <v>641.07000000000005</v>
      </c>
      <c r="U1398" s="9">
        <f t="shared" ref="U1398" si="1031">T1398*S1398</f>
        <v>6410.7000000000007</v>
      </c>
      <c r="V1398" s="9">
        <f t="shared" ref="V1398" si="1032">U1398*1.12</f>
        <v>7179.9840000000013</v>
      </c>
      <c r="W1398" s="7"/>
      <c r="X1398" s="2">
        <v>2016</v>
      </c>
      <c r="Y1398" s="2"/>
    </row>
    <row r="1399" spans="1:25" s="11" customFormat="1" ht="89.25" customHeight="1" outlineLevel="1" x14ac:dyDescent="0.25">
      <c r="A1399" s="1"/>
      <c r="B1399" s="2" t="s">
        <v>6201</v>
      </c>
      <c r="C1399" s="3" t="s">
        <v>83</v>
      </c>
      <c r="D1399" s="19" t="s">
        <v>2860</v>
      </c>
      <c r="E1399" s="19" t="s">
        <v>853</v>
      </c>
      <c r="F1399" s="19" t="s">
        <v>2861</v>
      </c>
      <c r="G1399" s="19" t="s">
        <v>2863</v>
      </c>
      <c r="H1399" s="2" t="s">
        <v>88</v>
      </c>
      <c r="I1399" s="4">
        <v>0.4</v>
      </c>
      <c r="J1399" s="5">
        <v>710000000</v>
      </c>
      <c r="K1399" s="5" t="s">
        <v>89</v>
      </c>
      <c r="L1399" s="2" t="s">
        <v>754</v>
      </c>
      <c r="M1399" s="6" t="s">
        <v>787</v>
      </c>
      <c r="N1399" s="7" t="s">
        <v>92</v>
      </c>
      <c r="O1399" s="7" t="s">
        <v>93</v>
      </c>
      <c r="P1399" s="3" t="s">
        <v>94</v>
      </c>
      <c r="Q1399" s="8">
        <v>796</v>
      </c>
      <c r="R1399" s="7" t="s">
        <v>118</v>
      </c>
      <c r="S1399" s="9">
        <v>10</v>
      </c>
      <c r="T1399" s="9">
        <v>641.07000000000005</v>
      </c>
      <c r="U1399" s="9">
        <v>0</v>
      </c>
      <c r="V1399" s="9">
        <f t="shared" si="978"/>
        <v>0</v>
      </c>
      <c r="W1399" s="7" t="s">
        <v>97</v>
      </c>
      <c r="X1399" s="2">
        <v>2016</v>
      </c>
      <c r="Y1399" s="2" t="s">
        <v>7793</v>
      </c>
    </row>
    <row r="1400" spans="1:25" s="11" customFormat="1" ht="89.25" customHeight="1" outlineLevel="1" x14ac:dyDescent="0.25">
      <c r="A1400" s="1"/>
      <c r="B1400" s="2" t="s">
        <v>8084</v>
      </c>
      <c r="C1400" s="3" t="s">
        <v>83</v>
      </c>
      <c r="D1400" s="19" t="s">
        <v>2860</v>
      </c>
      <c r="E1400" s="19" t="s">
        <v>853</v>
      </c>
      <c r="F1400" s="19" t="s">
        <v>2861</v>
      </c>
      <c r="G1400" s="19" t="s">
        <v>2863</v>
      </c>
      <c r="H1400" s="2" t="s">
        <v>88</v>
      </c>
      <c r="I1400" s="4">
        <v>0</v>
      </c>
      <c r="J1400" s="5">
        <v>710000000</v>
      </c>
      <c r="K1400" s="5" t="s">
        <v>89</v>
      </c>
      <c r="L1400" s="2" t="s">
        <v>754</v>
      </c>
      <c r="M1400" s="6" t="s">
        <v>787</v>
      </c>
      <c r="N1400" s="7" t="s">
        <v>92</v>
      </c>
      <c r="O1400" s="7" t="s">
        <v>93</v>
      </c>
      <c r="P1400" s="3" t="s">
        <v>673</v>
      </c>
      <c r="Q1400" s="8">
        <v>796</v>
      </c>
      <c r="R1400" s="7" t="s">
        <v>118</v>
      </c>
      <c r="S1400" s="9">
        <v>10</v>
      </c>
      <c r="T1400" s="9">
        <v>641.07000000000005</v>
      </c>
      <c r="U1400" s="9">
        <f t="shared" ref="U1400" si="1033">T1400*S1400</f>
        <v>6410.7000000000007</v>
      </c>
      <c r="V1400" s="9">
        <f t="shared" ref="V1400" si="1034">U1400*1.12</f>
        <v>7179.9840000000013</v>
      </c>
      <c r="W1400" s="7"/>
      <c r="X1400" s="2">
        <v>2016</v>
      </c>
      <c r="Y1400" s="2"/>
    </row>
    <row r="1401" spans="1:25" s="11" customFormat="1" ht="89.25" customHeight="1" outlineLevel="1" x14ac:dyDescent="0.25">
      <c r="A1401" s="1"/>
      <c r="B1401" s="2" t="s">
        <v>6202</v>
      </c>
      <c r="C1401" s="3" t="s">
        <v>83</v>
      </c>
      <c r="D1401" s="19" t="s">
        <v>2860</v>
      </c>
      <c r="E1401" s="19" t="s">
        <v>853</v>
      </c>
      <c r="F1401" s="19" t="s">
        <v>2861</v>
      </c>
      <c r="G1401" s="19" t="s">
        <v>2864</v>
      </c>
      <c r="H1401" s="2" t="s">
        <v>88</v>
      </c>
      <c r="I1401" s="4">
        <v>0.4</v>
      </c>
      <c r="J1401" s="5">
        <v>710000000</v>
      </c>
      <c r="K1401" s="5" t="s">
        <v>89</v>
      </c>
      <c r="L1401" s="2" t="s">
        <v>754</v>
      </c>
      <c r="M1401" s="6" t="s">
        <v>787</v>
      </c>
      <c r="N1401" s="7" t="s">
        <v>92</v>
      </c>
      <c r="O1401" s="7" t="s">
        <v>93</v>
      </c>
      <c r="P1401" s="3" t="s">
        <v>94</v>
      </c>
      <c r="Q1401" s="8">
        <v>796</v>
      </c>
      <c r="R1401" s="7" t="s">
        <v>118</v>
      </c>
      <c r="S1401" s="9">
        <v>10</v>
      </c>
      <c r="T1401" s="9">
        <v>641.07000000000005</v>
      </c>
      <c r="U1401" s="9">
        <v>0</v>
      </c>
      <c r="V1401" s="9">
        <f t="shared" si="978"/>
        <v>0</v>
      </c>
      <c r="W1401" s="7" t="s">
        <v>97</v>
      </c>
      <c r="X1401" s="2">
        <v>2016</v>
      </c>
      <c r="Y1401" s="2" t="s">
        <v>7793</v>
      </c>
    </row>
    <row r="1402" spans="1:25" s="11" customFormat="1" ht="89.25" customHeight="1" outlineLevel="1" x14ac:dyDescent="0.25">
      <c r="A1402" s="1"/>
      <c r="B1402" s="2" t="s">
        <v>9646</v>
      </c>
      <c r="C1402" s="3" t="s">
        <v>83</v>
      </c>
      <c r="D1402" s="19" t="s">
        <v>2860</v>
      </c>
      <c r="E1402" s="19" t="s">
        <v>853</v>
      </c>
      <c r="F1402" s="19" t="s">
        <v>2861</v>
      </c>
      <c r="G1402" s="19" t="s">
        <v>2864</v>
      </c>
      <c r="H1402" s="2" t="s">
        <v>88</v>
      </c>
      <c r="I1402" s="4">
        <v>0</v>
      </c>
      <c r="J1402" s="5">
        <v>710000000</v>
      </c>
      <c r="K1402" s="5" t="s">
        <v>89</v>
      </c>
      <c r="L1402" s="2" t="s">
        <v>754</v>
      </c>
      <c r="M1402" s="6" t="s">
        <v>787</v>
      </c>
      <c r="N1402" s="7" t="s">
        <v>92</v>
      </c>
      <c r="O1402" s="7" t="s">
        <v>93</v>
      </c>
      <c r="P1402" s="3" t="s">
        <v>673</v>
      </c>
      <c r="Q1402" s="8">
        <v>796</v>
      </c>
      <c r="R1402" s="7" t="s">
        <v>118</v>
      </c>
      <c r="S1402" s="9">
        <v>10</v>
      </c>
      <c r="T1402" s="9">
        <v>641.07000000000005</v>
      </c>
      <c r="U1402" s="9">
        <f t="shared" ref="U1402" si="1035">T1402*S1402</f>
        <v>6410.7000000000007</v>
      </c>
      <c r="V1402" s="9">
        <f t="shared" ref="V1402" si="1036">U1402*1.12</f>
        <v>7179.9840000000013</v>
      </c>
      <c r="W1402" s="7"/>
      <c r="X1402" s="2">
        <v>2016</v>
      </c>
      <c r="Y1402" s="2"/>
    </row>
    <row r="1403" spans="1:25" s="11" customFormat="1" ht="89.25" customHeight="1" outlineLevel="1" x14ac:dyDescent="0.25">
      <c r="A1403" s="1"/>
      <c r="B1403" s="2" t="s">
        <v>6203</v>
      </c>
      <c r="C1403" s="3" t="s">
        <v>83</v>
      </c>
      <c r="D1403" s="19" t="s">
        <v>2865</v>
      </c>
      <c r="E1403" s="19" t="s">
        <v>2866</v>
      </c>
      <c r="F1403" s="19" t="s">
        <v>2867</v>
      </c>
      <c r="G1403" s="19" t="s">
        <v>2868</v>
      </c>
      <c r="H1403" s="2" t="s">
        <v>88</v>
      </c>
      <c r="I1403" s="4">
        <v>0.4</v>
      </c>
      <c r="J1403" s="5">
        <v>710000000</v>
      </c>
      <c r="K1403" s="5" t="s">
        <v>89</v>
      </c>
      <c r="L1403" s="2" t="s">
        <v>754</v>
      </c>
      <c r="M1403" s="6" t="s">
        <v>787</v>
      </c>
      <c r="N1403" s="7" t="s">
        <v>92</v>
      </c>
      <c r="O1403" s="7" t="s">
        <v>93</v>
      </c>
      <c r="P1403" s="3" t="s">
        <v>94</v>
      </c>
      <c r="Q1403" s="8">
        <v>796</v>
      </c>
      <c r="R1403" s="7" t="s">
        <v>118</v>
      </c>
      <c r="S1403" s="9">
        <v>5</v>
      </c>
      <c r="T1403" s="9">
        <v>1258.93</v>
      </c>
      <c r="U1403" s="9">
        <v>0</v>
      </c>
      <c r="V1403" s="9">
        <f t="shared" si="978"/>
        <v>0</v>
      </c>
      <c r="W1403" s="7" t="s">
        <v>97</v>
      </c>
      <c r="X1403" s="2">
        <v>2016</v>
      </c>
      <c r="Y1403" s="2" t="s">
        <v>7793</v>
      </c>
    </row>
    <row r="1404" spans="1:25" s="11" customFormat="1" ht="89.25" customHeight="1" outlineLevel="1" x14ac:dyDescent="0.25">
      <c r="A1404" s="1"/>
      <c r="B1404" s="2" t="s">
        <v>9645</v>
      </c>
      <c r="C1404" s="3" t="s">
        <v>83</v>
      </c>
      <c r="D1404" s="19" t="s">
        <v>2865</v>
      </c>
      <c r="E1404" s="19" t="s">
        <v>2866</v>
      </c>
      <c r="F1404" s="19" t="s">
        <v>2867</v>
      </c>
      <c r="G1404" s="19" t="s">
        <v>2868</v>
      </c>
      <c r="H1404" s="2" t="s">
        <v>88</v>
      </c>
      <c r="I1404" s="4">
        <v>0</v>
      </c>
      <c r="J1404" s="5">
        <v>710000000</v>
      </c>
      <c r="K1404" s="5" t="s">
        <v>89</v>
      </c>
      <c r="L1404" s="2" t="s">
        <v>754</v>
      </c>
      <c r="M1404" s="6" t="s">
        <v>787</v>
      </c>
      <c r="N1404" s="7" t="s">
        <v>92</v>
      </c>
      <c r="O1404" s="7" t="s">
        <v>93</v>
      </c>
      <c r="P1404" s="3" t="s">
        <v>673</v>
      </c>
      <c r="Q1404" s="8">
        <v>796</v>
      </c>
      <c r="R1404" s="7" t="s">
        <v>118</v>
      </c>
      <c r="S1404" s="9">
        <v>5</v>
      </c>
      <c r="T1404" s="9">
        <v>1258.93</v>
      </c>
      <c r="U1404" s="9">
        <f t="shared" ref="U1404" si="1037">T1404*S1404</f>
        <v>6294.6500000000005</v>
      </c>
      <c r="V1404" s="9">
        <f t="shared" ref="V1404" si="1038">U1404*1.12</f>
        <v>7050.0080000000016</v>
      </c>
      <c r="W1404" s="7"/>
      <c r="X1404" s="2">
        <v>2016</v>
      </c>
      <c r="Y1404" s="2"/>
    </row>
    <row r="1405" spans="1:25" s="11" customFormat="1" ht="89.25" customHeight="1" outlineLevel="1" x14ac:dyDescent="0.25">
      <c r="A1405" s="1"/>
      <c r="B1405" s="2" t="s">
        <v>6204</v>
      </c>
      <c r="C1405" s="3" t="s">
        <v>83</v>
      </c>
      <c r="D1405" s="19" t="s">
        <v>2869</v>
      </c>
      <c r="E1405" s="19" t="s">
        <v>2870</v>
      </c>
      <c r="F1405" s="19" t="s">
        <v>2871</v>
      </c>
      <c r="G1405" s="19" t="s">
        <v>2872</v>
      </c>
      <c r="H1405" s="2" t="s">
        <v>88</v>
      </c>
      <c r="I1405" s="4">
        <v>0.4</v>
      </c>
      <c r="J1405" s="5">
        <v>710000000</v>
      </c>
      <c r="K1405" s="5" t="s">
        <v>89</v>
      </c>
      <c r="L1405" s="2" t="s">
        <v>754</v>
      </c>
      <c r="M1405" s="6" t="s">
        <v>787</v>
      </c>
      <c r="N1405" s="7" t="s">
        <v>92</v>
      </c>
      <c r="O1405" s="7" t="s">
        <v>93</v>
      </c>
      <c r="P1405" s="3" t="s">
        <v>94</v>
      </c>
      <c r="Q1405" s="8">
        <v>796</v>
      </c>
      <c r="R1405" s="7" t="s">
        <v>118</v>
      </c>
      <c r="S1405" s="9">
        <v>15</v>
      </c>
      <c r="T1405" s="9">
        <v>16160.37</v>
      </c>
      <c r="U1405" s="9">
        <v>0</v>
      </c>
      <c r="V1405" s="9">
        <f t="shared" si="978"/>
        <v>0</v>
      </c>
      <c r="W1405" s="7" t="s">
        <v>97</v>
      </c>
      <c r="X1405" s="2">
        <v>2016</v>
      </c>
      <c r="Y1405" s="2" t="s">
        <v>7793</v>
      </c>
    </row>
    <row r="1406" spans="1:25" s="11" customFormat="1" ht="89.25" customHeight="1" outlineLevel="1" x14ac:dyDescent="0.25">
      <c r="A1406" s="1"/>
      <c r="B1406" s="2" t="s">
        <v>8085</v>
      </c>
      <c r="C1406" s="3" t="s">
        <v>83</v>
      </c>
      <c r="D1406" s="19" t="s">
        <v>2869</v>
      </c>
      <c r="E1406" s="19" t="s">
        <v>2870</v>
      </c>
      <c r="F1406" s="19" t="s">
        <v>2871</v>
      </c>
      <c r="G1406" s="19" t="s">
        <v>2872</v>
      </c>
      <c r="H1406" s="2" t="s">
        <v>88</v>
      </c>
      <c r="I1406" s="4">
        <v>0</v>
      </c>
      <c r="J1406" s="5">
        <v>710000000</v>
      </c>
      <c r="K1406" s="5" t="s">
        <v>89</v>
      </c>
      <c r="L1406" s="2" t="s">
        <v>754</v>
      </c>
      <c r="M1406" s="6" t="s">
        <v>787</v>
      </c>
      <c r="N1406" s="7" t="s">
        <v>92</v>
      </c>
      <c r="O1406" s="7" t="s">
        <v>93</v>
      </c>
      <c r="P1406" s="3" t="s">
        <v>673</v>
      </c>
      <c r="Q1406" s="8">
        <v>796</v>
      </c>
      <c r="R1406" s="7" t="s">
        <v>118</v>
      </c>
      <c r="S1406" s="9">
        <v>15</v>
      </c>
      <c r="T1406" s="9">
        <v>16160.37</v>
      </c>
      <c r="U1406" s="9">
        <f t="shared" ref="U1406" si="1039">T1406*S1406</f>
        <v>242405.55000000002</v>
      </c>
      <c r="V1406" s="9">
        <f t="shared" ref="V1406" si="1040">U1406*1.12</f>
        <v>271494.21600000007</v>
      </c>
      <c r="W1406" s="7"/>
      <c r="X1406" s="2">
        <v>2016</v>
      </c>
      <c r="Y1406" s="2"/>
    </row>
    <row r="1407" spans="1:25" s="11" customFormat="1" ht="89.25" customHeight="1" outlineLevel="1" x14ac:dyDescent="0.25">
      <c r="A1407" s="1"/>
      <c r="B1407" s="2" t="s">
        <v>6205</v>
      </c>
      <c r="C1407" s="3" t="s">
        <v>83</v>
      </c>
      <c r="D1407" s="19" t="s">
        <v>2873</v>
      </c>
      <c r="E1407" s="19" t="s">
        <v>2874</v>
      </c>
      <c r="F1407" s="19" t="s">
        <v>2875</v>
      </c>
      <c r="G1407" s="19" t="s">
        <v>2876</v>
      </c>
      <c r="H1407" s="2" t="s">
        <v>88</v>
      </c>
      <c r="I1407" s="4">
        <v>0.4</v>
      </c>
      <c r="J1407" s="5">
        <v>710000000</v>
      </c>
      <c r="K1407" s="5" t="s">
        <v>89</v>
      </c>
      <c r="L1407" s="2" t="s">
        <v>754</v>
      </c>
      <c r="M1407" s="6" t="s">
        <v>787</v>
      </c>
      <c r="N1407" s="7" t="s">
        <v>92</v>
      </c>
      <c r="O1407" s="7" t="s">
        <v>93</v>
      </c>
      <c r="P1407" s="3" t="s">
        <v>94</v>
      </c>
      <c r="Q1407" s="8">
        <v>796</v>
      </c>
      <c r="R1407" s="7" t="s">
        <v>118</v>
      </c>
      <c r="S1407" s="9">
        <v>70</v>
      </c>
      <c r="T1407" s="9">
        <v>812.5</v>
      </c>
      <c r="U1407" s="9">
        <v>0</v>
      </c>
      <c r="V1407" s="9">
        <f t="shared" si="978"/>
        <v>0</v>
      </c>
      <c r="W1407" s="7" t="s">
        <v>97</v>
      </c>
      <c r="X1407" s="2">
        <v>2016</v>
      </c>
      <c r="Y1407" s="2" t="s">
        <v>7793</v>
      </c>
    </row>
    <row r="1408" spans="1:25" s="11" customFormat="1" ht="89.25" customHeight="1" outlineLevel="1" x14ac:dyDescent="0.25">
      <c r="A1408" s="1"/>
      <c r="B1408" s="2" t="s">
        <v>9644</v>
      </c>
      <c r="C1408" s="3" t="s">
        <v>83</v>
      </c>
      <c r="D1408" s="19" t="s">
        <v>2873</v>
      </c>
      <c r="E1408" s="19" t="s">
        <v>2874</v>
      </c>
      <c r="F1408" s="19" t="s">
        <v>2875</v>
      </c>
      <c r="G1408" s="19" t="s">
        <v>2876</v>
      </c>
      <c r="H1408" s="2" t="s">
        <v>88</v>
      </c>
      <c r="I1408" s="4">
        <v>0</v>
      </c>
      <c r="J1408" s="5">
        <v>710000000</v>
      </c>
      <c r="K1408" s="5" t="s">
        <v>89</v>
      </c>
      <c r="L1408" s="2" t="s">
        <v>754</v>
      </c>
      <c r="M1408" s="6" t="s">
        <v>787</v>
      </c>
      <c r="N1408" s="7" t="s">
        <v>92</v>
      </c>
      <c r="O1408" s="7" t="s">
        <v>93</v>
      </c>
      <c r="P1408" s="3" t="s">
        <v>673</v>
      </c>
      <c r="Q1408" s="8">
        <v>796</v>
      </c>
      <c r="R1408" s="7" t="s">
        <v>118</v>
      </c>
      <c r="S1408" s="9">
        <v>70</v>
      </c>
      <c r="T1408" s="9">
        <v>812.5</v>
      </c>
      <c r="U1408" s="9">
        <f t="shared" ref="U1408" si="1041">T1408*S1408</f>
        <v>56875</v>
      </c>
      <c r="V1408" s="9">
        <f t="shared" ref="V1408" si="1042">U1408*1.12</f>
        <v>63700.000000000007</v>
      </c>
      <c r="W1408" s="7"/>
      <c r="X1408" s="2">
        <v>2016</v>
      </c>
      <c r="Y1408" s="2"/>
    </row>
    <row r="1409" spans="1:25" s="11" customFormat="1" ht="89.25" customHeight="1" outlineLevel="1" x14ac:dyDescent="0.25">
      <c r="A1409" s="1"/>
      <c r="B1409" s="2" t="s">
        <v>6206</v>
      </c>
      <c r="C1409" s="3" t="s">
        <v>83</v>
      </c>
      <c r="D1409" s="19" t="s">
        <v>2860</v>
      </c>
      <c r="E1409" s="19" t="s">
        <v>853</v>
      </c>
      <c r="F1409" s="19" t="s">
        <v>2861</v>
      </c>
      <c r="G1409" s="19" t="s">
        <v>2877</v>
      </c>
      <c r="H1409" s="2" t="s">
        <v>88</v>
      </c>
      <c r="I1409" s="4">
        <v>0.4</v>
      </c>
      <c r="J1409" s="5">
        <v>710000000</v>
      </c>
      <c r="K1409" s="5" t="s">
        <v>89</v>
      </c>
      <c r="L1409" s="2" t="s">
        <v>754</v>
      </c>
      <c r="M1409" s="6" t="s">
        <v>787</v>
      </c>
      <c r="N1409" s="7" t="s">
        <v>92</v>
      </c>
      <c r="O1409" s="7" t="s">
        <v>93</v>
      </c>
      <c r="P1409" s="3" t="s">
        <v>94</v>
      </c>
      <c r="Q1409" s="8">
        <v>796</v>
      </c>
      <c r="R1409" s="7" t="s">
        <v>118</v>
      </c>
      <c r="S1409" s="9">
        <v>10</v>
      </c>
      <c r="T1409" s="9">
        <v>641.07000000000005</v>
      </c>
      <c r="U1409" s="9">
        <v>0</v>
      </c>
      <c r="V1409" s="9">
        <f t="shared" si="978"/>
        <v>0</v>
      </c>
      <c r="W1409" s="7" t="s">
        <v>97</v>
      </c>
      <c r="X1409" s="2">
        <v>2016</v>
      </c>
      <c r="Y1409" s="2" t="s">
        <v>7793</v>
      </c>
    </row>
    <row r="1410" spans="1:25" s="11" customFormat="1" ht="89.25" customHeight="1" outlineLevel="1" x14ac:dyDescent="0.25">
      <c r="A1410" s="1"/>
      <c r="B1410" s="2" t="s">
        <v>8086</v>
      </c>
      <c r="C1410" s="3" t="s">
        <v>83</v>
      </c>
      <c r="D1410" s="19" t="s">
        <v>2860</v>
      </c>
      <c r="E1410" s="19" t="s">
        <v>853</v>
      </c>
      <c r="F1410" s="19" t="s">
        <v>2861</v>
      </c>
      <c r="G1410" s="19" t="s">
        <v>2877</v>
      </c>
      <c r="H1410" s="2" t="s">
        <v>88</v>
      </c>
      <c r="I1410" s="4">
        <v>0</v>
      </c>
      <c r="J1410" s="5">
        <v>710000000</v>
      </c>
      <c r="K1410" s="5" t="s">
        <v>89</v>
      </c>
      <c r="L1410" s="2" t="s">
        <v>754</v>
      </c>
      <c r="M1410" s="6" t="s">
        <v>787</v>
      </c>
      <c r="N1410" s="7" t="s">
        <v>92</v>
      </c>
      <c r="O1410" s="7" t="s">
        <v>93</v>
      </c>
      <c r="P1410" s="3" t="s">
        <v>673</v>
      </c>
      <c r="Q1410" s="8">
        <v>796</v>
      </c>
      <c r="R1410" s="7" t="s">
        <v>118</v>
      </c>
      <c r="S1410" s="9">
        <v>10</v>
      </c>
      <c r="T1410" s="9">
        <v>641.07000000000005</v>
      </c>
      <c r="U1410" s="9">
        <f t="shared" ref="U1410" si="1043">T1410*S1410</f>
        <v>6410.7000000000007</v>
      </c>
      <c r="V1410" s="9">
        <f t="shared" ref="V1410" si="1044">U1410*1.12</f>
        <v>7179.9840000000013</v>
      </c>
      <c r="W1410" s="7"/>
      <c r="X1410" s="2">
        <v>2016</v>
      </c>
      <c r="Y1410" s="2"/>
    </row>
    <row r="1411" spans="1:25" s="11" customFormat="1" ht="89.25" customHeight="1" outlineLevel="1" x14ac:dyDescent="0.25">
      <c r="A1411" s="1"/>
      <c r="B1411" s="2" t="s">
        <v>6207</v>
      </c>
      <c r="C1411" s="3" t="s">
        <v>83</v>
      </c>
      <c r="D1411" s="19" t="s">
        <v>2860</v>
      </c>
      <c r="E1411" s="19" t="s">
        <v>853</v>
      </c>
      <c r="F1411" s="19" t="s">
        <v>2861</v>
      </c>
      <c r="G1411" s="19" t="s">
        <v>2878</v>
      </c>
      <c r="H1411" s="2" t="s">
        <v>88</v>
      </c>
      <c r="I1411" s="4">
        <v>0.4</v>
      </c>
      <c r="J1411" s="5">
        <v>710000000</v>
      </c>
      <c r="K1411" s="5" t="s">
        <v>89</v>
      </c>
      <c r="L1411" s="2" t="s">
        <v>754</v>
      </c>
      <c r="M1411" s="6" t="s">
        <v>787</v>
      </c>
      <c r="N1411" s="7" t="s">
        <v>92</v>
      </c>
      <c r="O1411" s="7" t="s">
        <v>93</v>
      </c>
      <c r="P1411" s="3" t="s">
        <v>94</v>
      </c>
      <c r="Q1411" s="8">
        <v>796</v>
      </c>
      <c r="R1411" s="7" t="s">
        <v>118</v>
      </c>
      <c r="S1411" s="9">
        <v>10</v>
      </c>
      <c r="T1411" s="9">
        <v>641.07000000000005</v>
      </c>
      <c r="U1411" s="9">
        <v>0</v>
      </c>
      <c r="V1411" s="9">
        <f t="shared" si="978"/>
        <v>0</v>
      </c>
      <c r="W1411" s="7" t="s">
        <v>97</v>
      </c>
      <c r="X1411" s="2">
        <v>2016</v>
      </c>
      <c r="Y1411" s="2" t="s">
        <v>7793</v>
      </c>
    </row>
    <row r="1412" spans="1:25" s="11" customFormat="1" ht="89.25" customHeight="1" outlineLevel="1" x14ac:dyDescent="0.25">
      <c r="A1412" s="1"/>
      <c r="B1412" s="2" t="s">
        <v>8087</v>
      </c>
      <c r="C1412" s="3" t="s">
        <v>83</v>
      </c>
      <c r="D1412" s="19" t="s">
        <v>2860</v>
      </c>
      <c r="E1412" s="19" t="s">
        <v>853</v>
      </c>
      <c r="F1412" s="19" t="s">
        <v>2861</v>
      </c>
      <c r="G1412" s="19" t="s">
        <v>2878</v>
      </c>
      <c r="H1412" s="2" t="s">
        <v>88</v>
      </c>
      <c r="I1412" s="4">
        <v>0</v>
      </c>
      <c r="J1412" s="5">
        <v>710000000</v>
      </c>
      <c r="K1412" s="5" t="s">
        <v>89</v>
      </c>
      <c r="L1412" s="2" t="s">
        <v>754</v>
      </c>
      <c r="M1412" s="6" t="s">
        <v>787</v>
      </c>
      <c r="N1412" s="7" t="s">
        <v>92</v>
      </c>
      <c r="O1412" s="7" t="s">
        <v>93</v>
      </c>
      <c r="P1412" s="3" t="s">
        <v>673</v>
      </c>
      <c r="Q1412" s="8">
        <v>796</v>
      </c>
      <c r="R1412" s="7" t="s">
        <v>118</v>
      </c>
      <c r="S1412" s="9">
        <v>10</v>
      </c>
      <c r="T1412" s="9">
        <v>641.07000000000005</v>
      </c>
      <c r="U1412" s="9">
        <f t="shared" ref="U1412" si="1045">T1412*S1412</f>
        <v>6410.7000000000007</v>
      </c>
      <c r="V1412" s="9">
        <f t="shared" ref="V1412" si="1046">U1412*1.12</f>
        <v>7179.9840000000013</v>
      </c>
      <c r="W1412" s="7"/>
      <c r="X1412" s="2">
        <v>2016</v>
      </c>
      <c r="Y1412" s="2"/>
    </row>
    <row r="1413" spans="1:25" s="11" customFormat="1" ht="89.25" customHeight="1" outlineLevel="1" x14ac:dyDescent="0.25">
      <c r="A1413" s="1"/>
      <c r="B1413" s="2" t="s">
        <v>6208</v>
      </c>
      <c r="C1413" s="3" t="s">
        <v>83</v>
      </c>
      <c r="D1413" s="19" t="s">
        <v>2879</v>
      </c>
      <c r="E1413" s="19" t="s">
        <v>2880</v>
      </c>
      <c r="F1413" s="19" t="s">
        <v>2881</v>
      </c>
      <c r="G1413" s="19" t="s">
        <v>2882</v>
      </c>
      <c r="H1413" s="2" t="s">
        <v>88</v>
      </c>
      <c r="I1413" s="4">
        <v>0.4</v>
      </c>
      <c r="J1413" s="5">
        <v>710000000</v>
      </c>
      <c r="K1413" s="5" t="s">
        <v>89</v>
      </c>
      <c r="L1413" s="2" t="s">
        <v>754</v>
      </c>
      <c r="M1413" s="6" t="s">
        <v>787</v>
      </c>
      <c r="N1413" s="7" t="s">
        <v>92</v>
      </c>
      <c r="O1413" s="7" t="s">
        <v>93</v>
      </c>
      <c r="P1413" s="3" t="s">
        <v>94</v>
      </c>
      <c r="Q1413" s="8">
        <v>796</v>
      </c>
      <c r="R1413" s="7" t="s">
        <v>118</v>
      </c>
      <c r="S1413" s="9">
        <v>7</v>
      </c>
      <c r="T1413" s="9">
        <v>1416.96</v>
      </c>
      <c r="U1413" s="9">
        <v>0</v>
      </c>
      <c r="V1413" s="9">
        <f t="shared" si="978"/>
        <v>0</v>
      </c>
      <c r="W1413" s="7" t="s">
        <v>97</v>
      </c>
      <c r="X1413" s="2">
        <v>2016</v>
      </c>
      <c r="Y1413" s="2" t="s">
        <v>7793</v>
      </c>
    </row>
    <row r="1414" spans="1:25" s="11" customFormat="1" ht="89.25" customHeight="1" outlineLevel="1" x14ac:dyDescent="0.25">
      <c r="A1414" s="1"/>
      <c r="B1414" s="2" t="s">
        <v>8088</v>
      </c>
      <c r="C1414" s="3" t="s">
        <v>83</v>
      </c>
      <c r="D1414" s="19" t="s">
        <v>2879</v>
      </c>
      <c r="E1414" s="19" t="s">
        <v>2880</v>
      </c>
      <c r="F1414" s="19" t="s">
        <v>2881</v>
      </c>
      <c r="G1414" s="19" t="s">
        <v>2882</v>
      </c>
      <c r="H1414" s="2" t="s">
        <v>88</v>
      </c>
      <c r="I1414" s="4">
        <v>0</v>
      </c>
      <c r="J1414" s="5">
        <v>710000000</v>
      </c>
      <c r="K1414" s="5" t="s">
        <v>89</v>
      </c>
      <c r="L1414" s="2" t="s">
        <v>754</v>
      </c>
      <c r="M1414" s="6" t="s">
        <v>787</v>
      </c>
      <c r="N1414" s="7" t="s">
        <v>92</v>
      </c>
      <c r="O1414" s="7" t="s">
        <v>93</v>
      </c>
      <c r="P1414" s="3" t="s">
        <v>673</v>
      </c>
      <c r="Q1414" s="8">
        <v>796</v>
      </c>
      <c r="R1414" s="7" t="s">
        <v>118</v>
      </c>
      <c r="S1414" s="9">
        <v>7</v>
      </c>
      <c r="T1414" s="9">
        <v>1416.96</v>
      </c>
      <c r="U1414" s="9">
        <f t="shared" ref="U1414" si="1047">T1414*S1414</f>
        <v>9918.7200000000012</v>
      </c>
      <c r="V1414" s="9">
        <f t="shared" ref="V1414" si="1048">U1414*1.12</f>
        <v>11108.966400000003</v>
      </c>
      <c r="W1414" s="7"/>
      <c r="X1414" s="2">
        <v>2016</v>
      </c>
      <c r="Y1414" s="2"/>
    </row>
    <row r="1415" spans="1:25" s="11" customFormat="1" ht="89.25" customHeight="1" outlineLevel="1" x14ac:dyDescent="0.25">
      <c r="A1415" s="1"/>
      <c r="B1415" s="2" t="s">
        <v>6209</v>
      </c>
      <c r="C1415" s="3" t="s">
        <v>83</v>
      </c>
      <c r="D1415" s="19" t="s">
        <v>2883</v>
      </c>
      <c r="E1415" s="19" t="s">
        <v>2884</v>
      </c>
      <c r="F1415" s="19" t="s">
        <v>2885</v>
      </c>
      <c r="G1415" s="19" t="s">
        <v>2886</v>
      </c>
      <c r="H1415" s="2" t="s">
        <v>88</v>
      </c>
      <c r="I1415" s="4">
        <v>0.4</v>
      </c>
      <c r="J1415" s="5">
        <v>710000000</v>
      </c>
      <c r="K1415" s="5" t="s">
        <v>89</v>
      </c>
      <c r="L1415" s="2" t="s">
        <v>754</v>
      </c>
      <c r="M1415" s="6" t="s">
        <v>787</v>
      </c>
      <c r="N1415" s="7" t="s">
        <v>92</v>
      </c>
      <c r="O1415" s="7" t="s">
        <v>93</v>
      </c>
      <c r="P1415" s="3" t="s">
        <v>94</v>
      </c>
      <c r="Q1415" s="8">
        <v>796</v>
      </c>
      <c r="R1415" s="7" t="s">
        <v>118</v>
      </c>
      <c r="S1415" s="9">
        <v>17</v>
      </c>
      <c r="T1415" s="9">
        <v>15537.99</v>
      </c>
      <c r="U1415" s="9">
        <v>0</v>
      </c>
      <c r="V1415" s="9">
        <f t="shared" si="978"/>
        <v>0</v>
      </c>
      <c r="W1415" s="7" t="s">
        <v>97</v>
      </c>
      <c r="X1415" s="2">
        <v>2016</v>
      </c>
      <c r="Y1415" s="2" t="s">
        <v>7793</v>
      </c>
    </row>
    <row r="1416" spans="1:25" s="11" customFormat="1" ht="89.25" customHeight="1" outlineLevel="1" x14ac:dyDescent="0.25">
      <c r="A1416" s="1"/>
      <c r="B1416" s="2" t="s">
        <v>8089</v>
      </c>
      <c r="C1416" s="3" t="s">
        <v>83</v>
      </c>
      <c r="D1416" s="19" t="s">
        <v>2883</v>
      </c>
      <c r="E1416" s="19" t="s">
        <v>2884</v>
      </c>
      <c r="F1416" s="19" t="s">
        <v>2885</v>
      </c>
      <c r="G1416" s="19" t="s">
        <v>2886</v>
      </c>
      <c r="H1416" s="2" t="s">
        <v>88</v>
      </c>
      <c r="I1416" s="4">
        <v>0</v>
      </c>
      <c r="J1416" s="5">
        <v>710000000</v>
      </c>
      <c r="K1416" s="5" t="s">
        <v>89</v>
      </c>
      <c r="L1416" s="2" t="s">
        <v>754</v>
      </c>
      <c r="M1416" s="6" t="s">
        <v>787</v>
      </c>
      <c r="N1416" s="7" t="s">
        <v>92</v>
      </c>
      <c r="O1416" s="7" t="s">
        <v>93</v>
      </c>
      <c r="P1416" s="3" t="s">
        <v>673</v>
      </c>
      <c r="Q1416" s="8">
        <v>796</v>
      </c>
      <c r="R1416" s="7" t="s">
        <v>118</v>
      </c>
      <c r="S1416" s="9">
        <v>17</v>
      </c>
      <c r="T1416" s="9">
        <v>15537.99</v>
      </c>
      <c r="U1416" s="9">
        <f t="shared" ref="U1416" si="1049">T1416*S1416</f>
        <v>264145.83</v>
      </c>
      <c r="V1416" s="9">
        <f t="shared" ref="V1416" si="1050">U1416*1.12</f>
        <v>295843.32960000006</v>
      </c>
      <c r="W1416" s="7"/>
      <c r="X1416" s="2">
        <v>2016</v>
      </c>
      <c r="Y1416" s="2"/>
    </row>
    <row r="1417" spans="1:25" s="11" customFormat="1" ht="89.25" customHeight="1" outlineLevel="1" x14ac:dyDescent="0.25">
      <c r="A1417" s="1"/>
      <c r="B1417" s="2" t="s">
        <v>6210</v>
      </c>
      <c r="C1417" s="3" t="s">
        <v>83</v>
      </c>
      <c r="D1417" s="19" t="s">
        <v>2887</v>
      </c>
      <c r="E1417" s="19" t="s">
        <v>2888</v>
      </c>
      <c r="F1417" s="19" t="s">
        <v>2889</v>
      </c>
      <c r="G1417" s="19" t="s">
        <v>2890</v>
      </c>
      <c r="H1417" s="2" t="s">
        <v>88</v>
      </c>
      <c r="I1417" s="4">
        <v>0.4</v>
      </c>
      <c r="J1417" s="5">
        <v>710000000</v>
      </c>
      <c r="K1417" s="5" t="s">
        <v>89</v>
      </c>
      <c r="L1417" s="2" t="s">
        <v>754</v>
      </c>
      <c r="M1417" s="6" t="s">
        <v>787</v>
      </c>
      <c r="N1417" s="7" t="s">
        <v>92</v>
      </c>
      <c r="O1417" s="7" t="s">
        <v>93</v>
      </c>
      <c r="P1417" s="3" t="s">
        <v>94</v>
      </c>
      <c r="Q1417" s="8">
        <v>796</v>
      </c>
      <c r="R1417" s="7" t="s">
        <v>118</v>
      </c>
      <c r="S1417" s="9">
        <v>7</v>
      </c>
      <c r="T1417" s="9">
        <v>35714.29</v>
      </c>
      <c r="U1417" s="9">
        <v>0</v>
      </c>
      <c r="V1417" s="9">
        <f t="shared" si="978"/>
        <v>0</v>
      </c>
      <c r="W1417" s="7" t="s">
        <v>97</v>
      </c>
      <c r="X1417" s="2">
        <v>2016</v>
      </c>
      <c r="Y1417" s="2" t="s">
        <v>7793</v>
      </c>
    </row>
    <row r="1418" spans="1:25" s="11" customFormat="1" ht="89.25" customHeight="1" outlineLevel="1" x14ac:dyDescent="0.25">
      <c r="A1418" s="1"/>
      <c r="B1418" s="2" t="s">
        <v>8090</v>
      </c>
      <c r="C1418" s="3" t="s">
        <v>83</v>
      </c>
      <c r="D1418" s="19" t="s">
        <v>2887</v>
      </c>
      <c r="E1418" s="19" t="s">
        <v>2888</v>
      </c>
      <c r="F1418" s="19" t="s">
        <v>2889</v>
      </c>
      <c r="G1418" s="19" t="s">
        <v>2890</v>
      </c>
      <c r="H1418" s="2" t="s">
        <v>88</v>
      </c>
      <c r="I1418" s="4">
        <v>0</v>
      </c>
      <c r="J1418" s="5">
        <v>710000000</v>
      </c>
      <c r="K1418" s="5" t="s">
        <v>89</v>
      </c>
      <c r="L1418" s="2" t="s">
        <v>754</v>
      </c>
      <c r="M1418" s="6" t="s">
        <v>787</v>
      </c>
      <c r="N1418" s="7" t="s">
        <v>92</v>
      </c>
      <c r="O1418" s="7" t="s">
        <v>93</v>
      </c>
      <c r="P1418" s="3" t="s">
        <v>673</v>
      </c>
      <c r="Q1418" s="8">
        <v>796</v>
      </c>
      <c r="R1418" s="7" t="s">
        <v>118</v>
      </c>
      <c r="S1418" s="9">
        <v>7</v>
      </c>
      <c r="T1418" s="9">
        <v>35714.29</v>
      </c>
      <c r="U1418" s="9">
        <f t="shared" ref="U1418" si="1051">T1418*S1418</f>
        <v>250000.03</v>
      </c>
      <c r="V1418" s="9">
        <f t="shared" ref="V1418" si="1052">U1418*1.12</f>
        <v>280000.03360000002</v>
      </c>
      <c r="W1418" s="7"/>
      <c r="X1418" s="2">
        <v>2016</v>
      </c>
      <c r="Y1418" s="2"/>
    </row>
    <row r="1419" spans="1:25" s="11" customFormat="1" ht="89.25" customHeight="1" outlineLevel="1" x14ac:dyDescent="0.25">
      <c r="A1419" s="1"/>
      <c r="B1419" s="2" t="s">
        <v>6211</v>
      </c>
      <c r="C1419" s="3" t="s">
        <v>83</v>
      </c>
      <c r="D1419" s="19" t="s">
        <v>2891</v>
      </c>
      <c r="E1419" s="19" t="s">
        <v>2892</v>
      </c>
      <c r="F1419" s="19" t="s">
        <v>2893</v>
      </c>
      <c r="G1419" s="4" t="s">
        <v>2894</v>
      </c>
      <c r="H1419" s="2" t="s">
        <v>88</v>
      </c>
      <c r="I1419" s="4">
        <v>0.4</v>
      </c>
      <c r="J1419" s="5">
        <v>710000000</v>
      </c>
      <c r="K1419" s="5" t="s">
        <v>89</v>
      </c>
      <c r="L1419" s="2" t="s">
        <v>754</v>
      </c>
      <c r="M1419" s="6" t="s">
        <v>787</v>
      </c>
      <c r="N1419" s="7" t="s">
        <v>92</v>
      </c>
      <c r="O1419" s="7" t="s">
        <v>93</v>
      </c>
      <c r="P1419" s="3" t="s">
        <v>94</v>
      </c>
      <c r="Q1419" s="8" t="s">
        <v>2439</v>
      </c>
      <c r="R1419" s="7" t="s">
        <v>2440</v>
      </c>
      <c r="S1419" s="9">
        <v>100</v>
      </c>
      <c r="T1419" s="9">
        <v>85.72</v>
      </c>
      <c r="U1419" s="9">
        <v>0</v>
      </c>
      <c r="V1419" s="9">
        <f t="shared" si="978"/>
        <v>0</v>
      </c>
      <c r="W1419" s="7" t="s">
        <v>97</v>
      </c>
      <c r="X1419" s="2">
        <v>2016</v>
      </c>
      <c r="Y1419" s="2" t="s">
        <v>7793</v>
      </c>
    </row>
    <row r="1420" spans="1:25" s="11" customFormat="1" ht="89.25" customHeight="1" outlineLevel="1" x14ac:dyDescent="0.25">
      <c r="A1420" s="1"/>
      <c r="B1420" s="2" t="s">
        <v>8091</v>
      </c>
      <c r="C1420" s="3" t="s">
        <v>83</v>
      </c>
      <c r="D1420" s="19" t="s">
        <v>2891</v>
      </c>
      <c r="E1420" s="19" t="s">
        <v>2892</v>
      </c>
      <c r="F1420" s="19" t="s">
        <v>2893</v>
      </c>
      <c r="G1420" s="4" t="s">
        <v>2894</v>
      </c>
      <c r="H1420" s="2" t="s">
        <v>88</v>
      </c>
      <c r="I1420" s="4">
        <v>0</v>
      </c>
      <c r="J1420" s="5">
        <v>710000000</v>
      </c>
      <c r="K1420" s="5" t="s">
        <v>89</v>
      </c>
      <c r="L1420" s="2" t="s">
        <v>754</v>
      </c>
      <c r="M1420" s="6" t="s">
        <v>787</v>
      </c>
      <c r="N1420" s="7" t="s">
        <v>92</v>
      </c>
      <c r="O1420" s="7" t="s">
        <v>93</v>
      </c>
      <c r="P1420" s="3" t="s">
        <v>673</v>
      </c>
      <c r="Q1420" s="8" t="s">
        <v>2439</v>
      </c>
      <c r="R1420" s="7" t="s">
        <v>2440</v>
      </c>
      <c r="S1420" s="9">
        <v>100</v>
      </c>
      <c r="T1420" s="9">
        <v>85.72</v>
      </c>
      <c r="U1420" s="9">
        <f t="shared" ref="U1420" si="1053">T1420*S1420</f>
        <v>8572</v>
      </c>
      <c r="V1420" s="9">
        <f t="shared" ref="V1420" si="1054">U1420*1.12</f>
        <v>9600.6400000000012</v>
      </c>
      <c r="W1420" s="7"/>
      <c r="X1420" s="2">
        <v>2016</v>
      </c>
      <c r="Y1420" s="2"/>
    </row>
    <row r="1421" spans="1:25" s="11" customFormat="1" ht="89.25" customHeight="1" outlineLevel="1" x14ac:dyDescent="0.25">
      <c r="A1421" s="1"/>
      <c r="B1421" s="2" t="s">
        <v>6212</v>
      </c>
      <c r="C1421" s="3" t="s">
        <v>83</v>
      </c>
      <c r="D1421" s="19" t="s">
        <v>2891</v>
      </c>
      <c r="E1421" s="19" t="s">
        <v>2892</v>
      </c>
      <c r="F1421" s="19" t="s">
        <v>2893</v>
      </c>
      <c r="G1421" s="4" t="s">
        <v>2895</v>
      </c>
      <c r="H1421" s="2" t="s">
        <v>88</v>
      </c>
      <c r="I1421" s="4">
        <v>0.4</v>
      </c>
      <c r="J1421" s="5">
        <v>710000000</v>
      </c>
      <c r="K1421" s="5" t="s">
        <v>89</v>
      </c>
      <c r="L1421" s="2" t="s">
        <v>754</v>
      </c>
      <c r="M1421" s="6" t="s">
        <v>787</v>
      </c>
      <c r="N1421" s="7" t="s">
        <v>92</v>
      </c>
      <c r="O1421" s="7" t="s">
        <v>93</v>
      </c>
      <c r="P1421" s="3" t="s">
        <v>94</v>
      </c>
      <c r="Q1421" s="8" t="s">
        <v>2439</v>
      </c>
      <c r="R1421" s="7" t="s">
        <v>2440</v>
      </c>
      <c r="S1421" s="9">
        <v>30</v>
      </c>
      <c r="T1421" s="9">
        <v>946.43</v>
      </c>
      <c r="U1421" s="9">
        <v>0</v>
      </c>
      <c r="V1421" s="9">
        <f t="shared" si="978"/>
        <v>0</v>
      </c>
      <c r="W1421" s="7" t="s">
        <v>97</v>
      </c>
      <c r="X1421" s="2">
        <v>2016</v>
      </c>
      <c r="Y1421" s="2" t="s">
        <v>7793</v>
      </c>
    </row>
    <row r="1422" spans="1:25" s="11" customFormat="1" ht="89.25" customHeight="1" outlineLevel="1" x14ac:dyDescent="0.25">
      <c r="A1422" s="1"/>
      <c r="B1422" s="2" t="s">
        <v>8092</v>
      </c>
      <c r="C1422" s="3" t="s">
        <v>83</v>
      </c>
      <c r="D1422" s="19" t="s">
        <v>2891</v>
      </c>
      <c r="E1422" s="19" t="s">
        <v>2892</v>
      </c>
      <c r="F1422" s="19" t="s">
        <v>2893</v>
      </c>
      <c r="G1422" s="4" t="s">
        <v>2895</v>
      </c>
      <c r="H1422" s="2" t="s">
        <v>88</v>
      </c>
      <c r="I1422" s="4">
        <v>0</v>
      </c>
      <c r="J1422" s="5">
        <v>710000000</v>
      </c>
      <c r="K1422" s="5" t="s">
        <v>89</v>
      </c>
      <c r="L1422" s="2" t="s">
        <v>754</v>
      </c>
      <c r="M1422" s="6" t="s">
        <v>787</v>
      </c>
      <c r="N1422" s="7" t="s">
        <v>92</v>
      </c>
      <c r="O1422" s="7" t="s">
        <v>93</v>
      </c>
      <c r="P1422" s="3" t="s">
        <v>673</v>
      </c>
      <c r="Q1422" s="8" t="s">
        <v>2439</v>
      </c>
      <c r="R1422" s="7" t="s">
        <v>2440</v>
      </c>
      <c r="S1422" s="9">
        <v>30</v>
      </c>
      <c r="T1422" s="9">
        <v>946.43</v>
      </c>
      <c r="U1422" s="9">
        <f t="shared" ref="U1422" si="1055">T1422*S1422</f>
        <v>28392.899999999998</v>
      </c>
      <c r="V1422" s="9">
        <f t="shared" ref="V1422" si="1056">U1422*1.12</f>
        <v>31800.047999999999</v>
      </c>
      <c r="W1422" s="7"/>
      <c r="X1422" s="2">
        <v>2016</v>
      </c>
      <c r="Y1422" s="2"/>
    </row>
    <row r="1423" spans="1:25" s="11" customFormat="1" ht="89.25" customHeight="1" outlineLevel="1" x14ac:dyDescent="0.25">
      <c r="A1423" s="1"/>
      <c r="B1423" s="2" t="s">
        <v>6213</v>
      </c>
      <c r="C1423" s="3" t="s">
        <v>83</v>
      </c>
      <c r="D1423" s="19" t="s">
        <v>2891</v>
      </c>
      <c r="E1423" s="19" t="s">
        <v>2892</v>
      </c>
      <c r="F1423" s="19" t="s">
        <v>2893</v>
      </c>
      <c r="G1423" s="4" t="s">
        <v>2896</v>
      </c>
      <c r="H1423" s="2" t="s">
        <v>88</v>
      </c>
      <c r="I1423" s="4">
        <v>0.4</v>
      </c>
      <c r="J1423" s="5">
        <v>710000000</v>
      </c>
      <c r="K1423" s="5" t="s">
        <v>89</v>
      </c>
      <c r="L1423" s="2" t="s">
        <v>754</v>
      </c>
      <c r="M1423" s="6" t="s">
        <v>787</v>
      </c>
      <c r="N1423" s="7" t="s">
        <v>92</v>
      </c>
      <c r="O1423" s="7" t="s">
        <v>93</v>
      </c>
      <c r="P1423" s="3" t="s">
        <v>94</v>
      </c>
      <c r="Q1423" s="8" t="s">
        <v>2439</v>
      </c>
      <c r="R1423" s="7" t="s">
        <v>2440</v>
      </c>
      <c r="S1423" s="9">
        <f>30+70</f>
        <v>100</v>
      </c>
      <c r="T1423" s="9">
        <v>178.58</v>
      </c>
      <c r="U1423" s="9">
        <v>0</v>
      </c>
      <c r="V1423" s="9">
        <f t="shared" si="978"/>
        <v>0</v>
      </c>
      <c r="W1423" s="7" t="s">
        <v>97</v>
      </c>
      <c r="X1423" s="2">
        <v>2016</v>
      </c>
      <c r="Y1423" s="2" t="s">
        <v>7793</v>
      </c>
    </row>
    <row r="1424" spans="1:25" s="11" customFormat="1" ht="89.25" customHeight="1" outlineLevel="1" x14ac:dyDescent="0.25">
      <c r="A1424" s="1"/>
      <c r="B1424" s="2" t="s">
        <v>8093</v>
      </c>
      <c r="C1424" s="3" t="s">
        <v>83</v>
      </c>
      <c r="D1424" s="19" t="s">
        <v>2891</v>
      </c>
      <c r="E1424" s="19" t="s">
        <v>2892</v>
      </c>
      <c r="F1424" s="19" t="s">
        <v>2893</v>
      </c>
      <c r="G1424" s="4" t="s">
        <v>2896</v>
      </c>
      <c r="H1424" s="2" t="s">
        <v>88</v>
      </c>
      <c r="I1424" s="4">
        <v>0</v>
      </c>
      <c r="J1424" s="5">
        <v>710000000</v>
      </c>
      <c r="K1424" s="5" t="s">
        <v>89</v>
      </c>
      <c r="L1424" s="2" t="s">
        <v>754</v>
      </c>
      <c r="M1424" s="6" t="s">
        <v>787</v>
      </c>
      <c r="N1424" s="7" t="s">
        <v>92</v>
      </c>
      <c r="O1424" s="7" t="s">
        <v>93</v>
      </c>
      <c r="P1424" s="3" t="s">
        <v>673</v>
      </c>
      <c r="Q1424" s="8" t="s">
        <v>2439</v>
      </c>
      <c r="R1424" s="7" t="s">
        <v>2440</v>
      </c>
      <c r="S1424" s="9">
        <f>30+70</f>
        <v>100</v>
      </c>
      <c r="T1424" s="9">
        <v>178.58</v>
      </c>
      <c r="U1424" s="9">
        <f t="shared" ref="U1424" si="1057">T1424*S1424</f>
        <v>17858</v>
      </c>
      <c r="V1424" s="9">
        <f t="shared" ref="V1424" si="1058">U1424*1.12</f>
        <v>20000.960000000003</v>
      </c>
      <c r="W1424" s="7"/>
      <c r="X1424" s="2">
        <v>2016</v>
      </c>
      <c r="Y1424" s="2"/>
    </row>
    <row r="1425" spans="1:25" s="11" customFormat="1" ht="89.25" customHeight="1" outlineLevel="1" x14ac:dyDescent="0.25">
      <c r="A1425" s="1"/>
      <c r="B1425" s="2" t="s">
        <v>6214</v>
      </c>
      <c r="C1425" s="3" t="s">
        <v>83</v>
      </c>
      <c r="D1425" s="19" t="s">
        <v>2891</v>
      </c>
      <c r="E1425" s="19" t="s">
        <v>2892</v>
      </c>
      <c r="F1425" s="19" t="s">
        <v>2893</v>
      </c>
      <c r="G1425" s="4" t="s">
        <v>2897</v>
      </c>
      <c r="H1425" s="2" t="s">
        <v>88</v>
      </c>
      <c r="I1425" s="4">
        <v>0.4</v>
      </c>
      <c r="J1425" s="5">
        <v>710000000</v>
      </c>
      <c r="K1425" s="5" t="s">
        <v>89</v>
      </c>
      <c r="L1425" s="2" t="s">
        <v>754</v>
      </c>
      <c r="M1425" s="6" t="s">
        <v>787</v>
      </c>
      <c r="N1425" s="7" t="s">
        <v>92</v>
      </c>
      <c r="O1425" s="7" t="s">
        <v>93</v>
      </c>
      <c r="P1425" s="3" t="s">
        <v>94</v>
      </c>
      <c r="Q1425" s="8" t="s">
        <v>2439</v>
      </c>
      <c r="R1425" s="7" t="s">
        <v>2440</v>
      </c>
      <c r="S1425" s="9">
        <f>50+20</f>
        <v>70</v>
      </c>
      <c r="T1425" s="9">
        <v>214.29</v>
      </c>
      <c r="U1425" s="9">
        <v>0</v>
      </c>
      <c r="V1425" s="9">
        <f t="shared" si="978"/>
        <v>0</v>
      </c>
      <c r="W1425" s="7" t="s">
        <v>97</v>
      </c>
      <c r="X1425" s="2">
        <v>2016</v>
      </c>
      <c r="Y1425" s="2" t="s">
        <v>7793</v>
      </c>
    </row>
    <row r="1426" spans="1:25" s="11" customFormat="1" ht="89.25" customHeight="1" outlineLevel="1" x14ac:dyDescent="0.25">
      <c r="A1426" s="1"/>
      <c r="B1426" s="2" t="s">
        <v>8094</v>
      </c>
      <c r="C1426" s="3" t="s">
        <v>83</v>
      </c>
      <c r="D1426" s="19" t="s">
        <v>2891</v>
      </c>
      <c r="E1426" s="19" t="s">
        <v>2892</v>
      </c>
      <c r="F1426" s="19" t="s">
        <v>2893</v>
      </c>
      <c r="G1426" s="4" t="s">
        <v>2897</v>
      </c>
      <c r="H1426" s="2" t="s">
        <v>88</v>
      </c>
      <c r="I1426" s="4">
        <v>0</v>
      </c>
      <c r="J1426" s="5">
        <v>710000000</v>
      </c>
      <c r="K1426" s="5" t="s">
        <v>89</v>
      </c>
      <c r="L1426" s="2" t="s">
        <v>754</v>
      </c>
      <c r="M1426" s="6" t="s">
        <v>787</v>
      </c>
      <c r="N1426" s="7" t="s">
        <v>92</v>
      </c>
      <c r="O1426" s="7" t="s">
        <v>93</v>
      </c>
      <c r="P1426" s="3" t="s">
        <v>673</v>
      </c>
      <c r="Q1426" s="8" t="s">
        <v>2439</v>
      </c>
      <c r="R1426" s="7" t="s">
        <v>2440</v>
      </c>
      <c r="S1426" s="9">
        <f>50+20</f>
        <v>70</v>
      </c>
      <c r="T1426" s="9">
        <v>214.29</v>
      </c>
      <c r="U1426" s="9">
        <f t="shared" ref="U1426" si="1059">T1426*S1426</f>
        <v>15000.3</v>
      </c>
      <c r="V1426" s="9">
        <f t="shared" ref="V1426" si="1060">U1426*1.12</f>
        <v>16800.335999999999</v>
      </c>
      <c r="W1426" s="7"/>
      <c r="X1426" s="2">
        <v>2016</v>
      </c>
      <c r="Y1426" s="2"/>
    </row>
    <row r="1427" spans="1:25" s="11" customFormat="1" ht="89.25" customHeight="1" outlineLevel="1" x14ac:dyDescent="0.25">
      <c r="A1427" s="1"/>
      <c r="B1427" s="2" t="s">
        <v>6215</v>
      </c>
      <c r="C1427" s="3" t="s">
        <v>83</v>
      </c>
      <c r="D1427" s="19" t="s">
        <v>2891</v>
      </c>
      <c r="E1427" s="19" t="s">
        <v>2892</v>
      </c>
      <c r="F1427" s="19" t="s">
        <v>2893</v>
      </c>
      <c r="G1427" s="27" t="s">
        <v>2898</v>
      </c>
      <c r="H1427" s="2" t="s">
        <v>88</v>
      </c>
      <c r="I1427" s="4">
        <v>0.4</v>
      </c>
      <c r="J1427" s="5">
        <v>710000000</v>
      </c>
      <c r="K1427" s="5" t="s">
        <v>89</v>
      </c>
      <c r="L1427" s="2" t="s">
        <v>754</v>
      </c>
      <c r="M1427" s="6" t="s">
        <v>787</v>
      </c>
      <c r="N1427" s="7" t="s">
        <v>92</v>
      </c>
      <c r="O1427" s="7" t="s">
        <v>93</v>
      </c>
      <c r="P1427" s="3" t="s">
        <v>94</v>
      </c>
      <c r="Q1427" s="8" t="s">
        <v>2439</v>
      </c>
      <c r="R1427" s="7" t="s">
        <v>2440</v>
      </c>
      <c r="S1427" s="9">
        <v>50</v>
      </c>
      <c r="T1427" s="9">
        <v>105.8</v>
      </c>
      <c r="U1427" s="9">
        <v>0</v>
      </c>
      <c r="V1427" s="9">
        <f t="shared" si="978"/>
        <v>0</v>
      </c>
      <c r="W1427" s="7" t="s">
        <v>97</v>
      </c>
      <c r="X1427" s="2">
        <v>2016</v>
      </c>
      <c r="Y1427" s="2" t="s">
        <v>7793</v>
      </c>
    </row>
    <row r="1428" spans="1:25" s="11" customFormat="1" ht="89.25" customHeight="1" outlineLevel="1" x14ac:dyDescent="0.25">
      <c r="A1428" s="1"/>
      <c r="B1428" s="2" t="s">
        <v>8095</v>
      </c>
      <c r="C1428" s="3" t="s">
        <v>83</v>
      </c>
      <c r="D1428" s="19" t="s">
        <v>2891</v>
      </c>
      <c r="E1428" s="19" t="s">
        <v>2892</v>
      </c>
      <c r="F1428" s="19" t="s">
        <v>2893</v>
      </c>
      <c r="G1428" s="27" t="s">
        <v>2898</v>
      </c>
      <c r="H1428" s="2" t="s">
        <v>88</v>
      </c>
      <c r="I1428" s="4">
        <v>0</v>
      </c>
      <c r="J1428" s="5">
        <v>710000000</v>
      </c>
      <c r="K1428" s="5" t="s">
        <v>89</v>
      </c>
      <c r="L1428" s="2" t="s">
        <v>754</v>
      </c>
      <c r="M1428" s="6" t="s">
        <v>787</v>
      </c>
      <c r="N1428" s="7" t="s">
        <v>92</v>
      </c>
      <c r="O1428" s="7" t="s">
        <v>93</v>
      </c>
      <c r="P1428" s="3" t="s">
        <v>673</v>
      </c>
      <c r="Q1428" s="8" t="s">
        <v>2439</v>
      </c>
      <c r="R1428" s="7" t="s">
        <v>2440</v>
      </c>
      <c r="S1428" s="9">
        <v>50</v>
      </c>
      <c r="T1428" s="9">
        <v>105.8</v>
      </c>
      <c r="U1428" s="9">
        <f t="shared" ref="U1428" si="1061">T1428*S1428</f>
        <v>5290</v>
      </c>
      <c r="V1428" s="9">
        <f t="shared" ref="V1428" si="1062">U1428*1.12</f>
        <v>5924.8</v>
      </c>
      <c r="W1428" s="7"/>
      <c r="X1428" s="2">
        <v>2016</v>
      </c>
      <c r="Y1428" s="2"/>
    </row>
    <row r="1429" spans="1:25" s="11" customFormat="1" ht="89.25" customHeight="1" outlineLevel="1" x14ac:dyDescent="0.25">
      <c r="A1429" s="1"/>
      <c r="B1429" s="2" t="s">
        <v>6216</v>
      </c>
      <c r="C1429" s="3" t="s">
        <v>83</v>
      </c>
      <c r="D1429" s="19" t="s">
        <v>2891</v>
      </c>
      <c r="E1429" s="19" t="s">
        <v>2892</v>
      </c>
      <c r="F1429" s="19" t="s">
        <v>2893</v>
      </c>
      <c r="G1429" s="27" t="s">
        <v>2899</v>
      </c>
      <c r="H1429" s="2" t="s">
        <v>88</v>
      </c>
      <c r="I1429" s="4">
        <v>0.4</v>
      </c>
      <c r="J1429" s="5">
        <v>710000000</v>
      </c>
      <c r="K1429" s="5" t="s">
        <v>89</v>
      </c>
      <c r="L1429" s="2" t="s">
        <v>754</v>
      </c>
      <c r="M1429" s="6" t="s">
        <v>787</v>
      </c>
      <c r="N1429" s="7" t="s">
        <v>92</v>
      </c>
      <c r="O1429" s="7" t="s">
        <v>93</v>
      </c>
      <c r="P1429" s="3" t="s">
        <v>94</v>
      </c>
      <c r="Q1429" s="8" t="s">
        <v>2439</v>
      </c>
      <c r="R1429" s="7" t="s">
        <v>2440</v>
      </c>
      <c r="S1429" s="9">
        <v>100</v>
      </c>
      <c r="T1429" s="9">
        <v>62</v>
      </c>
      <c r="U1429" s="9">
        <v>0</v>
      </c>
      <c r="V1429" s="9">
        <f t="shared" si="978"/>
        <v>0</v>
      </c>
      <c r="W1429" s="7" t="s">
        <v>97</v>
      </c>
      <c r="X1429" s="2">
        <v>2016</v>
      </c>
      <c r="Y1429" s="2" t="s">
        <v>7793</v>
      </c>
    </row>
    <row r="1430" spans="1:25" s="11" customFormat="1" ht="89.25" customHeight="1" outlineLevel="1" x14ac:dyDescent="0.25">
      <c r="A1430" s="1"/>
      <c r="B1430" s="2" t="s">
        <v>8096</v>
      </c>
      <c r="C1430" s="3" t="s">
        <v>83</v>
      </c>
      <c r="D1430" s="19" t="s">
        <v>2891</v>
      </c>
      <c r="E1430" s="19" t="s">
        <v>2892</v>
      </c>
      <c r="F1430" s="19" t="s">
        <v>2893</v>
      </c>
      <c r="G1430" s="27" t="s">
        <v>2899</v>
      </c>
      <c r="H1430" s="2" t="s">
        <v>88</v>
      </c>
      <c r="I1430" s="4">
        <v>0</v>
      </c>
      <c r="J1430" s="5">
        <v>710000000</v>
      </c>
      <c r="K1430" s="5" t="s">
        <v>89</v>
      </c>
      <c r="L1430" s="2" t="s">
        <v>754</v>
      </c>
      <c r="M1430" s="6" t="s">
        <v>787</v>
      </c>
      <c r="N1430" s="7" t="s">
        <v>92</v>
      </c>
      <c r="O1430" s="7" t="s">
        <v>93</v>
      </c>
      <c r="P1430" s="3" t="s">
        <v>673</v>
      </c>
      <c r="Q1430" s="8" t="s">
        <v>2439</v>
      </c>
      <c r="R1430" s="7" t="s">
        <v>2440</v>
      </c>
      <c r="S1430" s="9">
        <v>100</v>
      </c>
      <c r="T1430" s="9">
        <v>62</v>
      </c>
      <c r="U1430" s="9">
        <f t="shared" ref="U1430" si="1063">T1430*S1430</f>
        <v>6200</v>
      </c>
      <c r="V1430" s="9">
        <f t="shared" ref="V1430" si="1064">U1430*1.12</f>
        <v>6944.0000000000009</v>
      </c>
      <c r="W1430" s="7"/>
      <c r="X1430" s="2">
        <v>2016</v>
      </c>
      <c r="Y1430" s="2"/>
    </row>
    <row r="1431" spans="1:25" s="11" customFormat="1" ht="89.25" customHeight="1" outlineLevel="1" x14ac:dyDescent="0.25">
      <c r="A1431" s="1"/>
      <c r="B1431" s="2" t="s">
        <v>6217</v>
      </c>
      <c r="C1431" s="3" t="s">
        <v>83</v>
      </c>
      <c r="D1431" s="19" t="s">
        <v>2900</v>
      </c>
      <c r="E1431" s="4" t="s">
        <v>2901</v>
      </c>
      <c r="F1431" s="4" t="s">
        <v>2902</v>
      </c>
      <c r="G1431" s="4"/>
      <c r="H1431" s="2" t="s">
        <v>88</v>
      </c>
      <c r="I1431" s="4">
        <v>0.4</v>
      </c>
      <c r="J1431" s="5">
        <v>710000000</v>
      </c>
      <c r="K1431" s="5" t="s">
        <v>89</v>
      </c>
      <c r="L1431" s="2" t="s">
        <v>754</v>
      </c>
      <c r="M1431" s="6" t="s">
        <v>787</v>
      </c>
      <c r="N1431" s="7" t="s">
        <v>92</v>
      </c>
      <c r="O1431" s="7" t="s">
        <v>93</v>
      </c>
      <c r="P1431" s="3" t="s">
        <v>94</v>
      </c>
      <c r="Q1431" s="8" t="s">
        <v>117</v>
      </c>
      <c r="R1431" s="7" t="s">
        <v>118</v>
      </c>
      <c r="S1431" s="9">
        <v>24</v>
      </c>
      <c r="T1431" s="9">
        <v>2004.46</v>
      </c>
      <c r="U1431" s="9">
        <v>0</v>
      </c>
      <c r="V1431" s="9">
        <f t="shared" si="978"/>
        <v>0</v>
      </c>
      <c r="W1431" s="7" t="s">
        <v>97</v>
      </c>
      <c r="X1431" s="2">
        <v>2016</v>
      </c>
      <c r="Y1431" s="2" t="s">
        <v>7793</v>
      </c>
    </row>
    <row r="1432" spans="1:25" s="11" customFormat="1" ht="89.25" customHeight="1" outlineLevel="1" x14ac:dyDescent="0.25">
      <c r="A1432" s="1"/>
      <c r="B1432" s="2" t="s">
        <v>6217</v>
      </c>
      <c r="C1432" s="3" t="s">
        <v>83</v>
      </c>
      <c r="D1432" s="19" t="s">
        <v>2900</v>
      </c>
      <c r="E1432" s="4" t="s">
        <v>2901</v>
      </c>
      <c r="F1432" s="4" t="s">
        <v>2902</v>
      </c>
      <c r="G1432" s="4"/>
      <c r="H1432" s="2" t="s">
        <v>88</v>
      </c>
      <c r="I1432" s="4">
        <v>0</v>
      </c>
      <c r="J1432" s="5">
        <v>710000000</v>
      </c>
      <c r="K1432" s="5" t="s">
        <v>89</v>
      </c>
      <c r="L1432" s="2" t="s">
        <v>754</v>
      </c>
      <c r="M1432" s="6" t="s">
        <v>787</v>
      </c>
      <c r="N1432" s="7" t="s">
        <v>92</v>
      </c>
      <c r="O1432" s="7" t="s">
        <v>93</v>
      </c>
      <c r="P1432" s="3" t="s">
        <v>673</v>
      </c>
      <c r="Q1432" s="8" t="s">
        <v>117</v>
      </c>
      <c r="R1432" s="7" t="s">
        <v>118</v>
      </c>
      <c r="S1432" s="9">
        <v>24</v>
      </c>
      <c r="T1432" s="9">
        <v>2004.46</v>
      </c>
      <c r="U1432" s="9">
        <f t="shared" ref="U1432" si="1065">T1432*S1432</f>
        <v>48107.040000000001</v>
      </c>
      <c r="V1432" s="9">
        <f t="shared" ref="V1432" si="1066">U1432*1.12</f>
        <v>53879.884800000007</v>
      </c>
      <c r="W1432" s="7"/>
      <c r="X1432" s="2">
        <v>2016</v>
      </c>
      <c r="Y1432" s="2"/>
    </row>
    <row r="1433" spans="1:25" s="11" customFormat="1" ht="89.25" customHeight="1" outlineLevel="1" x14ac:dyDescent="0.25">
      <c r="A1433" s="1"/>
      <c r="B1433" s="2" t="s">
        <v>6218</v>
      </c>
      <c r="C1433" s="3" t="s">
        <v>83</v>
      </c>
      <c r="D1433" s="19" t="s">
        <v>2903</v>
      </c>
      <c r="E1433" s="4" t="s">
        <v>2901</v>
      </c>
      <c r="F1433" s="4" t="s">
        <v>2904</v>
      </c>
      <c r="G1433" s="4"/>
      <c r="H1433" s="2" t="s">
        <v>88</v>
      </c>
      <c r="I1433" s="4">
        <v>0.4</v>
      </c>
      <c r="J1433" s="5">
        <v>710000000</v>
      </c>
      <c r="K1433" s="5" t="s">
        <v>89</v>
      </c>
      <c r="L1433" s="2" t="s">
        <v>754</v>
      </c>
      <c r="M1433" s="6" t="s">
        <v>787</v>
      </c>
      <c r="N1433" s="7" t="s">
        <v>92</v>
      </c>
      <c r="O1433" s="7" t="s">
        <v>93</v>
      </c>
      <c r="P1433" s="3" t="s">
        <v>94</v>
      </c>
      <c r="Q1433" s="8" t="s">
        <v>117</v>
      </c>
      <c r="R1433" s="7" t="s">
        <v>118</v>
      </c>
      <c r="S1433" s="9">
        <v>20</v>
      </c>
      <c r="T1433" s="9">
        <v>683.04</v>
      </c>
      <c r="U1433" s="9">
        <v>0</v>
      </c>
      <c r="V1433" s="9">
        <f t="shared" si="978"/>
        <v>0</v>
      </c>
      <c r="W1433" s="7" t="s">
        <v>97</v>
      </c>
      <c r="X1433" s="2">
        <v>2016</v>
      </c>
      <c r="Y1433" s="2" t="s">
        <v>7793</v>
      </c>
    </row>
    <row r="1434" spans="1:25" s="11" customFormat="1" ht="89.25" customHeight="1" outlineLevel="1" x14ac:dyDescent="0.25">
      <c r="A1434" s="1"/>
      <c r="B1434" s="2" t="s">
        <v>6218</v>
      </c>
      <c r="C1434" s="3" t="s">
        <v>83</v>
      </c>
      <c r="D1434" s="19" t="s">
        <v>2903</v>
      </c>
      <c r="E1434" s="4" t="s">
        <v>2901</v>
      </c>
      <c r="F1434" s="4" t="s">
        <v>2904</v>
      </c>
      <c r="G1434" s="4"/>
      <c r="H1434" s="2" t="s">
        <v>88</v>
      </c>
      <c r="I1434" s="4">
        <v>0</v>
      </c>
      <c r="J1434" s="5">
        <v>710000000</v>
      </c>
      <c r="K1434" s="5" t="s">
        <v>89</v>
      </c>
      <c r="L1434" s="2" t="s">
        <v>754</v>
      </c>
      <c r="M1434" s="6" t="s">
        <v>787</v>
      </c>
      <c r="N1434" s="7" t="s">
        <v>92</v>
      </c>
      <c r="O1434" s="7" t="s">
        <v>93</v>
      </c>
      <c r="P1434" s="3" t="s">
        <v>673</v>
      </c>
      <c r="Q1434" s="8" t="s">
        <v>117</v>
      </c>
      <c r="R1434" s="7" t="s">
        <v>118</v>
      </c>
      <c r="S1434" s="9">
        <v>20</v>
      </c>
      <c r="T1434" s="9">
        <v>683.04</v>
      </c>
      <c r="U1434" s="9">
        <f t="shared" ref="U1434" si="1067">T1434*S1434</f>
        <v>13660.8</v>
      </c>
      <c r="V1434" s="9">
        <f t="shared" ref="V1434" si="1068">U1434*1.12</f>
        <v>15300.096000000001</v>
      </c>
      <c r="W1434" s="7"/>
      <c r="X1434" s="2">
        <v>2016</v>
      </c>
      <c r="Y1434" s="2"/>
    </row>
    <row r="1435" spans="1:25" s="11" customFormat="1" ht="89.25" customHeight="1" outlineLevel="1" x14ac:dyDescent="0.25">
      <c r="A1435" s="1"/>
      <c r="B1435" s="2" t="s">
        <v>6219</v>
      </c>
      <c r="C1435" s="3" t="s">
        <v>83</v>
      </c>
      <c r="D1435" s="19" t="s">
        <v>2905</v>
      </c>
      <c r="E1435" s="19" t="s">
        <v>2717</v>
      </c>
      <c r="F1435" s="19" t="s">
        <v>2906</v>
      </c>
      <c r="G1435" s="4"/>
      <c r="H1435" s="2" t="s">
        <v>88</v>
      </c>
      <c r="I1435" s="4">
        <v>0.4</v>
      </c>
      <c r="J1435" s="5">
        <v>710000000</v>
      </c>
      <c r="K1435" s="5" t="s">
        <v>89</v>
      </c>
      <c r="L1435" s="2" t="s">
        <v>754</v>
      </c>
      <c r="M1435" s="6" t="s">
        <v>787</v>
      </c>
      <c r="N1435" s="7" t="s">
        <v>92</v>
      </c>
      <c r="O1435" s="7" t="s">
        <v>93</v>
      </c>
      <c r="P1435" s="3" t="s">
        <v>94</v>
      </c>
      <c r="Q1435" s="8" t="s">
        <v>117</v>
      </c>
      <c r="R1435" s="7" t="s">
        <v>118</v>
      </c>
      <c r="S1435" s="9">
        <v>57</v>
      </c>
      <c r="T1435" s="9">
        <v>401.79</v>
      </c>
      <c r="U1435" s="9">
        <v>0</v>
      </c>
      <c r="V1435" s="9">
        <f t="shared" si="978"/>
        <v>0</v>
      </c>
      <c r="W1435" s="7" t="s">
        <v>97</v>
      </c>
      <c r="X1435" s="2">
        <v>2016</v>
      </c>
      <c r="Y1435" s="2" t="s">
        <v>7793</v>
      </c>
    </row>
    <row r="1436" spans="1:25" s="11" customFormat="1" ht="89.25" customHeight="1" outlineLevel="1" x14ac:dyDescent="0.25">
      <c r="A1436" s="1"/>
      <c r="B1436" s="2" t="s">
        <v>8097</v>
      </c>
      <c r="C1436" s="3" t="s">
        <v>83</v>
      </c>
      <c r="D1436" s="19" t="s">
        <v>2905</v>
      </c>
      <c r="E1436" s="19" t="s">
        <v>2717</v>
      </c>
      <c r="F1436" s="19" t="s">
        <v>2906</v>
      </c>
      <c r="G1436" s="4"/>
      <c r="H1436" s="2" t="s">
        <v>88</v>
      </c>
      <c r="I1436" s="4">
        <v>0</v>
      </c>
      <c r="J1436" s="5">
        <v>710000000</v>
      </c>
      <c r="K1436" s="5" t="s">
        <v>89</v>
      </c>
      <c r="L1436" s="2" t="s">
        <v>754</v>
      </c>
      <c r="M1436" s="6" t="s">
        <v>787</v>
      </c>
      <c r="N1436" s="7" t="s">
        <v>92</v>
      </c>
      <c r="O1436" s="7" t="s">
        <v>93</v>
      </c>
      <c r="P1436" s="3" t="s">
        <v>673</v>
      </c>
      <c r="Q1436" s="8" t="s">
        <v>117</v>
      </c>
      <c r="R1436" s="7" t="s">
        <v>118</v>
      </c>
      <c r="S1436" s="9">
        <v>57</v>
      </c>
      <c r="T1436" s="9">
        <v>401.79</v>
      </c>
      <c r="U1436" s="9">
        <f t="shared" ref="U1436" si="1069">T1436*S1436</f>
        <v>22902.030000000002</v>
      </c>
      <c r="V1436" s="9">
        <f t="shared" ref="V1436" si="1070">U1436*1.12</f>
        <v>25650.273600000004</v>
      </c>
      <c r="W1436" s="7"/>
      <c r="X1436" s="2">
        <v>2016</v>
      </c>
      <c r="Y1436" s="2"/>
    </row>
    <row r="1437" spans="1:25" s="11" customFormat="1" ht="89.25" customHeight="1" outlineLevel="1" x14ac:dyDescent="0.25">
      <c r="A1437" s="1"/>
      <c r="B1437" s="2" t="s">
        <v>6220</v>
      </c>
      <c r="C1437" s="3" t="s">
        <v>83</v>
      </c>
      <c r="D1437" s="19" t="s">
        <v>2907</v>
      </c>
      <c r="E1437" s="19" t="s">
        <v>2767</v>
      </c>
      <c r="F1437" s="19" t="s">
        <v>2908</v>
      </c>
      <c r="G1437" s="4" t="s">
        <v>2909</v>
      </c>
      <c r="H1437" s="2" t="s">
        <v>88</v>
      </c>
      <c r="I1437" s="4">
        <v>0.4</v>
      </c>
      <c r="J1437" s="5">
        <v>710000000</v>
      </c>
      <c r="K1437" s="5" t="s">
        <v>89</v>
      </c>
      <c r="L1437" s="2" t="s">
        <v>754</v>
      </c>
      <c r="M1437" s="6" t="s">
        <v>787</v>
      </c>
      <c r="N1437" s="7" t="s">
        <v>92</v>
      </c>
      <c r="O1437" s="7" t="s">
        <v>93</v>
      </c>
      <c r="P1437" s="3" t="s">
        <v>94</v>
      </c>
      <c r="Q1437" s="8" t="s">
        <v>117</v>
      </c>
      <c r="R1437" s="7" t="s">
        <v>118</v>
      </c>
      <c r="S1437" s="9">
        <v>357</v>
      </c>
      <c r="T1437" s="9">
        <v>437.5</v>
      </c>
      <c r="U1437" s="9">
        <v>0</v>
      </c>
      <c r="V1437" s="9">
        <f t="shared" si="978"/>
        <v>0</v>
      </c>
      <c r="W1437" s="7" t="s">
        <v>97</v>
      </c>
      <c r="X1437" s="2">
        <v>2016</v>
      </c>
      <c r="Y1437" s="2" t="s">
        <v>7793</v>
      </c>
    </row>
    <row r="1438" spans="1:25" s="11" customFormat="1" ht="89.25" customHeight="1" outlineLevel="1" x14ac:dyDescent="0.25">
      <c r="A1438" s="1"/>
      <c r="B1438" s="2" t="s">
        <v>8098</v>
      </c>
      <c r="C1438" s="3" t="s">
        <v>83</v>
      </c>
      <c r="D1438" s="19" t="s">
        <v>2907</v>
      </c>
      <c r="E1438" s="19" t="s">
        <v>2767</v>
      </c>
      <c r="F1438" s="19" t="s">
        <v>2908</v>
      </c>
      <c r="G1438" s="4" t="s">
        <v>2909</v>
      </c>
      <c r="H1438" s="2" t="s">
        <v>88</v>
      </c>
      <c r="I1438" s="4">
        <v>0</v>
      </c>
      <c r="J1438" s="5">
        <v>710000000</v>
      </c>
      <c r="K1438" s="5" t="s">
        <v>89</v>
      </c>
      <c r="L1438" s="2" t="s">
        <v>754</v>
      </c>
      <c r="M1438" s="6" t="s">
        <v>787</v>
      </c>
      <c r="N1438" s="7" t="s">
        <v>92</v>
      </c>
      <c r="O1438" s="7" t="s">
        <v>93</v>
      </c>
      <c r="P1438" s="3" t="s">
        <v>673</v>
      </c>
      <c r="Q1438" s="8" t="s">
        <v>117</v>
      </c>
      <c r="R1438" s="7" t="s">
        <v>118</v>
      </c>
      <c r="S1438" s="9">
        <v>357</v>
      </c>
      <c r="T1438" s="9">
        <v>437.5</v>
      </c>
      <c r="U1438" s="9">
        <f t="shared" ref="U1438" si="1071">T1438*S1438</f>
        <v>156187.5</v>
      </c>
      <c r="V1438" s="9">
        <f t="shared" ref="V1438" si="1072">U1438*1.12</f>
        <v>174930.00000000003</v>
      </c>
      <c r="W1438" s="7"/>
      <c r="X1438" s="2">
        <v>2016</v>
      </c>
      <c r="Y1438" s="2"/>
    </row>
    <row r="1439" spans="1:25" s="11" customFormat="1" ht="89.25" customHeight="1" outlineLevel="1" x14ac:dyDescent="0.25">
      <c r="A1439" s="1"/>
      <c r="B1439" s="2" t="s">
        <v>6221</v>
      </c>
      <c r="C1439" s="3" t="s">
        <v>83</v>
      </c>
      <c r="D1439" s="19" t="s">
        <v>2910</v>
      </c>
      <c r="E1439" s="19" t="s">
        <v>2767</v>
      </c>
      <c r="F1439" s="19" t="s">
        <v>2911</v>
      </c>
      <c r="G1439" s="19" t="s">
        <v>2912</v>
      </c>
      <c r="H1439" s="2" t="s">
        <v>88</v>
      </c>
      <c r="I1439" s="4">
        <v>0.4</v>
      </c>
      <c r="J1439" s="5">
        <v>710000000</v>
      </c>
      <c r="K1439" s="5" t="s">
        <v>89</v>
      </c>
      <c r="L1439" s="2" t="s">
        <v>754</v>
      </c>
      <c r="M1439" s="6" t="s">
        <v>787</v>
      </c>
      <c r="N1439" s="7" t="s">
        <v>92</v>
      </c>
      <c r="O1439" s="7" t="s">
        <v>93</v>
      </c>
      <c r="P1439" s="3" t="s">
        <v>94</v>
      </c>
      <c r="Q1439" s="8" t="s">
        <v>117</v>
      </c>
      <c r="R1439" s="7" t="s">
        <v>118</v>
      </c>
      <c r="S1439" s="9">
        <v>300</v>
      </c>
      <c r="T1439" s="9">
        <v>428.6</v>
      </c>
      <c r="U1439" s="9">
        <v>0</v>
      </c>
      <c r="V1439" s="9">
        <f t="shared" si="978"/>
        <v>0</v>
      </c>
      <c r="W1439" s="7" t="s">
        <v>97</v>
      </c>
      <c r="X1439" s="2">
        <v>2016</v>
      </c>
      <c r="Y1439" s="2" t="s">
        <v>7793</v>
      </c>
    </row>
    <row r="1440" spans="1:25" s="11" customFormat="1" ht="89.25" customHeight="1" outlineLevel="1" x14ac:dyDescent="0.25">
      <c r="A1440" s="1"/>
      <c r="B1440" s="2" t="s">
        <v>8099</v>
      </c>
      <c r="C1440" s="3" t="s">
        <v>83</v>
      </c>
      <c r="D1440" s="19" t="s">
        <v>2910</v>
      </c>
      <c r="E1440" s="19" t="s">
        <v>2767</v>
      </c>
      <c r="F1440" s="19" t="s">
        <v>2911</v>
      </c>
      <c r="G1440" s="19" t="s">
        <v>2912</v>
      </c>
      <c r="H1440" s="2" t="s">
        <v>88</v>
      </c>
      <c r="I1440" s="4">
        <v>0</v>
      </c>
      <c r="J1440" s="5">
        <v>710000000</v>
      </c>
      <c r="K1440" s="5" t="s">
        <v>89</v>
      </c>
      <c r="L1440" s="2" t="s">
        <v>754</v>
      </c>
      <c r="M1440" s="6" t="s">
        <v>787</v>
      </c>
      <c r="N1440" s="7" t="s">
        <v>92</v>
      </c>
      <c r="O1440" s="7" t="s">
        <v>93</v>
      </c>
      <c r="P1440" s="3" t="s">
        <v>673</v>
      </c>
      <c r="Q1440" s="8" t="s">
        <v>117</v>
      </c>
      <c r="R1440" s="7" t="s">
        <v>118</v>
      </c>
      <c r="S1440" s="9">
        <v>300</v>
      </c>
      <c r="T1440" s="9">
        <v>428.6</v>
      </c>
      <c r="U1440" s="9">
        <f t="shared" ref="U1440" si="1073">T1440*S1440</f>
        <v>128580</v>
      </c>
      <c r="V1440" s="9">
        <f t="shared" ref="V1440" si="1074">U1440*1.12</f>
        <v>144009.60000000001</v>
      </c>
      <c r="W1440" s="7"/>
      <c r="X1440" s="2">
        <v>2016</v>
      </c>
      <c r="Y1440" s="2"/>
    </row>
    <row r="1441" spans="1:25" s="11" customFormat="1" ht="89.25" customHeight="1" outlineLevel="1" x14ac:dyDescent="0.25">
      <c r="A1441" s="1"/>
      <c r="B1441" s="2" t="s">
        <v>6222</v>
      </c>
      <c r="C1441" s="3" t="s">
        <v>83</v>
      </c>
      <c r="D1441" s="19" t="s">
        <v>2913</v>
      </c>
      <c r="E1441" s="19" t="s">
        <v>2702</v>
      </c>
      <c r="F1441" s="19" t="s">
        <v>2914</v>
      </c>
      <c r="G1441" s="19"/>
      <c r="H1441" s="2" t="s">
        <v>88</v>
      </c>
      <c r="I1441" s="4">
        <v>0.4</v>
      </c>
      <c r="J1441" s="5">
        <v>710000000</v>
      </c>
      <c r="K1441" s="5" t="s">
        <v>89</v>
      </c>
      <c r="L1441" s="2" t="s">
        <v>754</v>
      </c>
      <c r="M1441" s="6" t="s">
        <v>787</v>
      </c>
      <c r="N1441" s="7" t="s">
        <v>92</v>
      </c>
      <c r="O1441" s="7" t="s">
        <v>93</v>
      </c>
      <c r="P1441" s="3" t="s">
        <v>94</v>
      </c>
      <c r="Q1441" s="8" t="s">
        <v>117</v>
      </c>
      <c r="R1441" s="7" t="s">
        <v>118</v>
      </c>
      <c r="S1441" s="9">
        <v>376</v>
      </c>
      <c r="T1441" s="9">
        <v>89.3</v>
      </c>
      <c r="U1441" s="9">
        <v>0</v>
      </c>
      <c r="V1441" s="9">
        <f t="shared" si="978"/>
        <v>0</v>
      </c>
      <c r="W1441" s="7" t="s">
        <v>97</v>
      </c>
      <c r="X1441" s="2">
        <v>2016</v>
      </c>
      <c r="Y1441" s="2" t="s">
        <v>7793</v>
      </c>
    </row>
    <row r="1442" spans="1:25" s="11" customFormat="1" ht="89.25" customHeight="1" outlineLevel="1" x14ac:dyDescent="0.25">
      <c r="A1442" s="1"/>
      <c r="B1442" s="2" t="s">
        <v>8100</v>
      </c>
      <c r="C1442" s="3" t="s">
        <v>83</v>
      </c>
      <c r="D1442" s="19" t="s">
        <v>2913</v>
      </c>
      <c r="E1442" s="19" t="s">
        <v>2702</v>
      </c>
      <c r="F1442" s="19" t="s">
        <v>2914</v>
      </c>
      <c r="G1442" s="19"/>
      <c r="H1442" s="2" t="s">
        <v>88</v>
      </c>
      <c r="I1442" s="4">
        <v>0</v>
      </c>
      <c r="J1442" s="5">
        <v>710000000</v>
      </c>
      <c r="K1442" s="5" t="s">
        <v>89</v>
      </c>
      <c r="L1442" s="2" t="s">
        <v>754</v>
      </c>
      <c r="M1442" s="6" t="s">
        <v>787</v>
      </c>
      <c r="N1442" s="7" t="s">
        <v>92</v>
      </c>
      <c r="O1442" s="7" t="s">
        <v>93</v>
      </c>
      <c r="P1442" s="3" t="s">
        <v>673</v>
      </c>
      <c r="Q1442" s="8" t="s">
        <v>117</v>
      </c>
      <c r="R1442" s="7" t="s">
        <v>118</v>
      </c>
      <c r="S1442" s="9">
        <v>376</v>
      </c>
      <c r="T1442" s="9">
        <v>89.3</v>
      </c>
      <c r="U1442" s="9">
        <v>0</v>
      </c>
      <c r="V1442" s="9">
        <f t="shared" ref="V1442" si="1075">U1442*1.12</f>
        <v>0</v>
      </c>
      <c r="W1442" s="7"/>
      <c r="X1442" s="2">
        <v>2016</v>
      </c>
      <c r="Y1442" s="2" t="s">
        <v>7460</v>
      </c>
    </row>
    <row r="1443" spans="1:25" s="11" customFormat="1" ht="89.25" customHeight="1" outlineLevel="1" x14ac:dyDescent="0.25">
      <c r="A1443" s="1"/>
      <c r="B1443" s="2" t="s">
        <v>6223</v>
      </c>
      <c r="C1443" s="3" t="s">
        <v>83</v>
      </c>
      <c r="D1443" s="19" t="s">
        <v>2915</v>
      </c>
      <c r="E1443" s="19" t="s">
        <v>2702</v>
      </c>
      <c r="F1443" s="19" t="s">
        <v>2916</v>
      </c>
      <c r="G1443" s="19"/>
      <c r="H1443" s="2" t="s">
        <v>88</v>
      </c>
      <c r="I1443" s="4">
        <v>0.4</v>
      </c>
      <c r="J1443" s="5">
        <v>710000000</v>
      </c>
      <c r="K1443" s="5" t="s">
        <v>89</v>
      </c>
      <c r="L1443" s="2" t="s">
        <v>754</v>
      </c>
      <c r="M1443" s="6" t="s">
        <v>787</v>
      </c>
      <c r="N1443" s="7" t="s">
        <v>92</v>
      </c>
      <c r="O1443" s="7" t="s">
        <v>93</v>
      </c>
      <c r="P1443" s="3" t="s">
        <v>94</v>
      </c>
      <c r="Q1443" s="8" t="s">
        <v>117</v>
      </c>
      <c r="R1443" s="7" t="s">
        <v>118</v>
      </c>
      <c r="S1443" s="9">
        <v>129</v>
      </c>
      <c r="T1443" s="9">
        <v>107.48</v>
      </c>
      <c r="U1443" s="9">
        <v>0</v>
      </c>
      <c r="V1443" s="9">
        <f t="shared" si="978"/>
        <v>0</v>
      </c>
      <c r="W1443" s="7" t="s">
        <v>97</v>
      </c>
      <c r="X1443" s="2">
        <v>2016</v>
      </c>
      <c r="Y1443" s="2" t="s">
        <v>7793</v>
      </c>
    </row>
    <row r="1444" spans="1:25" s="11" customFormat="1" ht="89.25" customHeight="1" outlineLevel="1" x14ac:dyDescent="0.25">
      <c r="A1444" s="1"/>
      <c r="B1444" s="2" t="s">
        <v>8101</v>
      </c>
      <c r="C1444" s="3" t="s">
        <v>83</v>
      </c>
      <c r="D1444" s="19" t="s">
        <v>2915</v>
      </c>
      <c r="E1444" s="19" t="s">
        <v>2702</v>
      </c>
      <c r="F1444" s="19" t="s">
        <v>2916</v>
      </c>
      <c r="G1444" s="19"/>
      <c r="H1444" s="2" t="s">
        <v>88</v>
      </c>
      <c r="I1444" s="4">
        <v>0</v>
      </c>
      <c r="J1444" s="5">
        <v>710000000</v>
      </c>
      <c r="K1444" s="5" t="s">
        <v>89</v>
      </c>
      <c r="L1444" s="2" t="s">
        <v>754</v>
      </c>
      <c r="M1444" s="6" t="s">
        <v>787</v>
      </c>
      <c r="N1444" s="7" t="s">
        <v>92</v>
      </c>
      <c r="O1444" s="7" t="s">
        <v>93</v>
      </c>
      <c r="P1444" s="3" t="s">
        <v>673</v>
      </c>
      <c r="Q1444" s="8" t="s">
        <v>117</v>
      </c>
      <c r="R1444" s="7" t="s">
        <v>118</v>
      </c>
      <c r="S1444" s="9">
        <v>129</v>
      </c>
      <c r="T1444" s="9">
        <v>107.48</v>
      </c>
      <c r="U1444" s="9">
        <v>0</v>
      </c>
      <c r="V1444" s="9">
        <f t="shared" ref="V1444" si="1076">U1444*1.12</f>
        <v>0</v>
      </c>
      <c r="W1444" s="7"/>
      <c r="X1444" s="2">
        <v>2016</v>
      </c>
      <c r="Y1444" s="2" t="s">
        <v>7460</v>
      </c>
    </row>
    <row r="1445" spans="1:25" s="11" customFormat="1" ht="89.25" customHeight="1" outlineLevel="1" x14ac:dyDescent="0.25">
      <c r="A1445" s="1"/>
      <c r="B1445" s="2" t="s">
        <v>6224</v>
      </c>
      <c r="C1445" s="3" t="s">
        <v>83</v>
      </c>
      <c r="D1445" s="19" t="s">
        <v>2917</v>
      </c>
      <c r="E1445" s="19" t="s">
        <v>2918</v>
      </c>
      <c r="F1445" s="19" t="s">
        <v>2919</v>
      </c>
      <c r="G1445" s="19"/>
      <c r="H1445" s="2" t="s">
        <v>88</v>
      </c>
      <c r="I1445" s="4">
        <v>0.4</v>
      </c>
      <c r="J1445" s="5">
        <v>710000000</v>
      </c>
      <c r="K1445" s="5" t="s">
        <v>89</v>
      </c>
      <c r="L1445" s="2" t="s">
        <v>754</v>
      </c>
      <c r="M1445" s="6" t="s">
        <v>787</v>
      </c>
      <c r="N1445" s="7" t="s">
        <v>92</v>
      </c>
      <c r="O1445" s="7" t="s">
        <v>93</v>
      </c>
      <c r="P1445" s="3" t="s">
        <v>94</v>
      </c>
      <c r="Q1445" s="8" t="s">
        <v>117</v>
      </c>
      <c r="R1445" s="7" t="s">
        <v>118</v>
      </c>
      <c r="S1445" s="9">
        <f>90+28+55</f>
        <v>173</v>
      </c>
      <c r="T1445" s="9">
        <v>55.36</v>
      </c>
      <c r="U1445" s="9">
        <v>0</v>
      </c>
      <c r="V1445" s="9">
        <f t="shared" si="978"/>
        <v>0</v>
      </c>
      <c r="W1445" s="7" t="s">
        <v>97</v>
      </c>
      <c r="X1445" s="2">
        <v>2016</v>
      </c>
      <c r="Y1445" s="2" t="s">
        <v>7793</v>
      </c>
    </row>
    <row r="1446" spans="1:25" s="11" customFormat="1" ht="89.25" customHeight="1" outlineLevel="1" x14ac:dyDescent="0.25">
      <c r="A1446" s="1"/>
      <c r="B1446" s="2" t="s">
        <v>8102</v>
      </c>
      <c r="C1446" s="3" t="s">
        <v>83</v>
      </c>
      <c r="D1446" s="19" t="s">
        <v>2917</v>
      </c>
      <c r="E1446" s="19" t="s">
        <v>2918</v>
      </c>
      <c r="F1446" s="19" t="s">
        <v>2919</v>
      </c>
      <c r="G1446" s="19"/>
      <c r="H1446" s="2" t="s">
        <v>88</v>
      </c>
      <c r="I1446" s="4">
        <v>0</v>
      </c>
      <c r="J1446" s="5">
        <v>710000000</v>
      </c>
      <c r="K1446" s="5" t="s">
        <v>89</v>
      </c>
      <c r="L1446" s="2" t="s">
        <v>754</v>
      </c>
      <c r="M1446" s="6" t="s">
        <v>787</v>
      </c>
      <c r="N1446" s="7" t="s">
        <v>92</v>
      </c>
      <c r="O1446" s="7" t="s">
        <v>93</v>
      </c>
      <c r="P1446" s="3" t="s">
        <v>673</v>
      </c>
      <c r="Q1446" s="8" t="s">
        <v>117</v>
      </c>
      <c r="R1446" s="7" t="s">
        <v>118</v>
      </c>
      <c r="S1446" s="9">
        <f>90+28+55</f>
        <v>173</v>
      </c>
      <c r="T1446" s="9">
        <v>55.36</v>
      </c>
      <c r="U1446" s="9">
        <f t="shared" ref="U1446" si="1077">T1446*S1446</f>
        <v>9577.2800000000007</v>
      </c>
      <c r="V1446" s="9">
        <f t="shared" ref="V1446" si="1078">U1446*1.12</f>
        <v>10726.553600000001</v>
      </c>
      <c r="W1446" s="7"/>
      <c r="X1446" s="2">
        <v>2016</v>
      </c>
      <c r="Y1446" s="2"/>
    </row>
    <row r="1447" spans="1:25" s="11" customFormat="1" ht="89.25" customHeight="1" outlineLevel="1" x14ac:dyDescent="0.25">
      <c r="A1447" s="1"/>
      <c r="B1447" s="2" t="s">
        <v>6225</v>
      </c>
      <c r="C1447" s="3" t="s">
        <v>83</v>
      </c>
      <c r="D1447" s="19" t="s">
        <v>2701</v>
      </c>
      <c r="E1447" s="19" t="s">
        <v>2702</v>
      </c>
      <c r="F1447" s="19" t="s">
        <v>2703</v>
      </c>
      <c r="G1447" s="19"/>
      <c r="H1447" s="2" t="s">
        <v>88</v>
      </c>
      <c r="I1447" s="4">
        <v>0.4</v>
      </c>
      <c r="J1447" s="5">
        <v>710000000</v>
      </c>
      <c r="K1447" s="5" t="s">
        <v>89</v>
      </c>
      <c r="L1447" s="2" t="s">
        <v>754</v>
      </c>
      <c r="M1447" s="6" t="s">
        <v>787</v>
      </c>
      <c r="N1447" s="7" t="s">
        <v>92</v>
      </c>
      <c r="O1447" s="7" t="s">
        <v>93</v>
      </c>
      <c r="P1447" s="3" t="s">
        <v>94</v>
      </c>
      <c r="Q1447" s="8" t="s">
        <v>117</v>
      </c>
      <c r="R1447" s="7" t="s">
        <v>118</v>
      </c>
      <c r="S1447" s="9">
        <v>260</v>
      </c>
      <c r="T1447" s="9">
        <v>133.93</v>
      </c>
      <c r="U1447" s="9">
        <v>0</v>
      </c>
      <c r="V1447" s="9">
        <f t="shared" si="978"/>
        <v>0</v>
      </c>
      <c r="W1447" s="7" t="s">
        <v>97</v>
      </c>
      <c r="X1447" s="2">
        <v>2016</v>
      </c>
      <c r="Y1447" s="2" t="s">
        <v>7793</v>
      </c>
    </row>
    <row r="1448" spans="1:25" s="11" customFormat="1" ht="89.25" customHeight="1" outlineLevel="1" x14ac:dyDescent="0.25">
      <c r="A1448" s="1"/>
      <c r="B1448" s="2" t="s">
        <v>8103</v>
      </c>
      <c r="C1448" s="3" t="s">
        <v>83</v>
      </c>
      <c r="D1448" s="19" t="s">
        <v>2701</v>
      </c>
      <c r="E1448" s="19" t="s">
        <v>2702</v>
      </c>
      <c r="F1448" s="19" t="s">
        <v>2703</v>
      </c>
      <c r="G1448" s="19"/>
      <c r="H1448" s="2" t="s">
        <v>88</v>
      </c>
      <c r="I1448" s="4">
        <v>0</v>
      </c>
      <c r="J1448" s="5">
        <v>710000000</v>
      </c>
      <c r="K1448" s="5" t="s">
        <v>89</v>
      </c>
      <c r="L1448" s="2" t="s">
        <v>754</v>
      </c>
      <c r="M1448" s="6" t="s">
        <v>787</v>
      </c>
      <c r="N1448" s="7" t="s">
        <v>92</v>
      </c>
      <c r="O1448" s="7" t="s">
        <v>93</v>
      </c>
      <c r="P1448" s="3" t="s">
        <v>673</v>
      </c>
      <c r="Q1448" s="8" t="s">
        <v>117</v>
      </c>
      <c r="R1448" s="7" t="s">
        <v>118</v>
      </c>
      <c r="S1448" s="9">
        <v>260</v>
      </c>
      <c r="T1448" s="9">
        <v>133.93</v>
      </c>
      <c r="U1448" s="9">
        <v>0</v>
      </c>
      <c r="V1448" s="9">
        <f t="shared" ref="V1448" si="1079">U1448*1.12</f>
        <v>0</v>
      </c>
      <c r="W1448" s="7"/>
      <c r="X1448" s="2">
        <v>2016</v>
      </c>
      <c r="Y1448" s="2" t="s">
        <v>7460</v>
      </c>
    </row>
    <row r="1449" spans="1:25" s="11" customFormat="1" ht="89.25" customHeight="1" outlineLevel="1" x14ac:dyDescent="0.25">
      <c r="A1449" s="1"/>
      <c r="B1449" s="2" t="s">
        <v>6226</v>
      </c>
      <c r="C1449" s="3" t="s">
        <v>83</v>
      </c>
      <c r="D1449" s="19" t="s">
        <v>2920</v>
      </c>
      <c r="E1449" s="19" t="s">
        <v>2921</v>
      </c>
      <c r="F1449" s="19" t="s">
        <v>2922</v>
      </c>
      <c r="G1449" s="19"/>
      <c r="H1449" s="2" t="s">
        <v>88</v>
      </c>
      <c r="I1449" s="4">
        <v>0.4</v>
      </c>
      <c r="J1449" s="5">
        <v>710000000</v>
      </c>
      <c r="K1449" s="5" t="s">
        <v>89</v>
      </c>
      <c r="L1449" s="2" t="s">
        <v>754</v>
      </c>
      <c r="M1449" s="6" t="s">
        <v>787</v>
      </c>
      <c r="N1449" s="7" t="s">
        <v>92</v>
      </c>
      <c r="O1449" s="7" t="s">
        <v>93</v>
      </c>
      <c r="P1449" s="3" t="s">
        <v>94</v>
      </c>
      <c r="Q1449" s="8" t="s">
        <v>117</v>
      </c>
      <c r="R1449" s="7" t="s">
        <v>118</v>
      </c>
      <c r="S1449" s="9">
        <v>2</v>
      </c>
      <c r="T1449" s="9">
        <v>21015</v>
      </c>
      <c r="U1449" s="9">
        <v>0</v>
      </c>
      <c r="V1449" s="9">
        <f t="shared" si="978"/>
        <v>0</v>
      </c>
      <c r="W1449" s="7" t="s">
        <v>97</v>
      </c>
      <c r="X1449" s="2">
        <v>2016</v>
      </c>
      <c r="Y1449" s="2" t="s">
        <v>7793</v>
      </c>
    </row>
    <row r="1450" spans="1:25" s="11" customFormat="1" ht="89.25" customHeight="1" outlineLevel="1" x14ac:dyDescent="0.25">
      <c r="A1450" s="1"/>
      <c r="B1450" s="2" t="s">
        <v>8104</v>
      </c>
      <c r="C1450" s="3" t="s">
        <v>83</v>
      </c>
      <c r="D1450" s="19" t="s">
        <v>2920</v>
      </c>
      <c r="E1450" s="19" t="s">
        <v>2921</v>
      </c>
      <c r="F1450" s="19" t="s">
        <v>2922</v>
      </c>
      <c r="G1450" s="19"/>
      <c r="H1450" s="2" t="s">
        <v>88</v>
      </c>
      <c r="I1450" s="4">
        <v>0</v>
      </c>
      <c r="J1450" s="5">
        <v>710000000</v>
      </c>
      <c r="K1450" s="5" t="s">
        <v>89</v>
      </c>
      <c r="L1450" s="2" t="s">
        <v>754</v>
      </c>
      <c r="M1450" s="6" t="s">
        <v>787</v>
      </c>
      <c r="N1450" s="7" t="s">
        <v>92</v>
      </c>
      <c r="O1450" s="7" t="s">
        <v>93</v>
      </c>
      <c r="P1450" s="3" t="s">
        <v>673</v>
      </c>
      <c r="Q1450" s="8" t="s">
        <v>117</v>
      </c>
      <c r="R1450" s="7" t="s">
        <v>118</v>
      </c>
      <c r="S1450" s="9">
        <v>2</v>
      </c>
      <c r="T1450" s="9">
        <v>21015</v>
      </c>
      <c r="U1450" s="9">
        <f t="shared" ref="U1450" si="1080">T1450*S1450</f>
        <v>42030</v>
      </c>
      <c r="V1450" s="9">
        <f t="shared" ref="V1450" si="1081">U1450*1.12</f>
        <v>47073.600000000006</v>
      </c>
      <c r="W1450" s="7"/>
      <c r="X1450" s="2">
        <v>2016</v>
      </c>
      <c r="Y1450" s="2"/>
    </row>
    <row r="1451" spans="1:25" s="11" customFormat="1" ht="89.25" customHeight="1" outlineLevel="1" x14ac:dyDescent="0.25">
      <c r="A1451" s="1"/>
      <c r="B1451" s="2" t="s">
        <v>6227</v>
      </c>
      <c r="C1451" s="3" t="s">
        <v>83</v>
      </c>
      <c r="D1451" s="19" t="s">
        <v>2923</v>
      </c>
      <c r="E1451" s="19" t="s">
        <v>2924</v>
      </c>
      <c r="F1451" s="19" t="s">
        <v>2925</v>
      </c>
      <c r="G1451" s="19"/>
      <c r="H1451" s="2" t="s">
        <v>88</v>
      </c>
      <c r="I1451" s="4">
        <v>0.4</v>
      </c>
      <c r="J1451" s="5">
        <v>710000000</v>
      </c>
      <c r="K1451" s="5" t="s">
        <v>89</v>
      </c>
      <c r="L1451" s="2" t="s">
        <v>754</v>
      </c>
      <c r="M1451" s="6" t="s">
        <v>787</v>
      </c>
      <c r="N1451" s="7" t="s">
        <v>92</v>
      </c>
      <c r="O1451" s="7" t="s">
        <v>93</v>
      </c>
      <c r="P1451" s="3" t="s">
        <v>94</v>
      </c>
      <c r="Q1451" s="8" t="s">
        <v>117</v>
      </c>
      <c r="R1451" s="7" t="s">
        <v>118</v>
      </c>
      <c r="S1451" s="9">
        <f>18+185</f>
        <v>203</v>
      </c>
      <c r="T1451" s="9">
        <v>64.290000000000006</v>
      </c>
      <c r="U1451" s="9">
        <v>0</v>
      </c>
      <c r="V1451" s="9">
        <f t="shared" si="978"/>
        <v>0</v>
      </c>
      <c r="W1451" s="7" t="s">
        <v>97</v>
      </c>
      <c r="X1451" s="2">
        <v>2016</v>
      </c>
      <c r="Y1451" s="2" t="s">
        <v>7793</v>
      </c>
    </row>
    <row r="1452" spans="1:25" s="11" customFormat="1" ht="89.25" customHeight="1" outlineLevel="1" x14ac:dyDescent="0.25">
      <c r="A1452" s="1"/>
      <c r="B1452" s="2" t="s">
        <v>8105</v>
      </c>
      <c r="C1452" s="3" t="s">
        <v>83</v>
      </c>
      <c r="D1452" s="19" t="s">
        <v>2923</v>
      </c>
      <c r="E1452" s="19" t="s">
        <v>2924</v>
      </c>
      <c r="F1452" s="19" t="s">
        <v>2925</v>
      </c>
      <c r="G1452" s="19"/>
      <c r="H1452" s="2" t="s">
        <v>88</v>
      </c>
      <c r="I1452" s="4">
        <v>0</v>
      </c>
      <c r="J1452" s="5">
        <v>710000000</v>
      </c>
      <c r="K1452" s="5" t="s">
        <v>89</v>
      </c>
      <c r="L1452" s="2" t="s">
        <v>754</v>
      </c>
      <c r="M1452" s="6" t="s">
        <v>787</v>
      </c>
      <c r="N1452" s="7" t="s">
        <v>92</v>
      </c>
      <c r="O1452" s="7" t="s">
        <v>93</v>
      </c>
      <c r="P1452" s="3" t="s">
        <v>673</v>
      </c>
      <c r="Q1452" s="8" t="s">
        <v>117</v>
      </c>
      <c r="R1452" s="7" t="s">
        <v>118</v>
      </c>
      <c r="S1452" s="9">
        <f>18+185</f>
        <v>203</v>
      </c>
      <c r="T1452" s="9">
        <v>64.290000000000006</v>
      </c>
      <c r="U1452" s="9">
        <f t="shared" ref="U1452" si="1082">T1452*S1452</f>
        <v>13050.87</v>
      </c>
      <c r="V1452" s="9">
        <f t="shared" ref="V1452" si="1083">U1452*1.12</f>
        <v>14616.974400000003</v>
      </c>
      <c r="W1452" s="7"/>
      <c r="X1452" s="2">
        <v>2016</v>
      </c>
      <c r="Y1452" s="2"/>
    </row>
    <row r="1453" spans="1:25" s="11" customFormat="1" ht="89.25" customHeight="1" outlineLevel="1" x14ac:dyDescent="0.25">
      <c r="A1453" s="1"/>
      <c r="B1453" s="2" t="s">
        <v>6228</v>
      </c>
      <c r="C1453" s="3" t="s">
        <v>83</v>
      </c>
      <c r="D1453" s="19" t="s">
        <v>2926</v>
      </c>
      <c r="E1453" s="19" t="s">
        <v>2927</v>
      </c>
      <c r="F1453" s="19" t="s">
        <v>2928</v>
      </c>
      <c r="G1453" s="19"/>
      <c r="H1453" s="2" t="s">
        <v>88</v>
      </c>
      <c r="I1453" s="4">
        <v>0.4</v>
      </c>
      <c r="J1453" s="5">
        <v>710000000</v>
      </c>
      <c r="K1453" s="5" t="s">
        <v>89</v>
      </c>
      <c r="L1453" s="2" t="s">
        <v>754</v>
      </c>
      <c r="M1453" s="6" t="s">
        <v>787</v>
      </c>
      <c r="N1453" s="7" t="s">
        <v>92</v>
      </c>
      <c r="O1453" s="7" t="s">
        <v>93</v>
      </c>
      <c r="P1453" s="3" t="s">
        <v>94</v>
      </c>
      <c r="Q1453" s="8" t="s">
        <v>117</v>
      </c>
      <c r="R1453" s="7" t="s">
        <v>118</v>
      </c>
      <c r="S1453" s="9">
        <f>9+92</f>
        <v>101</v>
      </c>
      <c r="T1453" s="9">
        <v>187.5</v>
      </c>
      <c r="U1453" s="9">
        <v>0</v>
      </c>
      <c r="V1453" s="9">
        <f t="shared" si="978"/>
        <v>0</v>
      </c>
      <c r="W1453" s="7" t="s">
        <v>97</v>
      </c>
      <c r="X1453" s="2">
        <v>2016</v>
      </c>
      <c r="Y1453" s="2" t="s">
        <v>7793</v>
      </c>
    </row>
    <row r="1454" spans="1:25" s="11" customFormat="1" ht="89.25" customHeight="1" outlineLevel="1" x14ac:dyDescent="0.25">
      <c r="A1454" s="1"/>
      <c r="B1454" s="2" t="s">
        <v>8106</v>
      </c>
      <c r="C1454" s="3" t="s">
        <v>83</v>
      </c>
      <c r="D1454" s="19" t="s">
        <v>2926</v>
      </c>
      <c r="E1454" s="19" t="s">
        <v>2927</v>
      </c>
      <c r="F1454" s="19" t="s">
        <v>2928</v>
      </c>
      <c r="G1454" s="19"/>
      <c r="H1454" s="2" t="s">
        <v>88</v>
      </c>
      <c r="I1454" s="4">
        <v>0</v>
      </c>
      <c r="J1454" s="5">
        <v>710000000</v>
      </c>
      <c r="K1454" s="5" t="s">
        <v>89</v>
      </c>
      <c r="L1454" s="2" t="s">
        <v>754</v>
      </c>
      <c r="M1454" s="6" t="s">
        <v>787</v>
      </c>
      <c r="N1454" s="7" t="s">
        <v>92</v>
      </c>
      <c r="O1454" s="7" t="s">
        <v>93</v>
      </c>
      <c r="P1454" s="3" t="s">
        <v>673</v>
      </c>
      <c r="Q1454" s="8" t="s">
        <v>117</v>
      </c>
      <c r="R1454" s="7" t="s">
        <v>118</v>
      </c>
      <c r="S1454" s="9">
        <f>9+92</f>
        <v>101</v>
      </c>
      <c r="T1454" s="9">
        <v>187.5</v>
      </c>
      <c r="U1454" s="9">
        <f t="shared" ref="U1454" si="1084">T1454*S1454</f>
        <v>18937.5</v>
      </c>
      <c r="V1454" s="9">
        <f t="shared" ref="V1454" si="1085">U1454*1.12</f>
        <v>21210.000000000004</v>
      </c>
      <c r="W1454" s="7"/>
      <c r="X1454" s="2">
        <v>2016</v>
      </c>
      <c r="Y1454" s="2"/>
    </row>
    <row r="1455" spans="1:25" s="11" customFormat="1" ht="89.25" customHeight="1" outlineLevel="1" x14ac:dyDescent="0.25">
      <c r="A1455" s="1"/>
      <c r="B1455" s="2" t="s">
        <v>6229</v>
      </c>
      <c r="C1455" s="3" t="s">
        <v>83</v>
      </c>
      <c r="D1455" s="19" t="s">
        <v>2929</v>
      </c>
      <c r="E1455" s="19" t="s">
        <v>2757</v>
      </c>
      <c r="F1455" s="19" t="s">
        <v>2930</v>
      </c>
      <c r="G1455" s="19" t="s">
        <v>2931</v>
      </c>
      <c r="H1455" s="2" t="s">
        <v>88</v>
      </c>
      <c r="I1455" s="4">
        <v>0.4</v>
      </c>
      <c r="J1455" s="5">
        <v>710000000</v>
      </c>
      <c r="K1455" s="5" t="s">
        <v>89</v>
      </c>
      <c r="L1455" s="2" t="s">
        <v>754</v>
      </c>
      <c r="M1455" s="6" t="s">
        <v>787</v>
      </c>
      <c r="N1455" s="7" t="s">
        <v>92</v>
      </c>
      <c r="O1455" s="7" t="s">
        <v>93</v>
      </c>
      <c r="P1455" s="3" t="s">
        <v>94</v>
      </c>
      <c r="Q1455" s="8" t="s">
        <v>117</v>
      </c>
      <c r="R1455" s="7" t="s">
        <v>118</v>
      </c>
      <c r="S1455" s="9">
        <v>15</v>
      </c>
      <c r="T1455" s="9">
        <v>5341.1</v>
      </c>
      <c r="U1455" s="9">
        <v>0</v>
      </c>
      <c r="V1455" s="9">
        <f t="shared" si="978"/>
        <v>0</v>
      </c>
      <c r="W1455" s="7" t="s">
        <v>97</v>
      </c>
      <c r="X1455" s="2">
        <v>2016</v>
      </c>
      <c r="Y1455" s="2" t="s">
        <v>7793</v>
      </c>
    </row>
    <row r="1456" spans="1:25" s="11" customFormat="1" ht="89.25" customHeight="1" outlineLevel="1" x14ac:dyDescent="0.25">
      <c r="A1456" s="1"/>
      <c r="B1456" s="2" t="s">
        <v>8107</v>
      </c>
      <c r="C1456" s="3" t="s">
        <v>83</v>
      </c>
      <c r="D1456" s="19" t="s">
        <v>2929</v>
      </c>
      <c r="E1456" s="19" t="s">
        <v>2757</v>
      </c>
      <c r="F1456" s="19" t="s">
        <v>2930</v>
      </c>
      <c r="G1456" s="19" t="s">
        <v>2931</v>
      </c>
      <c r="H1456" s="2" t="s">
        <v>88</v>
      </c>
      <c r="I1456" s="4">
        <v>0</v>
      </c>
      <c r="J1456" s="5">
        <v>710000000</v>
      </c>
      <c r="K1456" s="5" t="s">
        <v>89</v>
      </c>
      <c r="L1456" s="2" t="s">
        <v>754</v>
      </c>
      <c r="M1456" s="6" t="s">
        <v>787</v>
      </c>
      <c r="N1456" s="7" t="s">
        <v>92</v>
      </c>
      <c r="O1456" s="7" t="s">
        <v>93</v>
      </c>
      <c r="P1456" s="3" t="s">
        <v>673</v>
      </c>
      <c r="Q1456" s="8" t="s">
        <v>117</v>
      </c>
      <c r="R1456" s="7" t="s">
        <v>118</v>
      </c>
      <c r="S1456" s="9">
        <v>15</v>
      </c>
      <c r="T1456" s="9">
        <v>5341.1</v>
      </c>
      <c r="U1456" s="9">
        <f t="shared" ref="U1456" si="1086">T1456*S1456</f>
        <v>80116.5</v>
      </c>
      <c r="V1456" s="9">
        <f t="shared" ref="V1456" si="1087">U1456*1.12</f>
        <v>89730.48000000001</v>
      </c>
      <c r="W1456" s="7"/>
      <c r="X1456" s="2">
        <v>2016</v>
      </c>
      <c r="Y1456" s="2"/>
    </row>
    <row r="1457" spans="1:25" s="11" customFormat="1" ht="89.25" customHeight="1" outlineLevel="1" x14ac:dyDescent="0.25">
      <c r="A1457" s="1"/>
      <c r="B1457" s="2" t="s">
        <v>6230</v>
      </c>
      <c r="C1457" s="3" t="s">
        <v>83</v>
      </c>
      <c r="D1457" s="19" t="s">
        <v>2929</v>
      </c>
      <c r="E1457" s="19" t="s">
        <v>2757</v>
      </c>
      <c r="F1457" s="19" t="s">
        <v>2930</v>
      </c>
      <c r="G1457" s="19" t="s">
        <v>2932</v>
      </c>
      <c r="H1457" s="2" t="s">
        <v>88</v>
      </c>
      <c r="I1457" s="4">
        <v>0.4</v>
      </c>
      <c r="J1457" s="5">
        <v>710000000</v>
      </c>
      <c r="K1457" s="5" t="s">
        <v>89</v>
      </c>
      <c r="L1457" s="2" t="s">
        <v>754</v>
      </c>
      <c r="M1457" s="6" t="s">
        <v>787</v>
      </c>
      <c r="N1457" s="7" t="s">
        <v>92</v>
      </c>
      <c r="O1457" s="7" t="s">
        <v>93</v>
      </c>
      <c r="P1457" s="3" t="s">
        <v>94</v>
      </c>
      <c r="Q1457" s="8" t="s">
        <v>117</v>
      </c>
      <c r="R1457" s="7" t="s">
        <v>118</v>
      </c>
      <c r="S1457" s="9">
        <v>20</v>
      </c>
      <c r="T1457" s="9">
        <v>4852.2</v>
      </c>
      <c r="U1457" s="9">
        <v>0</v>
      </c>
      <c r="V1457" s="9">
        <f t="shared" si="978"/>
        <v>0</v>
      </c>
      <c r="W1457" s="7" t="s">
        <v>97</v>
      </c>
      <c r="X1457" s="2">
        <v>2016</v>
      </c>
      <c r="Y1457" s="2" t="s">
        <v>7793</v>
      </c>
    </row>
    <row r="1458" spans="1:25" s="11" customFormat="1" ht="89.25" customHeight="1" outlineLevel="1" x14ac:dyDescent="0.25">
      <c r="A1458" s="1"/>
      <c r="B1458" s="2" t="s">
        <v>8108</v>
      </c>
      <c r="C1458" s="3" t="s">
        <v>83</v>
      </c>
      <c r="D1458" s="19" t="s">
        <v>2929</v>
      </c>
      <c r="E1458" s="19" t="s">
        <v>2757</v>
      </c>
      <c r="F1458" s="19" t="s">
        <v>2930</v>
      </c>
      <c r="G1458" s="19" t="s">
        <v>2932</v>
      </c>
      <c r="H1458" s="2" t="s">
        <v>88</v>
      </c>
      <c r="I1458" s="4">
        <v>0</v>
      </c>
      <c r="J1458" s="5">
        <v>710000000</v>
      </c>
      <c r="K1458" s="5" t="s">
        <v>89</v>
      </c>
      <c r="L1458" s="2" t="s">
        <v>754</v>
      </c>
      <c r="M1458" s="6" t="s">
        <v>787</v>
      </c>
      <c r="N1458" s="7" t="s">
        <v>92</v>
      </c>
      <c r="O1458" s="7" t="s">
        <v>93</v>
      </c>
      <c r="P1458" s="3" t="s">
        <v>673</v>
      </c>
      <c r="Q1458" s="8" t="s">
        <v>117</v>
      </c>
      <c r="R1458" s="7" t="s">
        <v>118</v>
      </c>
      <c r="S1458" s="9">
        <v>20</v>
      </c>
      <c r="T1458" s="9">
        <v>4852.2</v>
      </c>
      <c r="U1458" s="9">
        <f t="shared" ref="U1458" si="1088">T1458*S1458</f>
        <v>97044</v>
      </c>
      <c r="V1458" s="9">
        <f t="shared" ref="V1458" si="1089">U1458*1.12</f>
        <v>108689.28000000001</v>
      </c>
      <c r="W1458" s="7"/>
      <c r="X1458" s="2">
        <v>2016</v>
      </c>
      <c r="Y1458" s="2"/>
    </row>
    <row r="1459" spans="1:25" s="11" customFormat="1" ht="89.25" customHeight="1" outlineLevel="1" x14ac:dyDescent="0.25">
      <c r="A1459" s="1"/>
      <c r="B1459" s="2" t="s">
        <v>6231</v>
      </c>
      <c r="C1459" s="3" t="s">
        <v>83</v>
      </c>
      <c r="D1459" s="19" t="s">
        <v>2933</v>
      </c>
      <c r="E1459" s="19" t="s">
        <v>2934</v>
      </c>
      <c r="F1459" s="19" t="s">
        <v>2935</v>
      </c>
      <c r="G1459" s="19" t="s">
        <v>2936</v>
      </c>
      <c r="H1459" s="2" t="s">
        <v>88</v>
      </c>
      <c r="I1459" s="4">
        <v>0.4</v>
      </c>
      <c r="J1459" s="5">
        <v>710000000</v>
      </c>
      <c r="K1459" s="5" t="s">
        <v>89</v>
      </c>
      <c r="L1459" s="2" t="s">
        <v>754</v>
      </c>
      <c r="M1459" s="6" t="s">
        <v>787</v>
      </c>
      <c r="N1459" s="7" t="s">
        <v>92</v>
      </c>
      <c r="O1459" s="7" t="s">
        <v>93</v>
      </c>
      <c r="P1459" s="3" t="s">
        <v>94</v>
      </c>
      <c r="Q1459" s="8" t="s">
        <v>117</v>
      </c>
      <c r="R1459" s="7" t="s">
        <v>118</v>
      </c>
      <c r="S1459" s="9">
        <v>40</v>
      </c>
      <c r="T1459" s="9">
        <v>209.82</v>
      </c>
      <c r="U1459" s="9">
        <v>0</v>
      </c>
      <c r="V1459" s="9">
        <f t="shared" si="978"/>
        <v>0</v>
      </c>
      <c r="W1459" s="7" t="s">
        <v>97</v>
      </c>
      <c r="X1459" s="2">
        <v>2016</v>
      </c>
      <c r="Y1459" s="2" t="s">
        <v>7793</v>
      </c>
    </row>
    <row r="1460" spans="1:25" s="11" customFormat="1" ht="89.25" customHeight="1" outlineLevel="1" x14ac:dyDescent="0.25">
      <c r="A1460" s="1"/>
      <c r="B1460" s="2" t="s">
        <v>8109</v>
      </c>
      <c r="C1460" s="3" t="s">
        <v>83</v>
      </c>
      <c r="D1460" s="19" t="s">
        <v>2933</v>
      </c>
      <c r="E1460" s="19" t="s">
        <v>2934</v>
      </c>
      <c r="F1460" s="19" t="s">
        <v>2935</v>
      </c>
      <c r="G1460" s="19" t="s">
        <v>2936</v>
      </c>
      <c r="H1460" s="2" t="s">
        <v>88</v>
      </c>
      <c r="I1460" s="4">
        <v>0</v>
      </c>
      <c r="J1460" s="5">
        <v>710000000</v>
      </c>
      <c r="K1460" s="5" t="s">
        <v>89</v>
      </c>
      <c r="L1460" s="2" t="s">
        <v>754</v>
      </c>
      <c r="M1460" s="6" t="s">
        <v>787</v>
      </c>
      <c r="N1460" s="7" t="s">
        <v>92</v>
      </c>
      <c r="O1460" s="7" t="s">
        <v>93</v>
      </c>
      <c r="P1460" s="3" t="s">
        <v>673</v>
      </c>
      <c r="Q1460" s="8" t="s">
        <v>117</v>
      </c>
      <c r="R1460" s="7" t="s">
        <v>118</v>
      </c>
      <c r="S1460" s="9">
        <v>40</v>
      </c>
      <c r="T1460" s="9">
        <v>209.82</v>
      </c>
      <c r="U1460" s="9">
        <f t="shared" ref="U1460" si="1090">T1460*S1460</f>
        <v>8392.7999999999993</v>
      </c>
      <c r="V1460" s="9">
        <f t="shared" ref="V1460" si="1091">U1460*1.12</f>
        <v>9399.9359999999997</v>
      </c>
      <c r="W1460" s="7"/>
      <c r="X1460" s="2">
        <v>2016</v>
      </c>
      <c r="Y1460" s="2"/>
    </row>
    <row r="1461" spans="1:25" s="11" customFormat="1" ht="89.25" customHeight="1" outlineLevel="1" x14ac:dyDescent="0.25">
      <c r="A1461" s="1"/>
      <c r="B1461" s="2" t="s">
        <v>6232</v>
      </c>
      <c r="C1461" s="3" t="s">
        <v>83</v>
      </c>
      <c r="D1461" s="19" t="s">
        <v>2937</v>
      </c>
      <c r="E1461" s="19" t="s">
        <v>2938</v>
      </c>
      <c r="F1461" s="19" t="s">
        <v>2939</v>
      </c>
      <c r="G1461" s="19" t="s">
        <v>2940</v>
      </c>
      <c r="H1461" s="2" t="s">
        <v>88</v>
      </c>
      <c r="I1461" s="4">
        <v>0.4</v>
      </c>
      <c r="J1461" s="5">
        <v>710000000</v>
      </c>
      <c r="K1461" s="5" t="s">
        <v>89</v>
      </c>
      <c r="L1461" s="2" t="s">
        <v>754</v>
      </c>
      <c r="M1461" s="6" t="s">
        <v>787</v>
      </c>
      <c r="N1461" s="7" t="s">
        <v>92</v>
      </c>
      <c r="O1461" s="7" t="s">
        <v>93</v>
      </c>
      <c r="P1461" s="3" t="s">
        <v>94</v>
      </c>
      <c r="Q1461" s="8" t="s">
        <v>117</v>
      </c>
      <c r="R1461" s="7" t="s">
        <v>118</v>
      </c>
      <c r="S1461" s="9">
        <v>44</v>
      </c>
      <c r="T1461" s="9">
        <v>138.53</v>
      </c>
      <c r="U1461" s="9">
        <v>0</v>
      </c>
      <c r="V1461" s="9">
        <f t="shared" si="978"/>
        <v>0</v>
      </c>
      <c r="W1461" s="7" t="s">
        <v>97</v>
      </c>
      <c r="X1461" s="2">
        <v>2016</v>
      </c>
      <c r="Y1461" s="2" t="s">
        <v>7793</v>
      </c>
    </row>
    <row r="1462" spans="1:25" s="11" customFormat="1" ht="89.25" customHeight="1" outlineLevel="1" x14ac:dyDescent="0.25">
      <c r="A1462" s="1"/>
      <c r="B1462" s="2" t="s">
        <v>8110</v>
      </c>
      <c r="C1462" s="3" t="s">
        <v>83</v>
      </c>
      <c r="D1462" s="19" t="s">
        <v>2937</v>
      </c>
      <c r="E1462" s="19" t="s">
        <v>2938</v>
      </c>
      <c r="F1462" s="19" t="s">
        <v>2939</v>
      </c>
      <c r="G1462" s="19" t="s">
        <v>2940</v>
      </c>
      <c r="H1462" s="2" t="s">
        <v>88</v>
      </c>
      <c r="I1462" s="4">
        <v>0</v>
      </c>
      <c r="J1462" s="5">
        <v>710000000</v>
      </c>
      <c r="K1462" s="5" t="s">
        <v>89</v>
      </c>
      <c r="L1462" s="2" t="s">
        <v>754</v>
      </c>
      <c r="M1462" s="6" t="s">
        <v>787</v>
      </c>
      <c r="N1462" s="7" t="s">
        <v>92</v>
      </c>
      <c r="O1462" s="7" t="s">
        <v>93</v>
      </c>
      <c r="P1462" s="3" t="s">
        <v>673</v>
      </c>
      <c r="Q1462" s="8" t="s">
        <v>117</v>
      </c>
      <c r="R1462" s="7" t="s">
        <v>118</v>
      </c>
      <c r="S1462" s="9">
        <v>44</v>
      </c>
      <c r="T1462" s="9">
        <v>138.53</v>
      </c>
      <c r="U1462" s="9">
        <f t="shared" ref="U1462" si="1092">T1462*S1462</f>
        <v>6095.32</v>
      </c>
      <c r="V1462" s="9">
        <f t="shared" ref="V1462" si="1093">U1462*1.12</f>
        <v>6826.7584000000006</v>
      </c>
      <c r="W1462" s="7"/>
      <c r="X1462" s="2">
        <v>2016</v>
      </c>
      <c r="Y1462" s="2"/>
    </row>
    <row r="1463" spans="1:25" s="11" customFormat="1" ht="89.25" customHeight="1" outlineLevel="1" x14ac:dyDescent="0.25">
      <c r="A1463" s="1"/>
      <c r="B1463" s="2" t="s">
        <v>6233</v>
      </c>
      <c r="C1463" s="3" t="s">
        <v>83</v>
      </c>
      <c r="D1463" s="19" t="s">
        <v>2941</v>
      </c>
      <c r="E1463" s="19" t="s">
        <v>2942</v>
      </c>
      <c r="F1463" s="19" t="s">
        <v>2943</v>
      </c>
      <c r="G1463" s="19" t="s">
        <v>2944</v>
      </c>
      <c r="H1463" s="2" t="s">
        <v>88</v>
      </c>
      <c r="I1463" s="4">
        <v>0.4</v>
      </c>
      <c r="J1463" s="5">
        <v>710000000</v>
      </c>
      <c r="K1463" s="5" t="s">
        <v>89</v>
      </c>
      <c r="L1463" s="2" t="s">
        <v>754</v>
      </c>
      <c r="M1463" s="6" t="s">
        <v>787</v>
      </c>
      <c r="N1463" s="7" t="s">
        <v>92</v>
      </c>
      <c r="O1463" s="7" t="s">
        <v>93</v>
      </c>
      <c r="P1463" s="3" t="s">
        <v>94</v>
      </c>
      <c r="Q1463" s="8" t="s">
        <v>117</v>
      </c>
      <c r="R1463" s="7" t="s">
        <v>118</v>
      </c>
      <c r="S1463" s="9">
        <f>95+9+9</f>
        <v>113</v>
      </c>
      <c r="T1463" s="9">
        <v>157.1</v>
      </c>
      <c r="U1463" s="9">
        <v>0</v>
      </c>
      <c r="V1463" s="9">
        <f t="shared" si="978"/>
        <v>0</v>
      </c>
      <c r="W1463" s="7" t="s">
        <v>97</v>
      </c>
      <c r="X1463" s="2">
        <v>2016</v>
      </c>
      <c r="Y1463" s="2" t="s">
        <v>7793</v>
      </c>
    </row>
    <row r="1464" spans="1:25" s="11" customFormat="1" ht="89.25" customHeight="1" outlineLevel="1" x14ac:dyDescent="0.25">
      <c r="A1464" s="1"/>
      <c r="B1464" s="2" t="s">
        <v>8111</v>
      </c>
      <c r="C1464" s="3" t="s">
        <v>83</v>
      </c>
      <c r="D1464" s="19" t="s">
        <v>2941</v>
      </c>
      <c r="E1464" s="19" t="s">
        <v>2942</v>
      </c>
      <c r="F1464" s="19" t="s">
        <v>2943</v>
      </c>
      <c r="G1464" s="19" t="s">
        <v>2944</v>
      </c>
      <c r="H1464" s="2" t="s">
        <v>88</v>
      </c>
      <c r="I1464" s="4">
        <v>0</v>
      </c>
      <c r="J1464" s="5">
        <v>710000000</v>
      </c>
      <c r="K1464" s="5" t="s">
        <v>89</v>
      </c>
      <c r="L1464" s="2" t="s">
        <v>754</v>
      </c>
      <c r="M1464" s="6" t="s">
        <v>787</v>
      </c>
      <c r="N1464" s="7" t="s">
        <v>92</v>
      </c>
      <c r="O1464" s="7" t="s">
        <v>93</v>
      </c>
      <c r="P1464" s="3" t="s">
        <v>673</v>
      </c>
      <c r="Q1464" s="8" t="s">
        <v>117</v>
      </c>
      <c r="R1464" s="7" t="s">
        <v>118</v>
      </c>
      <c r="S1464" s="9">
        <f>95+9+9</f>
        <v>113</v>
      </c>
      <c r="T1464" s="9">
        <v>157.1</v>
      </c>
      <c r="U1464" s="9">
        <f t="shared" ref="U1464" si="1094">T1464*S1464</f>
        <v>17752.3</v>
      </c>
      <c r="V1464" s="9">
        <f t="shared" ref="V1464" si="1095">U1464*1.12</f>
        <v>19882.576000000001</v>
      </c>
      <c r="W1464" s="7"/>
      <c r="X1464" s="2">
        <v>2016</v>
      </c>
      <c r="Y1464" s="2"/>
    </row>
    <row r="1465" spans="1:25" s="11" customFormat="1" ht="89.25" customHeight="1" outlineLevel="1" x14ac:dyDescent="0.25">
      <c r="A1465" s="1"/>
      <c r="B1465" s="2" t="s">
        <v>6234</v>
      </c>
      <c r="C1465" s="3" t="s">
        <v>83</v>
      </c>
      <c r="D1465" s="19" t="s">
        <v>2941</v>
      </c>
      <c r="E1465" s="19" t="s">
        <v>2942</v>
      </c>
      <c r="F1465" s="19" t="s">
        <v>2943</v>
      </c>
      <c r="G1465" s="19" t="s">
        <v>2945</v>
      </c>
      <c r="H1465" s="2" t="s">
        <v>88</v>
      </c>
      <c r="I1465" s="4">
        <v>0.4</v>
      </c>
      <c r="J1465" s="5">
        <v>710000000</v>
      </c>
      <c r="K1465" s="5" t="s">
        <v>89</v>
      </c>
      <c r="L1465" s="2" t="s">
        <v>754</v>
      </c>
      <c r="M1465" s="6" t="s">
        <v>787</v>
      </c>
      <c r="N1465" s="7" t="s">
        <v>92</v>
      </c>
      <c r="O1465" s="7" t="s">
        <v>93</v>
      </c>
      <c r="P1465" s="3" t="s">
        <v>94</v>
      </c>
      <c r="Q1465" s="8" t="s">
        <v>117</v>
      </c>
      <c r="R1465" s="7" t="s">
        <v>118</v>
      </c>
      <c r="S1465" s="9">
        <v>46</v>
      </c>
      <c r="T1465" s="9">
        <v>90.2</v>
      </c>
      <c r="U1465" s="9">
        <v>0</v>
      </c>
      <c r="V1465" s="9">
        <f t="shared" si="978"/>
        <v>0</v>
      </c>
      <c r="W1465" s="7" t="s">
        <v>97</v>
      </c>
      <c r="X1465" s="2">
        <v>2016</v>
      </c>
      <c r="Y1465" s="2" t="s">
        <v>7793</v>
      </c>
    </row>
    <row r="1466" spans="1:25" s="11" customFormat="1" ht="89.25" customHeight="1" outlineLevel="1" x14ac:dyDescent="0.25">
      <c r="A1466" s="1"/>
      <c r="B1466" s="2" t="s">
        <v>8112</v>
      </c>
      <c r="C1466" s="3" t="s">
        <v>83</v>
      </c>
      <c r="D1466" s="19" t="s">
        <v>2941</v>
      </c>
      <c r="E1466" s="19" t="s">
        <v>2942</v>
      </c>
      <c r="F1466" s="19" t="s">
        <v>2943</v>
      </c>
      <c r="G1466" s="19" t="s">
        <v>2945</v>
      </c>
      <c r="H1466" s="2" t="s">
        <v>88</v>
      </c>
      <c r="I1466" s="4">
        <v>0</v>
      </c>
      <c r="J1466" s="5">
        <v>710000000</v>
      </c>
      <c r="K1466" s="5" t="s">
        <v>89</v>
      </c>
      <c r="L1466" s="2" t="s">
        <v>754</v>
      </c>
      <c r="M1466" s="6" t="s">
        <v>787</v>
      </c>
      <c r="N1466" s="7" t="s">
        <v>92</v>
      </c>
      <c r="O1466" s="7" t="s">
        <v>93</v>
      </c>
      <c r="P1466" s="3" t="s">
        <v>673</v>
      </c>
      <c r="Q1466" s="8" t="s">
        <v>117</v>
      </c>
      <c r="R1466" s="7" t="s">
        <v>118</v>
      </c>
      <c r="S1466" s="9">
        <v>46</v>
      </c>
      <c r="T1466" s="9">
        <v>90.2</v>
      </c>
      <c r="U1466" s="9">
        <f t="shared" ref="U1466" si="1096">T1466*S1466</f>
        <v>4149.2</v>
      </c>
      <c r="V1466" s="9">
        <f t="shared" ref="V1466" si="1097">U1466*1.12</f>
        <v>4647.1040000000003</v>
      </c>
      <c r="W1466" s="7"/>
      <c r="X1466" s="2">
        <v>2016</v>
      </c>
      <c r="Y1466" s="2"/>
    </row>
    <row r="1467" spans="1:25" s="11" customFormat="1" ht="89.25" customHeight="1" outlineLevel="1" x14ac:dyDescent="0.25">
      <c r="A1467" s="1"/>
      <c r="B1467" s="2" t="s">
        <v>6235</v>
      </c>
      <c r="C1467" s="3" t="s">
        <v>83</v>
      </c>
      <c r="D1467" s="19" t="s">
        <v>2941</v>
      </c>
      <c r="E1467" s="19" t="s">
        <v>2942</v>
      </c>
      <c r="F1467" s="19" t="s">
        <v>2943</v>
      </c>
      <c r="G1467" s="19" t="s">
        <v>2946</v>
      </c>
      <c r="H1467" s="2" t="s">
        <v>88</v>
      </c>
      <c r="I1467" s="4">
        <v>0.4</v>
      </c>
      <c r="J1467" s="5">
        <v>710000000</v>
      </c>
      <c r="K1467" s="5" t="s">
        <v>89</v>
      </c>
      <c r="L1467" s="2" t="s">
        <v>754</v>
      </c>
      <c r="M1467" s="6" t="s">
        <v>787</v>
      </c>
      <c r="N1467" s="7" t="s">
        <v>92</v>
      </c>
      <c r="O1467" s="7" t="s">
        <v>93</v>
      </c>
      <c r="P1467" s="3" t="s">
        <v>94</v>
      </c>
      <c r="Q1467" s="8" t="s">
        <v>117</v>
      </c>
      <c r="R1467" s="7" t="s">
        <v>118</v>
      </c>
      <c r="S1467" s="9">
        <v>23</v>
      </c>
      <c r="T1467" s="9">
        <v>60.71</v>
      </c>
      <c r="U1467" s="9">
        <v>0</v>
      </c>
      <c r="V1467" s="9">
        <f t="shared" si="978"/>
        <v>0</v>
      </c>
      <c r="W1467" s="7" t="s">
        <v>97</v>
      </c>
      <c r="X1467" s="2">
        <v>2016</v>
      </c>
      <c r="Y1467" s="2" t="s">
        <v>7793</v>
      </c>
    </row>
    <row r="1468" spans="1:25" s="11" customFormat="1" ht="89.25" customHeight="1" outlineLevel="1" x14ac:dyDescent="0.25">
      <c r="A1468" s="1"/>
      <c r="B1468" s="2" t="s">
        <v>6235</v>
      </c>
      <c r="C1468" s="3" t="s">
        <v>83</v>
      </c>
      <c r="D1468" s="19" t="s">
        <v>2941</v>
      </c>
      <c r="E1468" s="19" t="s">
        <v>2942</v>
      </c>
      <c r="F1468" s="19" t="s">
        <v>2943</v>
      </c>
      <c r="G1468" s="19" t="s">
        <v>2946</v>
      </c>
      <c r="H1468" s="2" t="s">
        <v>88</v>
      </c>
      <c r="I1468" s="4">
        <v>0</v>
      </c>
      <c r="J1468" s="5">
        <v>710000000</v>
      </c>
      <c r="K1468" s="5" t="s">
        <v>89</v>
      </c>
      <c r="L1468" s="2" t="s">
        <v>754</v>
      </c>
      <c r="M1468" s="6" t="s">
        <v>787</v>
      </c>
      <c r="N1468" s="7" t="s">
        <v>92</v>
      </c>
      <c r="O1468" s="7" t="s">
        <v>93</v>
      </c>
      <c r="P1468" s="3" t="s">
        <v>673</v>
      </c>
      <c r="Q1468" s="8" t="s">
        <v>117</v>
      </c>
      <c r="R1468" s="7" t="s">
        <v>118</v>
      </c>
      <c r="S1468" s="9">
        <v>23</v>
      </c>
      <c r="T1468" s="9">
        <v>60.71</v>
      </c>
      <c r="U1468" s="9">
        <f t="shared" ref="U1468" si="1098">T1468*S1468</f>
        <v>1396.33</v>
      </c>
      <c r="V1468" s="9">
        <f t="shared" ref="V1468" si="1099">U1468*1.12</f>
        <v>1563.8896</v>
      </c>
      <c r="W1468" s="7"/>
      <c r="X1468" s="2">
        <v>2016</v>
      </c>
      <c r="Y1468" s="2"/>
    </row>
    <row r="1469" spans="1:25" s="11" customFormat="1" ht="89.25" customHeight="1" outlineLevel="1" x14ac:dyDescent="0.25">
      <c r="A1469" s="1"/>
      <c r="B1469" s="2" t="s">
        <v>6236</v>
      </c>
      <c r="C1469" s="3" t="s">
        <v>83</v>
      </c>
      <c r="D1469" s="19" t="s">
        <v>2947</v>
      </c>
      <c r="E1469" s="19" t="s">
        <v>2942</v>
      </c>
      <c r="F1469" s="19" t="s">
        <v>2948</v>
      </c>
      <c r="G1469" s="19"/>
      <c r="H1469" s="2" t="s">
        <v>88</v>
      </c>
      <c r="I1469" s="4">
        <v>0.4</v>
      </c>
      <c r="J1469" s="5">
        <v>710000000</v>
      </c>
      <c r="K1469" s="5" t="s">
        <v>89</v>
      </c>
      <c r="L1469" s="2" t="s">
        <v>754</v>
      </c>
      <c r="M1469" s="6" t="s">
        <v>787</v>
      </c>
      <c r="N1469" s="7" t="s">
        <v>92</v>
      </c>
      <c r="O1469" s="7" t="s">
        <v>93</v>
      </c>
      <c r="P1469" s="3" t="s">
        <v>94</v>
      </c>
      <c r="Q1469" s="8" t="s">
        <v>117</v>
      </c>
      <c r="R1469" s="7" t="s">
        <v>118</v>
      </c>
      <c r="S1469" s="9">
        <v>13</v>
      </c>
      <c r="T1469" s="9">
        <v>351.57</v>
      </c>
      <c r="U1469" s="9">
        <v>0</v>
      </c>
      <c r="V1469" s="9">
        <f t="shared" si="978"/>
        <v>0</v>
      </c>
      <c r="W1469" s="7" t="s">
        <v>97</v>
      </c>
      <c r="X1469" s="2">
        <v>2016</v>
      </c>
      <c r="Y1469" s="2" t="s">
        <v>7793</v>
      </c>
    </row>
    <row r="1470" spans="1:25" s="11" customFormat="1" ht="89.25" customHeight="1" outlineLevel="1" x14ac:dyDescent="0.25">
      <c r="A1470" s="1"/>
      <c r="B1470" s="2" t="s">
        <v>6236</v>
      </c>
      <c r="C1470" s="3" t="s">
        <v>83</v>
      </c>
      <c r="D1470" s="19" t="s">
        <v>2947</v>
      </c>
      <c r="E1470" s="19" t="s">
        <v>2942</v>
      </c>
      <c r="F1470" s="19" t="s">
        <v>2948</v>
      </c>
      <c r="G1470" s="19"/>
      <c r="H1470" s="2" t="s">
        <v>88</v>
      </c>
      <c r="I1470" s="4">
        <v>0</v>
      </c>
      <c r="J1470" s="5">
        <v>710000000</v>
      </c>
      <c r="K1470" s="5" t="s">
        <v>89</v>
      </c>
      <c r="L1470" s="2" t="s">
        <v>754</v>
      </c>
      <c r="M1470" s="6" t="s">
        <v>787</v>
      </c>
      <c r="N1470" s="7" t="s">
        <v>92</v>
      </c>
      <c r="O1470" s="7" t="s">
        <v>93</v>
      </c>
      <c r="P1470" s="3" t="s">
        <v>673</v>
      </c>
      <c r="Q1470" s="8" t="s">
        <v>117</v>
      </c>
      <c r="R1470" s="7" t="s">
        <v>118</v>
      </c>
      <c r="S1470" s="9">
        <v>13</v>
      </c>
      <c r="T1470" s="9">
        <v>351.57</v>
      </c>
      <c r="U1470" s="9">
        <f t="shared" ref="U1470" si="1100">T1470*S1470</f>
        <v>4570.41</v>
      </c>
      <c r="V1470" s="9">
        <f t="shared" ref="V1470" si="1101">U1470*1.12</f>
        <v>5118.8591999999999</v>
      </c>
      <c r="W1470" s="7"/>
      <c r="X1470" s="2">
        <v>2016</v>
      </c>
      <c r="Y1470" s="2"/>
    </row>
    <row r="1471" spans="1:25" s="11" customFormat="1" ht="89.25" customHeight="1" outlineLevel="1" x14ac:dyDescent="0.25">
      <c r="A1471" s="1"/>
      <c r="B1471" s="2" t="s">
        <v>6237</v>
      </c>
      <c r="C1471" s="3" t="s">
        <v>83</v>
      </c>
      <c r="D1471" s="19" t="s">
        <v>2949</v>
      </c>
      <c r="E1471" s="19" t="s">
        <v>2950</v>
      </c>
      <c r="F1471" s="19" t="s">
        <v>2951</v>
      </c>
      <c r="G1471" s="19" t="s">
        <v>2952</v>
      </c>
      <c r="H1471" s="2" t="s">
        <v>88</v>
      </c>
      <c r="I1471" s="4">
        <v>0.4</v>
      </c>
      <c r="J1471" s="5">
        <v>710000000</v>
      </c>
      <c r="K1471" s="5" t="s">
        <v>89</v>
      </c>
      <c r="L1471" s="2" t="s">
        <v>754</v>
      </c>
      <c r="M1471" s="6" t="s">
        <v>787</v>
      </c>
      <c r="N1471" s="7" t="s">
        <v>92</v>
      </c>
      <c r="O1471" s="7" t="s">
        <v>93</v>
      </c>
      <c r="P1471" s="3" t="s">
        <v>94</v>
      </c>
      <c r="Q1471" s="8" t="s">
        <v>117</v>
      </c>
      <c r="R1471" s="7" t="s">
        <v>118</v>
      </c>
      <c r="S1471" s="9">
        <f>4+1</f>
        <v>5</v>
      </c>
      <c r="T1471" s="9">
        <v>1416.96</v>
      </c>
      <c r="U1471" s="9">
        <v>0</v>
      </c>
      <c r="V1471" s="9">
        <f t="shared" si="978"/>
        <v>0</v>
      </c>
      <c r="W1471" s="7" t="s">
        <v>97</v>
      </c>
      <c r="X1471" s="2">
        <v>2016</v>
      </c>
      <c r="Y1471" s="2" t="s">
        <v>7793</v>
      </c>
    </row>
    <row r="1472" spans="1:25" s="11" customFormat="1" ht="89.25" customHeight="1" outlineLevel="1" x14ac:dyDescent="0.25">
      <c r="A1472" s="1"/>
      <c r="B1472" s="2" t="s">
        <v>8113</v>
      </c>
      <c r="C1472" s="3" t="s">
        <v>83</v>
      </c>
      <c r="D1472" s="19" t="s">
        <v>2949</v>
      </c>
      <c r="E1472" s="19" t="s">
        <v>2950</v>
      </c>
      <c r="F1472" s="19" t="s">
        <v>2951</v>
      </c>
      <c r="G1472" s="19" t="s">
        <v>2952</v>
      </c>
      <c r="H1472" s="2" t="s">
        <v>88</v>
      </c>
      <c r="I1472" s="4">
        <v>0</v>
      </c>
      <c r="J1472" s="5">
        <v>710000000</v>
      </c>
      <c r="K1472" s="5" t="s">
        <v>89</v>
      </c>
      <c r="L1472" s="2" t="s">
        <v>754</v>
      </c>
      <c r="M1472" s="6" t="s">
        <v>787</v>
      </c>
      <c r="N1472" s="7" t="s">
        <v>92</v>
      </c>
      <c r="O1472" s="7" t="s">
        <v>93</v>
      </c>
      <c r="P1472" s="3" t="s">
        <v>673</v>
      </c>
      <c r="Q1472" s="8" t="s">
        <v>117</v>
      </c>
      <c r="R1472" s="7" t="s">
        <v>118</v>
      </c>
      <c r="S1472" s="9">
        <f>4+1</f>
        <v>5</v>
      </c>
      <c r="T1472" s="9">
        <v>1416.96</v>
      </c>
      <c r="U1472" s="9">
        <f t="shared" ref="U1472" si="1102">T1472*S1472</f>
        <v>7084.8</v>
      </c>
      <c r="V1472" s="9">
        <f t="shared" ref="V1472" si="1103">U1472*1.12</f>
        <v>7934.9760000000006</v>
      </c>
      <c r="W1472" s="7"/>
      <c r="X1472" s="2">
        <v>2016</v>
      </c>
      <c r="Y1472" s="2"/>
    </row>
    <row r="1473" spans="1:25" s="11" customFormat="1" ht="89.25" customHeight="1" outlineLevel="1" x14ac:dyDescent="0.25">
      <c r="A1473" s="1"/>
      <c r="B1473" s="2" t="s">
        <v>6238</v>
      </c>
      <c r="C1473" s="3" t="s">
        <v>83</v>
      </c>
      <c r="D1473" s="19" t="s">
        <v>2949</v>
      </c>
      <c r="E1473" s="19" t="s">
        <v>2950</v>
      </c>
      <c r="F1473" s="19" t="s">
        <v>2951</v>
      </c>
      <c r="G1473" s="19" t="s">
        <v>2953</v>
      </c>
      <c r="H1473" s="2" t="s">
        <v>88</v>
      </c>
      <c r="I1473" s="4">
        <v>0.4</v>
      </c>
      <c r="J1473" s="5">
        <v>710000000</v>
      </c>
      <c r="K1473" s="5" t="s">
        <v>89</v>
      </c>
      <c r="L1473" s="2" t="s">
        <v>754</v>
      </c>
      <c r="M1473" s="6" t="s">
        <v>787</v>
      </c>
      <c r="N1473" s="7" t="s">
        <v>92</v>
      </c>
      <c r="O1473" s="7" t="s">
        <v>93</v>
      </c>
      <c r="P1473" s="3" t="s">
        <v>94</v>
      </c>
      <c r="Q1473" s="8" t="s">
        <v>117</v>
      </c>
      <c r="R1473" s="7" t="s">
        <v>118</v>
      </c>
      <c r="S1473" s="9">
        <v>9</v>
      </c>
      <c r="T1473" s="9">
        <v>3026.79</v>
      </c>
      <c r="U1473" s="9">
        <v>0</v>
      </c>
      <c r="V1473" s="9">
        <f t="shared" ref="V1473:V1599" si="1104">U1473*1.12</f>
        <v>0</v>
      </c>
      <c r="W1473" s="7" t="s">
        <v>97</v>
      </c>
      <c r="X1473" s="2">
        <v>2016</v>
      </c>
      <c r="Y1473" s="2" t="s">
        <v>7793</v>
      </c>
    </row>
    <row r="1474" spans="1:25" s="11" customFormat="1" ht="89.25" customHeight="1" outlineLevel="1" x14ac:dyDescent="0.25">
      <c r="A1474" s="1"/>
      <c r="B1474" s="2" t="s">
        <v>8114</v>
      </c>
      <c r="C1474" s="3" t="s">
        <v>83</v>
      </c>
      <c r="D1474" s="19" t="s">
        <v>2949</v>
      </c>
      <c r="E1474" s="19" t="s">
        <v>2950</v>
      </c>
      <c r="F1474" s="19" t="s">
        <v>2951</v>
      </c>
      <c r="G1474" s="19" t="s">
        <v>2953</v>
      </c>
      <c r="H1474" s="2" t="s">
        <v>88</v>
      </c>
      <c r="I1474" s="4">
        <v>0</v>
      </c>
      <c r="J1474" s="5">
        <v>710000000</v>
      </c>
      <c r="K1474" s="5" t="s">
        <v>89</v>
      </c>
      <c r="L1474" s="2" t="s">
        <v>754</v>
      </c>
      <c r="M1474" s="6" t="s">
        <v>787</v>
      </c>
      <c r="N1474" s="7" t="s">
        <v>92</v>
      </c>
      <c r="O1474" s="7" t="s">
        <v>93</v>
      </c>
      <c r="P1474" s="3" t="s">
        <v>673</v>
      </c>
      <c r="Q1474" s="8" t="s">
        <v>117</v>
      </c>
      <c r="R1474" s="7" t="s">
        <v>118</v>
      </c>
      <c r="S1474" s="9">
        <v>9</v>
      </c>
      <c r="T1474" s="9">
        <v>3026.79</v>
      </c>
      <c r="U1474" s="9">
        <f t="shared" ref="U1474" si="1105">T1474*S1474</f>
        <v>27241.11</v>
      </c>
      <c r="V1474" s="9">
        <f t="shared" ref="V1474" si="1106">U1474*1.12</f>
        <v>30510.043200000004</v>
      </c>
      <c r="W1474" s="7"/>
      <c r="X1474" s="2">
        <v>2016</v>
      </c>
      <c r="Y1474" s="2"/>
    </row>
    <row r="1475" spans="1:25" s="11" customFormat="1" ht="89.25" customHeight="1" outlineLevel="1" x14ac:dyDescent="0.25">
      <c r="A1475" s="1"/>
      <c r="B1475" s="2" t="s">
        <v>6239</v>
      </c>
      <c r="C1475" s="3" t="s">
        <v>83</v>
      </c>
      <c r="D1475" s="19" t="s">
        <v>2737</v>
      </c>
      <c r="E1475" s="19" t="s">
        <v>2717</v>
      </c>
      <c r="F1475" s="19" t="s">
        <v>2738</v>
      </c>
      <c r="G1475" s="19" t="s">
        <v>2954</v>
      </c>
      <c r="H1475" s="2" t="s">
        <v>88</v>
      </c>
      <c r="I1475" s="4">
        <v>0.4</v>
      </c>
      <c r="J1475" s="5">
        <v>710000000</v>
      </c>
      <c r="K1475" s="5" t="s">
        <v>89</v>
      </c>
      <c r="L1475" s="2" t="s">
        <v>754</v>
      </c>
      <c r="M1475" s="6" t="s">
        <v>787</v>
      </c>
      <c r="N1475" s="7" t="s">
        <v>92</v>
      </c>
      <c r="O1475" s="7" t="s">
        <v>93</v>
      </c>
      <c r="P1475" s="3" t="s">
        <v>94</v>
      </c>
      <c r="Q1475" s="8" t="s">
        <v>117</v>
      </c>
      <c r="R1475" s="7" t="s">
        <v>118</v>
      </c>
      <c r="S1475" s="9">
        <f>60+32+36</f>
        <v>128</v>
      </c>
      <c r="T1475" s="9">
        <v>1008.9</v>
      </c>
      <c r="U1475" s="9">
        <v>0</v>
      </c>
      <c r="V1475" s="9">
        <f t="shared" si="1104"/>
        <v>0</v>
      </c>
      <c r="W1475" s="7" t="s">
        <v>97</v>
      </c>
      <c r="X1475" s="2">
        <v>2016</v>
      </c>
      <c r="Y1475" s="2" t="s">
        <v>7793</v>
      </c>
    </row>
    <row r="1476" spans="1:25" s="11" customFormat="1" ht="89.25" customHeight="1" outlineLevel="1" x14ac:dyDescent="0.25">
      <c r="A1476" s="1"/>
      <c r="B1476" s="2" t="s">
        <v>8115</v>
      </c>
      <c r="C1476" s="3" t="s">
        <v>83</v>
      </c>
      <c r="D1476" s="19" t="s">
        <v>2737</v>
      </c>
      <c r="E1476" s="19" t="s">
        <v>2717</v>
      </c>
      <c r="F1476" s="19" t="s">
        <v>2738</v>
      </c>
      <c r="G1476" s="19" t="s">
        <v>2954</v>
      </c>
      <c r="H1476" s="2" t="s">
        <v>88</v>
      </c>
      <c r="I1476" s="4">
        <v>0</v>
      </c>
      <c r="J1476" s="5">
        <v>710000000</v>
      </c>
      <c r="K1476" s="5" t="s">
        <v>89</v>
      </c>
      <c r="L1476" s="2" t="s">
        <v>754</v>
      </c>
      <c r="M1476" s="6" t="s">
        <v>787</v>
      </c>
      <c r="N1476" s="7" t="s">
        <v>92</v>
      </c>
      <c r="O1476" s="7" t="s">
        <v>93</v>
      </c>
      <c r="P1476" s="3" t="s">
        <v>673</v>
      </c>
      <c r="Q1476" s="8" t="s">
        <v>117</v>
      </c>
      <c r="R1476" s="7" t="s">
        <v>118</v>
      </c>
      <c r="S1476" s="9">
        <f>60+32+36</f>
        <v>128</v>
      </c>
      <c r="T1476" s="9">
        <v>1008.9</v>
      </c>
      <c r="U1476" s="9">
        <f t="shared" ref="U1476" si="1107">T1476*S1476</f>
        <v>129139.2</v>
      </c>
      <c r="V1476" s="9">
        <f t="shared" ref="V1476" si="1108">U1476*1.12</f>
        <v>144635.90400000001</v>
      </c>
      <c r="W1476" s="7"/>
      <c r="X1476" s="2">
        <v>2016</v>
      </c>
      <c r="Y1476" s="2"/>
    </row>
    <row r="1477" spans="1:25" s="11" customFormat="1" ht="89.25" customHeight="1" outlineLevel="1" x14ac:dyDescent="0.25">
      <c r="A1477" s="1"/>
      <c r="B1477" s="2" t="s">
        <v>6240</v>
      </c>
      <c r="C1477" s="3" t="s">
        <v>83</v>
      </c>
      <c r="D1477" s="19" t="s">
        <v>2910</v>
      </c>
      <c r="E1477" s="19" t="s">
        <v>2767</v>
      </c>
      <c r="F1477" s="19" t="s">
        <v>2911</v>
      </c>
      <c r="G1477" s="19" t="s">
        <v>2955</v>
      </c>
      <c r="H1477" s="2" t="s">
        <v>88</v>
      </c>
      <c r="I1477" s="4">
        <v>0.4</v>
      </c>
      <c r="J1477" s="5">
        <v>710000000</v>
      </c>
      <c r="K1477" s="5" t="s">
        <v>89</v>
      </c>
      <c r="L1477" s="2" t="s">
        <v>754</v>
      </c>
      <c r="M1477" s="6" t="s">
        <v>787</v>
      </c>
      <c r="N1477" s="7" t="s">
        <v>92</v>
      </c>
      <c r="O1477" s="7" t="s">
        <v>93</v>
      </c>
      <c r="P1477" s="3" t="s">
        <v>94</v>
      </c>
      <c r="Q1477" s="8" t="s">
        <v>117</v>
      </c>
      <c r="R1477" s="7" t="s">
        <v>118</v>
      </c>
      <c r="S1477" s="9">
        <f>110+300+8+3</f>
        <v>421</v>
      </c>
      <c r="T1477" s="9">
        <v>1142.8599999999999</v>
      </c>
      <c r="U1477" s="9">
        <v>0</v>
      </c>
      <c r="V1477" s="9">
        <f t="shared" si="1104"/>
        <v>0</v>
      </c>
      <c r="W1477" s="7" t="s">
        <v>97</v>
      </c>
      <c r="X1477" s="2">
        <v>2016</v>
      </c>
      <c r="Y1477" s="2" t="s">
        <v>7793</v>
      </c>
    </row>
    <row r="1478" spans="1:25" s="11" customFormat="1" ht="89.25" customHeight="1" outlineLevel="1" x14ac:dyDescent="0.25">
      <c r="A1478" s="1"/>
      <c r="B1478" s="2" t="s">
        <v>8116</v>
      </c>
      <c r="C1478" s="3" t="s">
        <v>83</v>
      </c>
      <c r="D1478" s="19" t="s">
        <v>2910</v>
      </c>
      <c r="E1478" s="19" t="s">
        <v>2767</v>
      </c>
      <c r="F1478" s="19" t="s">
        <v>2911</v>
      </c>
      <c r="G1478" s="19" t="s">
        <v>2955</v>
      </c>
      <c r="H1478" s="2" t="s">
        <v>88</v>
      </c>
      <c r="I1478" s="4">
        <v>0</v>
      </c>
      <c r="J1478" s="5">
        <v>710000000</v>
      </c>
      <c r="K1478" s="5" t="s">
        <v>89</v>
      </c>
      <c r="L1478" s="2" t="s">
        <v>754</v>
      </c>
      <c r="M1478" s="6" t="s">
        <v>787</v>
      </c>
      <c r="N1478" s="7" t="s">
        <v>92</v>
      </c>
      <c r="O1478" s="7" t="s">
        <v>93</v>
      </c>
      <c r="P1478" s="3" t="s">
        <v>673</v>
      </c>
      <c r="Q1478" s="8" t="s">
        <v>117</v>
      </c>
      <c r="R1478" s="7" t="s">
        <v>118</v>
      </c>
      <c r="S1478" s="9">
        <f>110+300+8+3</f>
        <v>421</v>
      </c>
      <c r="T1478" s="9">
        <v>1142.8599999999999</v>
      </c>
      <c r="U1478" s="9">
        <f t="shared" ref="U1478" si="1109">T1478*S1478</f>
        <v>481144.05999999994</v>
      </c>
      <c r="V1478" s="9">
        <f t="shared" ref="V1478" si="1110">U1478*1.12</f>
        <v>538881.34719999996</v>
      </c>
      <c r="W1478" s="7"/>
      <c r="X1478" s="2">
        <v>2016</v>
      </c>
      <c r="Y1478" s="2"/>
    </row>
    <row r="1479" spans="1:25" s="11" customFormat="1" ht="89.25" customHeight="1" outlineLevel="1" x14ac:dyDescent="0.25">
      <c r="A1479" s="1"/>
      <c r="B1479" s="2" t="s">
        <v>6241</v>
      </c>
      <c r="C1479" s="3" t="s">
        <v>83</v>
      </c>
      <c r="D1479" s="19" t="s">
        <v>2956</v>
      </c>
      <c r="E1479" s="19" t="s">
        <v>2767</v>
      </c>
      <c r="F1479" s="19" t="s">
        <v>2957</v>
      </c>
      <c r="G1479" s="19" t="s">
        <v>2958</v>
      </c>
      <c r="H1479" s="2" t="s">
        <v>88</v>
      </c>
      <c r="I1479" s="4">
        <v>0.4</v>
      </c>
      <c r="J1479" s="5">
        <v>710000000</v>
      </c>
      <c r="K1479" s="5" t="s">
        <v>89</v>
      </c>
      <c r="L1479" s="2" t="s">
        <v>754</v>
      </c>
      <c r="M1479" s="6" t="s">
        <v>787</v>
      </c>
      <c r="N1479" s="7" t="s">
        <v>92</v>
      </c>
      <c r="O1479" s="7" t="s">
        <v>93</v>
      </c>
      <c r="P1479" s="3" t="s">
        <v>94</v>
      </c>
      <c r="Q1479" s="8" t="s">
        <v>117</v>
      </c>
      <c r="R1479" s="7" t="s">
        <v>118</v>
      </c>
      <c r="S1479" s="9">
        <v>111</v>
      </c>
      <c r="T1479" s="9">
        <v>2053.6</v>
      </c>
      <c r="U1479" s="9">
        <v>0</v>
      </c>
      <c r="V1479" s="9">
        <f t="shared" si="1104"/>
        <v>0</v>
      </c>
      <c r="W1479" s="7" t="s">
        <v>97</v>
      </c>
      <c r="X1479" s="2">
        <v>2016</v>
      </c>
      <c r="Y1479" s="2" t="s">
        <v>7793</v>
      </c>
    </row>
    <row r="1480" spans="1:25" s="11" customFormat="1" ht="89.25" customHeight="1" outlineLevel="1" x14ac:dyDescent="0.25">
      <c r="A1480" s="1"/>
      <c r="B1480" s="2" t="s">
        <v>8117</v>
      </c>
      <c r="C1480" s="3" t="s">
        <v>83</v>
      </c>
      <c r="D1480" s="19" t="s">
        <v>2956</v>
      </c>
      <c r="E1480" s="19" t="s">
        <v>2767</v>
      </c>
      <c r="F1480" s="19" t="s">
        <v>2957</v>
      </c>
      <c r="G1480" s="19" t="s">
        <v>2958</v>
      </c>
      <c r="H1480" s="2" t="s">
        <v>88</v>
      </c>
      <c r="I1480" s="4">
        <v>0</v>
      </c>
      <c r="J1480" s="5">
        <v>710000000</v>
      </c>
      <c r="K1480" s="5" t="s">
        <v>89</v>
      </c>
      <c r="L1480" s="2" t="s">
        <v>754</v>
      </c>
      <c r="M1480" s="6" t="s">
        <v>787</v>
      </c>
      <c r="N1480" s="7" t="s">
        <v>92</v>
      </c>
      <c r="O1480" s="7" t="s">
        <v>93</v>
      </c>
      <c r="P1480" s="3" t="s">
        <v>673</v>
      </c>
      <c r="Q1480" s="8" t="s">
        <v>117</v>
      </c>
      <c r="R1480" s="7" t="s">
        <v>118</v>
      </c>
      <c r="S1480" s="9">
        <v>111</v>
      </c>
      <c r="T1480" s="9">
        <v>2053.6</v>
      </c>
      <c r="U1480" s="9">
        <f t="shared" ref="U1480" si="1111">T1480*S1480</f>
        <v>227949.59999999998</v>
      </c>
      <c r="V1480" s="9">
        <f t="shared" ref="V1480" si="1112">U1480*1.12</f>
        <v>255303.552</v>
      </c>
      <c r="W1480" s="7"/>
      <c r="X1480" s="2">
        <v>2016</v>
      </c>
      <c r="Y1480" s="2"/>
    </row>
    <row r="1481" spans="1:25" s="11" customFormat="1" ht="89.25" customHeight="1" outlineLevel="1" x14ac:dyDescent="0.25">
      <c r="A1481" s="1"/>
      <c r="B1481" s="2" t="s">
        <v>6242</v>
      </c>
      <c r="C1481" s="3" t="s">
        <v>83</v>
      </c>
      <c r="D1481" s="19" t="s">
        <v>2705</v>
      </c>
      <c r="E1481" s="19" t="s">
        <v>2706</v>
      </c>
      <c r="F1481" s="19" t="s">
        <v>2707</v>
      </c>
      <c r="G1481" s="19" t="s">
        <v>2959</v>
      </c>
      <c r="H1481" s="2" t="s">
        <v>88</v>
      </c>
      <c r="I1481" s="4">
        <v>0.4</v>
      </c>
      <c r="J1481" s="5">
        <v>710000000</v>
      </c>
      <c r="K1481" s="5" t="s">
        <v>89</v>
      </c>
      <c r="L1481" s="2" t="s">
        <v>754</v>
      </c>
      <c r="M1481" s="6" t="s">
        <v>787</v>
      </c>
      <c r="N1481" s="7" t="s">
        <v>92</v>
      </c>
      <c r="O1481" s="7" t="s">
        <v>93</v>
      </c>
      <c r="P1481" s="3" t="s">
        <v>94</v>
      </c>
      <c r="Q1481" s="8" t="s">
        <v>117</v>
      </c>
      <c r="R1481" s="7" t="s">
        <v>118</v>
      </c>
      <c r="S1481" s="9">
        <f>134+3</f>
        <v>137</v>
      </c>
      <c r="T1481" s="9">
        <v>1633.9</v>
      </c>
      <c r="U1481" s="9">
        <v>0</v>
      </c>
      <c r="V1481" s="9">
        <f t="shared" si="1104"/>
        <v>0</v>
      </c>
      <c r="W1481" s="7" t="s">
        <v>97</v>
      </c>
      <c r="X1481" s="2">
        <v>2016</v>
      </c>
      <c r="Y1481" s="2" t="s">
        <v>7793</v>
      </c>
    </row>
    <row r="1482" spans="1:25" s="11" customFormat="1" ht="89.25" customHeight="1" outlineLevel="1" x14ac:dyDescent="0.25">
      <c r="A1482" s="1"/>
      <c r="B1482" s="2" t="s">
        <v>8118</v>
      </c>
      <c r="C1482" s="3" t="s">
        <v>83</v>
      </c>
      <c r="D1482" s="19" t="s">
        <v>2705</v>
      </c>
      <c r="E1482" s="19" t="s">
        <v>2706</v>
      </c>
      <c r="F1482" s="19" t="s">
        <v>2707</v>
      </c>
      <c r="G1482" s="19" t="s">
        <v>2959</v>
      </c>
      <c r="H1482" s="2" t="s">
        <v>88</v>
      </c>
      <c r="I1482" s="4">
        <v>0</v>
      </c>
      <c r="J1482" s="5">
        <v>710000000</v>
      </c>
      <c r="K1482" s="5" t="s">
        <v>89</v>
      </c>
      <c r="L1482" s="2" t="s">
        <v>754</v>
      </c>
      <c r="M1482" s="6" t="s">
        <v>787</v>
      </c>
      <c r="N1482" s="7" t="s">
        <v>92</v>
      </c>
      <c r="O1482" s="7" t="s">
        <v>93</v>
      </c>
      <c r="P1482" s="3" t="s">
        <v>673</v>
      </c>
      <c r="Q1482" s="8" t="s">
        <v>117</v>
      </c>
      <c r="R1482" s="7" t="s">
        <v>118</v>
      </c>
      <c r="S1482" s="9">
        <f>134+3</f>
        <v>137</v>
      </c>
      <c r="T1482" s="9">
        <v>1633.9</v>
      </c>
      <c r="U1482" s="9">
        <f t="shared" ref="U1482" si="1113">T1482*S1482</f>
        <v>223844.30000000002</v>
      </c>
      <c r="V1482" s="9">
        <f t="shared" ref="V1482" si="1114">U1482*1.12</f>
        <v>250705.61600000004</v>
      </c>
      <c r="W1482" s="7"/>
      <c r="X1482" s="2">
        <v>2016</v>
      </c>
      <c r="Y1482" s="2"/>
    </row>
    <row r="1483" spans="1:25" s="11" customFormat="1" ht="89.25" customHeight="1" outlineLevel="1" x14ac:dyDescent="0.25">
      <c r="A1483" s="1"/>
      <c r="B1483" s="2" t="s">
        <v>6243</v>
      </c>
      <c r="C1483" s="3" t="s">
        <v>83</v>
      </c>
      <c r="D1483" s="19" t="s">
        <v>2960</v>
      </c>
      <c r="E1483" s="19" t="s">
        <v>2717</v>
      </c>
      <c r="F1483" s="19" t="s">
        <v>2961</v>
      </c>
      <c r="G1483" s="19" t="s">
        <v>2962</v>
      </c>
      <c r="H1483" s="2" t="s">
        <v>88</v>
      </c>
      <c r="I1483" s="4">
        <v>0.4</v>
      </c>
      <c r="J1483" s="5">
        <v>710000000</v>
      </c>
      <c r="K1483" s="5" t="s">
        <v>89</v>
      </c>
      <c r="L1483" s="2" t="s">
        <v>754</v>
      </c>
      <c r="M1483" s="6" t="s">
        <v>787</v>
      </c>
      <c r="N1483" s="7" t="s">
        <v>92</v>
      </c>
      <c r="O1483" s="7" t="s">
        <v>93</v>
      </c>
      <c r="P1483" s="3" t="s">
        <v>94</v>
      </c>
      <c r="Q1483" s="8" t="s">
        <v>117</v>
      </c>
      <c r="R1483" s="7" t="s">
        <v>118</v>
      </c>
      <c r="S1483" s="9">
        <f>33+80</f>
        <v>113</v>
      </c>
      <c r="T1483" s="9">
        <v>428.6</v>
      </c>
      <c r="U1483" s="9">
        <v>0</v>
      </c>
      <c r="V1483" s="9">
        <f t="shared" si="1104"/>
        <v>0</v>
      </c>
      <c r="W1483" s="7" t="s">
        <v>97</v>
      </c>
      <c r="X1483" s="2">
        <v>2016</v>
      </c>
      <c r="Y1483" s="2" t="s">
        <v>7793</v>
      </c>
    </row>
    <row r="1484" spans="1:25" s="11" customFormat="1" ht="89.25" customHeight="1" outlineLevel="1" x14ac:dyDescent="0.25">
      <c r="A1484" s="1"/>
      <c r="B1484" s="2" t="s">
        <v>8119</v>
      </c>
      <c r="C1484" s="3" t="s">
        <v>83</v>
      </c>
      <c r="D1484" s="19" t="s">
        <v>2960</v>
      </c>
      <c r="E1484" s="19" t="s">
        <v>2717</v>
      </c>
      <c r="F1484" s="19" t="s">
        <v>2961</v>
      </c>
      <c r="G1484" s="19" t="s">
        <v>2962</v>
      </c>
      <c r="H1484" s="2" t="s">
        <v>88</v>
      </c>
      <c r="I1484" s="4">
        <v>0</v>
      </c>
      <c r="J1484" s="5">
        <v>710000000</v>
      </c>
      <c r="K1484" s="5" t="s">
        <v>89</v>
      </c>
      <c r="L1484" s="2" t="s">
        <v>754</v>
      </c>
      <c r="M1484" s="6" t="s">
        <v>787</v>
      </c>
      <c r="N1484" s="7" t="s">
        <v>92</v>
      </c>
      <c r="O1484" s="7" t="s">
        <v>93</v>
      </c>
      <c r="P1484" s="3" t="s">
        <v>673</v>
      </c>
      <c r="Q1484" s="8" t="s">
        <v>117</v>
      </c>
      <c r="R1484" s="7" t="s">
        <v>118</v>
      </c>
      <c r="S1484" s="9">
        <f>33+80</f>
        <v>113</v>
      </c>
      <c r="T1484" s="9">
        <v>428.6</v>
      </c>
      <c r="U1484" s="9">
        <f t="shared" ref="U1484" si="1115">T1484*S1484</f>
        <v>48431.8</v>
      </c>
      <c r="V1484" s="9">
        <f t="shared" ref="V1484" si="1116">U1484*1.12</f>
        <v>54243.616000000009</v>
      </c>
      <c r="W1484" s="7"/>
      <c r="X1484" s="2">
        <v>2016</v>
      </c>
      <c r="Y1484" s="2"/>
    </row>
    <row r="1485" spans="1:25" s="11" customFormat="1" ht="89.25" customHeight="1" outlineLevel="1" x14ac:dyDescent="0.25">
      <c r="A1485" s="1"/>
      <c r="B1485" s="2" t="s">
        <v>6244</v>
      </c>
      <c r="C1485" s="3" t="s">
        <v>83</v>
      </c>
      <c r="D1485" s="19" t="s">
        <v>2963</v>
      </c>
      <c r="E1485" s="19" t="s">
        <v>2717</v>
      </c>
      <c r="F1485" s="19" t="s">
        <v>2964</v>
      </c>
      <c r="G1485" s="19" t="s">
        <v>2965</v>
      </c>
      <c r="H1485" s="2" t="s">
        <v>88</v>
      </c>
      <c r="I1485" s="4">
        <v>0.4</v>
      </c>
      <c r="J1485" s="5">
        <v>710000000</v>
      </c>
      <c r="K1485" s="5" t="s">
        <v>89</v>
      </c>
      <c r="L1485" s="2" t="s">
        <v>754</v>
      </c>
      <c r="M1485" s="6" t="s">
        <v>787</v>
      </c>
      <c r="N1485" s="7" t="s">
        <v>92</v>
      </c>
      <c r="O1485" s="7" t="s">
        <v>93</v>
      </c>
      <c r="P1485" s="3" t="s">
        <v>94</v>
      </c>
      <c r="Q1485" s="8" t="s">
        <v>117</v>
      </c>
      <c r="R1485" s="7" t="s">
        <v>118</v>
      </c>
      <c r="S1485" s="9">
        <f>68+22+49+111+55</f>
        <v>305</v>
      </c>
      <c r="T1485" s="9">
        <v>781.25</v>
      </c>
      <c r="U1485" s="9">
        <v>0</v>
      </c>
      <c r="V1485" s="9">
        <f t="shared" si="1104"/>
        <v>0</v>
      </c>
      <c r="W1485" s="7" t="s">
        <v>97</v>
      </c>
      <c r="X1485" s="2">
        <v>2016</v>
      </c>
      <c r="Y1485" s="2" t="s">
        <v>7793</v>
      </c>
    </row>
    <row r="1486" spans="1:25" s="11" customFormat="1" ht="89.25" customHeight="1" outlineLevel="1" x14ac:dyDescent="0.25">
      <c r="A1486" s="1"/>
      <c r="B1486" s="2" t="s">
        <v>8120</v>
      </c>
      <c r="C1486" s="3" t="s">
        <v>83</v>
      </c>
      <c r="D1486" s="19" t="s">
        <v>2963</v>
      </c>
      <c r="E1486" s="19" t="s">
        <v>2717</v>
      </c>
      <c r="F1486" s="19" t="s">
        <v>2964</v>
      </c>
      <c r="G1486" s="19" t="s">
        <v>2965</v>
      </c>
      <c r="H1486" s="2" t="s">
        <v>88</v>
      </c>
      <c r="I1486" s="4">
        <v>0</v>
      </c>
      <c r="J1486" s="5">
        <v>710000000</v>
      </c>
      <c r="K1486" s="5" t="s">
        <v>89</v>
      </c>
      <c r="L1486" s="2" t="s">
        <v>754</v>
      </c>
      <c r="M1486" s="6" t="s">
        <v>787</v>
      </c>
      <c r="N1486" s="7" t="s">
        <v>92</v>
      </c>
      <c r="O1486" s="7" t="s">
        <v>93</v>
      </c>
      <c r="P1486" s="3" t="s">
        <v>673</v>
      </c>
      <c r="Q1486" s="8" t="s">
        <v>117</v>
      </c>
      <c r="R1486" s="7" t="s">
        <v>118</v>
      </c>
      <c r="S1486" s="9">
        <f>68+22+49+111+55</f>
        <v>305</v>
      </c>
      <c r="T1486" s="9">
        <v>781.25</v>
      </c>
      <c r="U1486" s="9">
        <f t="shared" ref="U1486" si="1117">T1486*S1486</f>
        <v>238281.25</v>
      </c>
      <c r="V1486" s="9">
        <f t="shared" ref="V1486" si="1118">U1486*1.12</f>
        <v>266875</v>
      </c>
      <c r="W1486" s="7"/>
      <c r="X1486" s="2">
        <v>2016</v>
      </c>
      <c r="Y1486" s="2"/>
    </row>
    <row r="1487" spans="1:25" s="11" customFormat="1" ht="89.25" customHeight="1" outlineLevel="1" x14ac:dyDescent="0.25">
      <c r="A1487" s="1"/>
      <c r="B1487" s="2" t="s">
        <v>6245</v>
      </c>
      <c r="C1487" s="3" t="s">
        <v>83</v>
      </c>
      <c r="D1487" s="19" t="s">
        <v>2963</v>
      </c>
      <c r="E1487" s="19" t="s">
        <v>2717</v>
      </c>
      <c r="F1487" s="19" t="s">
        <v>2964</v>
      </c>
      <c r="G1487" s="19" t="s">
        <v>2966</v>
      </c>
      <c r="H1487" s="2" t="s">
        <v>88</v>
      </c>
      <c r="I1487" s="4">
        <v>0.4</v>
      </c>
      <c r="J1487" s="5">
        <v>710000000</v>
      </c>
      <c r="K1487" s="5" t="s">
        <v>89</v>
      </c>
      <c r="L1487" s="2" t="s">
        <v>754</v>
      </c>
      <c r="M1487" s="6" t="s">
        <v>787</v>
      </c>
      <c r="N1487" s="7" t="s">
        <v>92</v>
      </c>
      <c r="O1487" s="7" t="s">
        <v>93</v>
      </c>
      <c r="P1487" s="3" t="s">
        <v>94</v>
      </c>
      <c r="Q1487" s="8" t="s">
        <v>117</v>
      </c>
      <c r="R1487" s="7" t="s">
        <v>118</v>
      </c>
      <c r="S1487" s="9">
        <v>150</v>
      </c>
      <c r="T1487" s="9">
        <v>1750</v>
      </c>
      <c r="U1487" s="9">
        <v>0</v>
      </c>
      <c r="V1487" s="9">
        <f t="shared" si="1104"/>
        <v>0</v>
      </c>
      <c r="W1487" s="7" t="s">
        <v>97</v>
      </c>
      <c r="X1487" s="2">
        <v>2016</v>
      </c>
      <c r="Y1487" s="2" t="s">
        <v>7793</v>
      </c>
    </row>
    <row r="1488" spans="1:25" s="11" customFormat="1" ht="89.25" customHeight="1" outlineLevel="1" x14ac:dyDescent="0.25">
      <c r="A1488" s="1"/>
      <c r="B1488" s="2" t="s">
        <v>8121</v>
      </c>
      <c r="C1488" s="3" t="s">
        <v>83</v>
      </c>
      <c r="D1488" s="19" t="s">
        <v>2963</v>
      </c>
      <c r="E1488" s="19" t="s">
        <v>2717</v>
      </c>
      <c r="F1488" s="19" t="s">
        <v>2964</v>
      </c>
      <c r="G1488" s="19" t="s">
        <v>2966</v>
      </c>
      <c r="H1488" s="2" t="s">
        <v>88</v>
      </c>
      <c r="I1488" s="4">
        <v>0</v>
      </c>
      <c r="J1488" s="5">
        <v>710000000</v>
      </c>
      <c r="K1488" s="5" t="s">
        <v>89</v>
      </c>
      <c r="L1488" s="2" t="s">
        <v>754</v>
      </c>
      <c r="M1488" s="6" t="s">
        <v>787</v>
      </c>
      <c r="N1488" s="7" t="s">
        <v>92</v>
      </c>
      <c r="O1488" s="7" t="s">
        <v>93</v>
      </c>
      <c r="P1488" s="3" t="s">
        <v>673</v>
      </c>
      <c r="Q1488" s="8" t="s">
        <v>117</v>
      </c>
      <c r="R1488" s="7" t="s">
        <v>118</v>
      </c>
      <c r="S1488" s="9">
        <v>150</v>
      </c>
      <c r="T1488" s="9">
        <v>1750</v>
      </c>
      <c r="U1488" s="9">
        <f t="shared" ref="U1488" si="1119">T1488*S1488</f>
        <v>262500</v>
      </c>
      <c r="V1488" s="9">
        <f t="shared" ref="V1488" si="1120">U1488*1.12</f>
        <v>294000</v>
      </c>
      <c r="W1488" s="7"/>
      <c r="X1488" s="2">
        <v>2016</v>
      </c>
      <c r="Y1488" s="2"/>
    </row>
    <row r="1489" spans="1:25" s="11" customFormat="1" ht="89.25" customHeight="1" outlineLevel="1" x14ac:dyDescent="0.25">
      <c r="A1489" s="1"/>
      <c r="B1489" s="2" t="s">
        <v>6246</v>
      </c>
      <c r="C1489" s="3" t="s">
        <v>83</v>
      </c>
      <c r="D1489" s="19" t="s">
        <v>2967</v>
      </c>
      <c r="E1489" s="19" t="s">
        <v>2763</v>
      </c>
      <c r="F1489" s="19" t="s">
        <v>2968</v>
      </c>
      <c r="G1489" s="19" t="s">
        <v>2969</v>
      </c>
      <c r="H1489" s="2" t="s">
        <v>88</v>
      </c>
      <c r="I1489" s="4">
        <v>0.4</v>
      </c>
      <c r="J1489" s="5">
        <v>710000000</v>
      </c>
      <c r="K1489" s="5" t="s">
        <v>89</v>
      </c>
      <c r="L1489" s="2" t="s">
        <v>754</v>
      </c>
      <c r="M1489" s="6" t="s">
        <v>787</v>
      </c>
      <c r="N1489" s="7" t="s">
        <v>92</v>
      </c>
      <c r="O1489" s="7" t="s">
        <v>93</v>
      </c>
      <c r="P1489" s="3" t="s">
        <v>94</v>
      </c>
      <c r="Q1489" s="8" t="s">
        <v>117</v>
      </c>
      <c r="R1489" s="7" t="s">
        <v>118</v>
      </c>
      <c r="S1489" s="9">
        <f>18+4+1</f>
        <v>23</v>
      </c>
      <c r="T1489" s="9">
        <v>22316.959999999999</v>
      </c>
      <c r="U1489" s="9">
        <v>0</v>
      </c>
      <c r="V1489" s="9">
        <f t="shared" si="1104"/>
        <v>0</v>
      </c>
      <c r="W1489" s="7" t="s">
        <v>97</v>
      </c>
      <c r="X1489" s="2">
        <v>2016</v>
      </c>
      <c r="Y1489" s="2" t="s">
        <v>7793</v>
      </c>
    </row>
    <row r="1490" spans="1:25" s="11" customFormat="1" ht="89.25" customHeight="1" outlineLevel="1" x14ac:dyDescent="0.25">
      <c r="A1490" s="1"/>
      <c r="B1490" s="2" t="s">
        <v>8122</v>
      </c>
      <c r="C1490" s="3" t="s">
        <v>83</v>
      </c>
      <c r="D1490" s="19" t="s">
        <v>2967</v>
      </c>
      <c r="E1490" s="19" t="s">
        <v>2763</v>
      </c>
      <c r="F1490" s="19" t="s">
        <v>2968</v>
      </c>
      <c r="G1490" s="19" t="s">
        <v>2969</v>
      </c>
      <c r="H1490" s="2" t="s">
        <v>88</v>
      </c>
      <c r="I1490" s="4">
        <v>0</v>
      </c>
      <c r="J1490" s="5">
        <v>710000000</v>
      </c>
      <c r="K1490" s="5" t="s">
        <v>89</v>
      </c>
      <c r="L1490" s="2" t="s">
        <v>754</v>
      </c>
      <c r="M1490" s="6" t="s">
        <v>787</v>
      </c>
      <c r="N1490" s="7" t="s">
        <v>92</v>
      </c>
      <c r="O1490" s="7" t="s">
        <v>93</v>
      </c>
      <c r="P1490" s="3" t="s">
        <v>673</v>
      </c>
      <c r="Q1490" s="8" t="s">
        <v>117</v>
      </c>
      <c r="R1490" s="7" t="s">
        <v>118</v>
      </c>
      <c r="S1490" s="9">
        <f>18+4+1</f>
        <v>23</v>
      </c>
      <c r="T1490" s="9">
        <v>22316.959999999999</v>
      </c>
      <c r="U1490" s="9">
        <f t="shared" ref="U1490" si="1121">T1490*S1490</f>
        <v>513290.07999999996</v>
      </c>
      <c r="V1490" s="9">
        <f t="shared" ref="V1490" si="1122">U1490*1.12</f>
        <v>574884.88959999999</v>
      </c>
      <c r="W1490" s="7"/>
      <c r="X1490" s="2">
        <v>2016</v>
      </c>
      <c r="Y1490" s="2"/>
    </row>
    <row r="1491" spans="1:25" s="11" customFormat="1" ht="89.25" customHeight="1" outlineLevel="1" x14ac:dyDescent="0.25">
      <c r="A1491" s="1"/>
      <c r="B1491" s="2" t="s">
        <v>6247</v>
      </c>
      <c r="C1491" s="3" t="s">
        <v>83</v>
      </c>
      <c r="D1491" s="19" t="s">
        <v>2970</v>
      </c>
      <c r="E1491" s="19" t="s">
        <v>2763</v>
      </c>
      <c r="F1491" s="19" t="s">
        <v>2971</v>
      </c>
      <c r="G1491" s="19" t="s">
        <v>2972</v>
      </c>
      <c r="H1491" s="2" t="s">
        <v>88</v>
      </c>
      <c r="I1491" s="4">
        <v>0.4</v>
      </c>
      <c r="J1491" s="5">
        <v>710000000</v>
      </c>
      <c r="K1491" s="5" t="s">
        <v>89</v>
      </c>
      <c r="L1491" s="2" t="s">
        <v>754</v>
      </c>
      <c r="M1491" s="6" t="s">
        <v>787</v>
      </c>
      <c r="N1491" s="7" t="s">
        <v>92</v>
      </c>
      <c r="O1491" s="7" t="s">
        <v>93</v>
      </c>
      <c r="P1491" s="3" t="s">
        <v>94</v>
      </c>
      <c r="Q1491" s="8" t="s">
        <v>117</v>
      </c>
      <c r="R1491" s="7" t="s">
        <v>118</v>
      </c>
      <c r="S1491" s="9">
        <v>45</v>
      </c>
      <c r="T1491" s="9">
        <v>294.63</v>
      </c>
      <c r="U1491" s="9">
        <v>0</v>
      </c>
      <c r="V1491" s="9">
        <f t="shared" si="1104"/>
        <v>0</v>
      </c>
      <c r="W1491" s="7" t="s">
        <v>97</v>
      </c>
      <c r="X1491" s="2">
        <v>2016</v>
      </c>
      <c r="Y1491" s="2" t="s">
        <v>7793</v>
      </c>
    </row>
    <row r="1492" spans="1:25" s="11" customFormat="1" ht="89.25" customHeight="1" outlineLevel="1" x14ac:dyDescent="0.25">
      <c r="A1492" s="1"/>
      <c r="B1492" s="2" t="s">
        <v>8123</v>
      </c>
      <c r="C1492" s="3" t="s">
        <v>83</v>
      </c>
      <c r="D1492" s="19" t="s">
        <v>2970</v>
      </c>
      <c r="E1492" s="19" t="s">
        <v>2763</v>
      </c>
      <c r="F1492" s="19" t="s">
        <v>2971</v>
      </c>
      <c r="G1492" s="19" t="s">
        <v>2972</v>
      </c>
      <c r="H1492" s="2" t="s">
        <v>88</v>
      </c>
      <c r="I1492" s="4">
        <v>0</v>
      </c>
      <c r="J1492" s="5">
        <v>710000000</v>
      </c>
      <c r="K1492" s="5" t="s">
        <v>89</v>
      </c>
      <c r="L1492" s="2" t="s">
        <v>754</v>
      </c>
      <c r="M1492" s="6" t="s">
        <v>787</v>
      </c>
      <c r="N1492" s="7" t="s">
        <v>92</v>
      </c>
      <c r="O1492" s="7" t="s">
        <v>93</v>
      </c>
      <c r="P1492" s="3" t="s">
        <v>673</v>
      </c>
      <c r="Q1492" s="8" t="s">
        <v>117</v>
      </c>
      <c r="R1492" s="7" t="s">
        <v>118</v>
      </c>
      <c r="S1492" s="9">
        <v>45</v>
      </c>
      <c r="T1492" s="9">
        <v>294.63</v>
      </c>
      <c r="U1492" s="9">
        <f t="shared" ref="U1492" si="1123">T1492*S1492</f>
        <v>13258.35</v>
      </c>
      <c r="V1492" s="9">
        <f t="shared" ref="V1492" si="1124">U1492*1.12</f>
        <v>14849.352000000003</v>
      </c>
      <c r="W1492" s="7"/>
      <c r="X1492" s="2">
        <v>2016</v>
      </c>
      <c r="Y1492" s="2"/>
    </row>
    <row r="1493" spans="1:25" s="11" customFormat="1" ht="89.25" customHeight="1" outlineLevel="1" x14ac:dyDescent="0.25">
      <c r="A1493" s="1"/>
      <c r="B1493" s="2" t="s">
        <v>6248</v>
      </c>
      <c r="C1493" s="3" t="s">
        <v>83</v>
      </c>
      <c r="D1493" s="19" t="s">
        <v>2970</v>
      </c>
      <c r="E1493" s="19" t="s">
        <v>2763</v>
      </c>
      <c r="F1493" s="19" t="s">
        <v>2971</v>
      </c>
      <c r="G1493" s="19" t="s">
        <v>2973</v>
      </c>
      <c r="H1493" s="2" t="s">
        <v>88</v>
      </c>
      <c r="I1493" s="4">
        <v>0.4</v>
      </c>
      <c r="J1493" s="5">
        <v>710000000</v>
      </c>
      <c r="K1493" s="5" t="s">
        <v>89</v>
      </c>
      <c r="L1493" s="2" t="s">
        <v>754</v>
      </c>
      <c r="M1493" s="6" t="s">
        <v>787</v>
      </c>
      <c r="N1493" s="7" t="s">
        <v>92</v>
      </c>
      <c r="O1493" s="7" t="s">
        <v>93</v>
      </c>
      <c r="P1493" s="3" t="s">
        <v>94</v>
      </c>
      <c r="Q1493" s="8" t="s">
        <v>117</v>
      </c>
      <c r="R1493" s="7" t="s">
        <v>118</v>
      </c>
      <c r="S1493" s="9">
        <v>6</v>
      </c>
      <c r="T1493" s="9">
        <v>1000</v>
      </c>
      <c r="U1493" s="9">
        <v>0</v>
      </c>
      <c r="V1493" s="9">
        <f t="shared" si="1104"/>
        <v>0</v>
      </c>
      <c r="W1493" s="7" t="s">
        <v>97</v>
      </c>
      <c r="X1493" s="2">
        <v>2016</v>
      </c>
      <c r="Y1493" s="2" t="s">
        <v>7793</v>
      </c>
    </row>
    <row r="1494" spans="1:25" s="11" customFormat="1" ht="89.25" customHeight="1" outlineLevel="1" x14ac:dyDescent="0.25">
      <c r="A1494" s="1"/>
      <c r="B1494" s="2" t="s">
        <v>8124</v>
      </c>
      <c r="C1494" s="3" t="s">
        <v>83</v>
      </c>
      <c r="D1494" s="19" t="s">
        <v>2970</v>
      </c>
      <c r="E1494" s="19" t="s">
        <v>2763</v>
      </c>
      <c r="F1494" s="19" t="s">
        <v>2971</v>
      </c>
      <c r="G1494" s="19" t="s">
        <v>2973</v>
      </c>
      <c r="H1494" s="2" t="s">
        <v>88</v>
      </c>
      <c r="I1494" s="4">
        <v>0</v>
      </c>
      <c r="J1494" s="5">
        <v>710000000</v>
      </c>
      <c r="K1494" s="5" t="s">
        <v>89</v>
      </c>
      <c r="L1494" s="2" t="s">
        <v>754</v>
      </c>
      <c r="M1494" s="6" t="s">
        <v>787</v>
      </c>
      <c r="N1494" s="7" t="s">
        <v>92</v>
      </c>
      <c r="O1494" s="7" t="s">
        <v>93</v>
      </c>
      <c r="P1494" s="3" t="s">
        <v>673</v>
      </c>
      <c r="Q1494" s="8" t="s">
        <v>117</v>
      </c>
      <c r="R1494" s="7" t="s">
        <v>118</v>
      </c>
      <c r="S1494" s="9">
        <v>6</v>
      </c>
      <c r="T1494" s="9">
        <v>1000</v>
      </c>
      <c r="U1494" s="9">
        <f t="shared" ref="U1494" si="1125">T1494*S1494</f>
        <v>6000</v>
      </c>
      <c r="V1494" s="9">
        <f t="shared" ref="V1494" si="1126">U1494*1.12</f>
        <v>6720.0000000000009</v>
      </c>
      <c r="W1494" s="7"/>
      <c r="X1494" s="2">
        <v>2016</v>
      </c>
      <c r="Y1494" s="2"/>
    </row>
    <row r="1495" spans="1:25" s="11" customFormat="1" ht="89.25" customHeight="1" outlineLevel="1" x14ac:dyDescent="0.25">
      <c r="A1495" s="1"/>
      <c r="B1495" s="2" t="s">
        <v>6249</v>
      </c>
      <c r="C1495" s="3" t="s">
        <v>83</v>
      </c>
      <c r="D1495" s="19" t="s">
        <v>2970</v>
      </c>
      <c r="E1495" s="19" t="s">
        <v>2763</v>
      </c>
      <c r="F1495" s="19" t="s">
        <v>2971</v>
      </c>
      <c r="G1495" s="19" t="s">
        <v>2974</v>
      </c>
      <c r="H1495" s="2" t="s">
        <v>88</v>
      </c>
      <c r="I1495" s="4">
        <v>0.4</v>
      </c>
      <c r="J1495" s="5">
        <v>710000000</v>
      </c>
      <c r="K1495" s="5" t="s">
        <v>89</v>
      </c>
      <c r="L1495" s="2" t="s">
        <v>754</v>
      </c>
      <c r="M1495" s="6" t="s">
        <v>787</v>
      </c>
      <c r="N1495" s="7" t="s">
        <v>92</v>
      </c>
      <c r="O1495" s="7" t="s">
        <v>93</v>
      </c>
      <c r="P1495" s="3" t="s">
        <v>94</v>
      </c>
      <c r="Q1495" s="8" t="s">
        <v>117</v>
      </c>
      <c r="R1495" s="7" t="s">
        <v>118</v>
      </c>
      <c r="S1495" s="9">
        <v>10</v>
      </c>
      <c r="T1495" s="9">
        <v>375</v>
      </c>
      <c r="U1495" s="9">
        <v>0</v>
      </c>
      <c r="V1495" s="9">
        <f t="shared" si="1104"/>
        <v>0</v>
      </c>
      <c r="W1495" s="7" t="s">
        <v>97</v>
      </c>
      <c r="X1495" s="2">
        <v>2016</v>
      </c>
      <c r="Y1495" s="2" t="s">
        <v>7793</v>
      </c>
    </row>
    <row r="1496" spans="1:25" s="11" customFormat="1" ht="89.25" customHeight="1" outlineLevel="1" x14ac:dyDescent="0.25">
      <c r="A1496" s="1"/>
      <c r="B1496" s="2" t="s">
        <v>8125</v>
      </c>
      <c r="C1496" s="3" t="s">
        <v>83</v>
      </c>
      <c r="D1496" s="19" t="s">
        <v>2970</v>
      </c>
      <c r="E1496" s="19" t="s">
        <v>2763</v>
      </c>
      <c r="F1496" s="19" t="s">
        <v>2971</v>
      </c>
      <c r="G1496" s="19" t="s">
        <v>2974</v>
      </c>
      <c r="H1496" s="2" t="s">
        <v>88</v>
      </c>
      <c r="I1496" s="4">
        <v>0</v>
      </c>
      <c r="J1496" s="5">
        <v>710000000</v>
      </c>
      <c r="K1496" s="5" t="s">
        <v>89</v>
      </c>
      <c r="L1496" s="2" t="s">
        <v>754</v>
      </c>
      <c r="M1496" s="6" t="s">
        <v>787</v>
      </c>
      <c r="N1496" s="7" t="s">
        <v>92</v>
      </c>
      <c r="O1496" s="7" t="s">
        <v>93</v>
      </c>
      <c r="P1496" s="3" t="s">
        <v>673</v>
      </c>
      <c r="Q1496" s="8" t="s">
        <v>117</v>
      </c>
      <c r="R1496" s="7" t="s">
        <v>118</v>
      </c>
      <c r="S1496" s="9">
        <v>10</v>
      </c>
      <c r="T1496" s="9">
        <v>375</v>
      </c>
      <c r="U1496" s="9">
        <f t="shared" ref="U1496" si="1127">T1496*S1496</f>
        <v>3750</v>
      </c>
      <c r="V1496" s="9">
        <f t="shared" ref="V1496" si="1128">U1496*1.12</f>
        <v>4200</v>
      </c>
      <c r="W1496" s="7"/>
      <c r="X1496" s="2">
        <v>2016</v>
      </c>
      <c r="Y1496" s="2"/>
    </row>
    <row r="1497" spans="1:25" s="11" customFormat="1" ht="89.25" customHeight="1" outlineLevel="1" x14ac:dyDescent="0.25">
      <c r="A1497" s="1"/>
      <c r="B1497" s="2" t="s">
        <v>6250</v>
      </c>
      <c r="C1497" s="3" t="s">
        <v>83</v>
      </c>
      <c r="D1497" s="19" t="s">
        <v>2975</v>
      </c>
      <c r="E1497" s="19" t="s">
        <v>2976</v>
      </c>
      <c r="F1497" s="19" t="s">
        <v>2977</v>
      </c>
      <c r="G1497" s="19" t="s">
        <v>2978</v>
      </c>
      <c r="H1497" s="2" t="s">
        <v>88</v>
      </c>
      <c r="I1497" s="4">
        <v>0.4</v>
      </c>
      <c r="J1497" s="5">
        <v>710000000</v>
      </c>
      <c r="K1497" s="5" t="s">
        <v>89</v>
      </c>
      <c r="L1497" s="2" t="s">
        <v>754</v>
      </c>
      <c r="M1497" s="6" t="s">
        <v>787</v>
      </c>
      <c r="N1497" s="7" t="s">
        <v>92</v>
      </c>
      <c r="O1497" s="7" t="s">
        <v>93</v>
      </c>
      <c r="P1497" s="3" t="s">
        <v>94</v>
      </c>
      <c r="Q1497" s="8" t="s">
        <v>522</v>
      </c>
      <c r="R1497" s="7" t="s">
        <v>523</v>
      </c>
      <c r="S1497" s="9">
        <f>45+25</f>
        <v>70</v>
      </c>
      <c r="T1497" s="9">
        <v>165.18</v>
      </c>
      <c r="U1497" s="9">
        <v>0</v>
      </c>
      <c r="V1497" s="9">
        <f t="shared" si="1104"/>
        <v>0</v>
      </c>
      <c r="W1497" s="7" t="s">
        <v>97</v>
      </c>
      <c r="X1497" s="2">
        <v>2016</v>
      </c>
      <c r="Y1497" s="2" t="s">
        <v>7793</v>
      </c>
    </row>
    <row r="1498" spans="1:25" s="11" customFormat="1" ht="89.25" customHeight="1" outlineLevel="1" x14ac:dyDescent="0.25">
      <c r="A1498" s="1"/>
      <c r="B1498" s="2" t="s">
        <v>8126</v>
      </c>
      <c r="C1498" s="3" t="s">
        <v>83</v>
      </c>
      <c r="D1498" s="19" t="s">
        <v>2975</v>
      </c>
      <c r="E1498" s="19" t="s">
        <v>2976</v>
      </c>
      <c r="F1498" s="19" t="s">
        <v>2977</v>
      </c>
      <c r="G1498" s="19" t="s">
        <v>2978</v>
      </c>
      <c r="H1498" s="2" t="s">
        <v>88</v>
      </c>
      <c r="I1498" s="4">
        <v>0</v>
      </c>
      <c r="J1498" s="5">
        <v>710000000</v>
      </c>
      <c r="K1498" s="5" t="s">
        <v>89</v>
      </c>
      <c r="L1498" s="2" t="s">
        <v>754</v>
      </c>
      <c r="M1498" s="6" t="s">
        <v>787</v>
      </c>
      <c r="N1498" s="7" t="s">
        <v>92</v>
      </c>
      <c r="O1498" s="7" t="s">
        <v>93</v>
      </c>
      <c r="P1498" s="3" t="s">
        <v>673</v>
      </c>
      <c r="Q1498" s="8" t="s">
        <v>522</v>
      </c>
      <c r="R1498" s="7" t="s">
        <v>523</v>
      </c>
      <c r="S1498" s="9">
        <f>45+25</f>
        <v>70</v>
      </c>
      <c r="T1498" s="9">
        <v>165.18</v>
      </c>
      <c r="U1498" s="9">
        <f t="shared" ref="U1498" si="1129">T1498*S1498</f>
        <v>11562.6</v>
      </c>
      <c r="V1498" s="9">
        <f t="shared" ref="V1498" si="1130">U1498*1.12</f>
        <v>12950.112000000001</v>
      </c>
      <c r="W1498" s="7"/>
      <c r="X1498" s="2">
        <v>2016</v>
      </c>
      <c r="Y1498" s="2"/>
    </row>
    <row r="1499" spans="1:25" s="11" customFormat="1" ht="89.25" customHeight="1" outlineLevel="1" x14ac:dyDescent="0.25">
      <c r="A1499" s="1"/>
      <c r="B1499" s="2" t="s">
        <v>6251</v>
      </c>
      <c r="C1499" s="3" t="s">
        <v>83</v>
      </c>
      <c r="D1499" s="19" t="s">
        <v>2979</v>
      </c>
      <c r="E1499" s="19" t="s">
        <v>2763</v>
      </c>
      <c r="F1499" s="19" t="s">
        <v>2980</v>
      </c>
      <c r="G1499" s="19"/>
      <c r="H1499" s="2" t="s">
        <v>88</v>
      </c>
      <c r="I1499" s="4">
        <v>0.4</v>
      </c>
      <c r="J1499" s="5">
        <v>710000000</v>
      </c>
      <c r="K1499" s="5" t="s">
        <v>89</v>
      </c>
      <c r="L1499" s="2" t="s">
        <v>754</v>
      </c>
      <c r="M1499" s="6" t="s">
        <v>787</v>
      </c>
      <c r="N1499" s="7" t="s">
        <v>92</v>
      </c>
      <c r="O1499" s="7" t="s">
        <v>93</v>
      </c>
      <c r="P1499" s="3" t="s">
        <v>94</v>
      </c>
      <c r="Q1499" s="8" t="s">
        <v>117</v>
      </c>
      <c r="R1499" s="7" t="s">
        <v>118</v>
      </c>
      <c r="S1499" s="9">
        <v>31</v>
      </c>
      <c r="T1499" s="9">
        <v>496.43</v>
      </c>
      <c r="U1499" s="9">
        <v>0</v>
      </c>
      <c r="V1499" s="9">
        <f t="shared" si="1104"/>
        <v>0</v>
      </c>
      <c r="W1499" s="7" t="s">
        <v>97</v>
      </c>
      <c r="X1499" s="2">
        <v>2016</v>
      </c>
      <c r="Y1499" s="2" t="s">
        <v>7793</v>
      </c>
    </row>
    <row r="1500" spans="1:25" s="11" customFormat="1" ht="89.25" customHeight="1" outlineLevel="1" x14ac:dyDescent="0.25">
      <c r="A1500" s="1"/>
      <c r="B1500" s="2" t="s">
        <v>8127</v>
      </c>
      <c r="C1500" s="3" t="s">
        <v>83</v>
      </c>
      <c r="D1500" s="19" t="s">
        <v>2979</v>
      </c>
      <c r="E1500" s="19" t="s">
        <v>2763</v>
      </c>
      <c r="F1500" s="19" t="s">
        <v>2980</v>
      </c>
      <c r="G1500" s="19"/>
      <c r="H1500" s="2" t="s">
        <v>88</v>
      </c>
      <c r="I1500" s="4">
        <v>0</v>
      </c>
      <c r="J1500" s="5">
        <v>710000000</v>
      </c>
      <c r="K1500" s="5" t="s">
        <v>89</v>
      </c>
      <c r="L1500" s="2" t="s">
        <v>754</v>
      </c>
      <c r="M1500" s="6" t="s">
        <v>787</v>
      </c>
      <c r="N1500" s="7" t="s">
        <v>92</v>
      </c>
      <c r="O1500" s="7" t="s">
        <v>93</v>
      </c>
      <c r="P1500" s="3" t="s">
        <v>673</v>
      </c>
      <c r="Q1500" s="8" t="s">
        <v>117</v>
      </c>
      <c r="R1500" s="7" t="s">
        <v>118</v>
      </c>
      <c r="S1500" s="9">
        <v>31</v>
      </c>
      <c r="T1500" s="9">
        <v>496.43</v>
      </c>
      <c r="U1500" s="9">
        <f t="shared" ref="U1500" si="1131">T1500*S1500</f>
        <v>15389.33</v>
      </c>
      <c r="V1500" s="9">
        <f t="shared" ref="V1500" si="1132">U1500*1.12</f>
        <v>17236.049600000002</v>
      </c>
      <c r="W1500" s="7"/>
      <c r="X1500" s="2">
        <v>2016</v>
      </c>
      <c r="Y1500" s="2"/>
    </row>
    <row r="1501" spans="1:25" s="11" customFormat="1" ht="89.25" customHeight="1" outlineLevel="1" x14ac:dyDescent="0.25">
      <c r="A1501" s="1"/>
      <c r="B1501" s="2" t="s">
        <v>6252</v>
      </c>
      <c r="C1501" s="3" t="s">
        <v>83</v>
      </c>
      <c r="D1501" s="19" t="s">
        <v>2981</v>
      </c>
      <c r="E1501" s="19" t="s">
        <v>2702</v>
      </c>
      <c r="F1501" s="19" t="s">
        <v>2982</v>
      </c>
      <c r="G1501" s="19"/>
      <c r="H1501" s="2" t="s">
        <v>88</v>
      </c>
      <c r="I1501" s="4">
        <v>0.4</v>
      </c>
      <c r="J1501" s="5">
        <v>710000000</v>
      </c>
      <c r="K1501" s="5" t="s">
        <v>89</v>
      </c>
      <c r="L1501" s="2" t="s">
        <v>754</v>
      </c>
      <c r="M1501" s="6" t="s">
        <v>787</v>
      </c>
      <c r="N1501" s="7" t="s">
        <v>92</v>
      </c>
      <c r="O1501" s="7" t="s">
        <v>93</v>
      </c>
      <c r="P1501" s="3" t="s">
        <v>94</v>
      </c>
      <c r="Q1501" s="8" t="s">
        <v>117</v>
      </c>
      <c r="R1501" s="7" t="s">
        <v>118</v>
      </c>
      <c r="S1501" s="9">
        <v>1800</v>
      </c>
      <c r="T1501" s="9">
        <v>214.29</v>
      </c>
      <c r="U1501" s="9">
        <v>0</v>
      </c>
      <c r="V1501" s="9">
        <f t="shared" si="1104"/>
        <v>0</v>
      </c>
      <c r="W1501" s="7" t="s">
        <v>97</v>
      </c>
      <c r="X1501" s="2">
        <v>2016</v>
      </c>
      <c r="Y1501" s="2" t="s">
        <v>7793</v>
      </c>
    </row>
    <row r="1502" spans="1:25" s="11" customFormat="1" ht="89.25" customHeight="1" outlineLevel="1" x14ac:dyDescent="0.25">
      <c r="A1502" s="1"/>
      <c r="B1502" s="2" t="s">
        <v>8128</v>
      </c>
      <c r="C1502" s="3" t="s">
        <v>83</v>
      </c>
      <c r="D1502" s="19" t="s">
        <v>2981</v>
      </c>
      <c r="E1502" s="19" t="s">
        <v>2702</v>
      </c>
      <c r="F1502" s="19" t="s">
        <v>2982</v>
      </c>
      <c r="G1502" s="19"/>
      <c r="H1502" s="2" t="s">
        <v>88</v>
      </c>
      <c r="I1502" s="4">
        <v>0</v>
      </c>
      <c r="J1502" s="5">
        <v>710000000</v>
      </c>
      <c r="K1502" s="5" t="s">
        <v>89</v>
      </c>
      <c r="L1502" s="2" t="s">
        <v>754</v>
      </c>
      <c r="M1502" s="6" t="s">
        <v>787</v>
      </c>
      <c r="N1502" s="7" t="s">
        <v>92</v>
      </c>
      <c r="O1502" s="7" t="s">
        <v>93</v>
      </c>
      <c r="P1502" s="3" t="s">
        <v>673</v>
      </c>
      <c r="Q1502" s="8" t="s">
        <v>117</v>
      </c>
      <c r="R1502" s="7" t="s">
        <v>118</v>
      </c>
      <c r="S1502" s="9">
        <v>1800</v>
      </c>
      <c r="T1502" s="9">
        <v>214.29</v>
      </c>
      <c r="U1502" s="9">
        <v>0</v>
      </c>
      <c r="V1502" s="9">
        <f t="shared" ref="V1502" si="1133">U1502*1.12</f>
        <v>0</v>
      </c>
      <c r="W1502" s="7"/>
      <c r="X1502" s="2">
        <v>2016</v>
      </c>
      <c r="Y1502" s="2" t="s">
        <v>7460</v>
      </c>
    </row>
    <row r="1503" spans="1:25" s="11" customFormat="1" ht="89.25" customHeight="1" outlineLevel="1" x14ac:dyDescent="0.25">
      <c r="A1503" s="1"/>
      <c r="B1503" s="2" t="s">
        <v>6253</v>
      </c>
      <c r="C1503" s="3" t="s">
        <v>83</v>
      </c>
      <c r="D1503" s="19" t="s">
        <v>2983</v>
      </c>
      <c r="E1503" s="19" t="s">
        <v>2901</v>
      </c>
      <c r="F1503" s="19" t="s">
        <v>2984</v>
      </c>
      <c r="G1503" s="19"/>
      <c r="H1503" s="2" t="s">
        <v>88</v>
      </c>
      <c r="I1503" s="4">
        <v>0.4</v>
      </c>
      <c r="J1503" s="5">
        <v>710000000</v>
      </c>
      <c r="K1503" s="5" t="s">
        <v>89</v>
      </c>
      <c r="L1503" s="2" t="s">
        <v>754</v>
      </c>
      <c r="M1503" s="6" t="s">
        <v>787</v>
      </c>
      <c r="N1503" s="7" t="s">
        <v>92</v>
      </c>
      <c r="O1503" s="7" t="s">
        <v>93</v>
      </c>
      <c r="P1503" s="3" t="s">
        <v>94</v>
      </c>
      <c r="Q1503" s="8" t="s">
        <v>117</v>
      </c>
      <c r="R1503" s="7" t="s">
        <v>118</v>
      </c>
      <c r="S1503" s="9">
        <v>2</v>
      </c>
      <c r="T1503" s="9">
        <v>321.43</v>
      </c>
      <c r="U1503" s="9">
        <v>0</v>
      </c>
      <c r="V1503" s="9">
        <f t="shared" si="1104"/>
        <v>0</v>
      </c>
      <c r="W1503" s="7" t="s">
        <v>97</v>
      </c>
      <c r="X1503" s="2">
        <v>2016</v>
      </c>
      <c r="Y1503" s="2" t="s">
        <v>7793</v>
      </c>
    </row>
    <row r="1504" spans="1:25" s="11" customFormat="1" ht="89.25" customHeight="1" outlineLevel="1" x14ac:dyDescent="0.25">
      <c r="A1504" s="1"/>
      <c r="B1504" s="2" t="s">
        <v>8129</v>
      </c>
      <c r="C1504" s="3" t="s">
        <v>83</v>
      </c>
      <c r="D1504" s="19" t="s">
        <v>2983</v>
      </c>
      <c r="E1504" s="19" t="s">
        <v>2901</v>
      </c>
      <c r="F1504" s="19" t="s">
        <v>2984</v>
      </c>
      <c r="G1504" s="19"/>
      <c r="H1504" s="2" t="s">
        <v>88</v>
      </c>
      <c r="I1504" s="4">
        <v>0</v>
      </c>
      <c r="J1504" s="5">
        <v>710000000</v>
      </c>
      <c r="K1504" s="5" t="s">
        <v>89</v>
      </c>
      <c r="L1504" s="2" t="s">
        <v>754</v>
      </c>
      <c r="M1504" s="6" t="s">
        <v>787</v>
      </c>
      <c r="N1504" s="7" t="s">
        <v>92</v>
      </c>
      <c r="O1504" s="7" t="s">
        <v>93</v>
      </c>
      <c r="P1504" s="3" t="s">
        <v>673</v>
      </c>
      <c r="Q1504" s="8" t="s">
        <v>117</v>
      </c>
      <c r="R1504" s="7" t="s">
        <v>118</v>
      </c>
      <c r="S1504" s="9">
        <v>2</v>
      </c>
      <c r="T1504" s="9">
        <v>321.43</v>
      </c>
      <c r="U1504" s="9">
        <f t="shared" ref="U1504" si="1134">T1504*S1504</f>
        <v>642.86</v>
      </c>
      <c r="V1504" s="9">
        <f t="shared" ref="V1504" si="1135">U1504*1.12</f>
        <v>720.00320000000011</v>
      </c>
      <c r="W1504" s="7"/>
      <c r="X1504" s="2">
        <v>2016</v>
      </c>
      <c r="Y1504" s="2"/>
    </row>
    <row r="1505" spans="1:25" s="11" customFormat="1" ht="89.25" customHeight="1" outlineLevel="1" x14ac:dyDescent="0.25">
      <c r="A1505" s="1"/>
      <c r="B1505" s="2" t="s">
        <v>6254</v>
      </c>
      <c r="C1505" s="3" t="s">
        <v>83</v>
      </c>
      <c r="D1505" s="19" t="s">
        <v>2985</v>
      </c>
      <c r="E1505" s="19" t="s">
        <v>2986</v>
      </c>
      <c r="F1505" s="19" t="s">
        <v>2987</v>
      </c>
      <c r="G1505" s="19" t="s">
        <v>2988</v>
      </c>
      <c r="H1505" s="2" t="s">
        <v>88</v>
      </c>
      <c r="I1505" s="4">
        <v>0.4</v>
      </c>
      <c r="J1505" s="5">
        <v>710000000</v>
      </c>
      <c r="K1505" s="5" t="s">
        <v>89</v>
      </c>
      <c r="L1505" s="2" t="s">
        <v>754</v>
      </c>
      <c r="M1505" s="6" t="s">
        <v>787</v>
      </c>
      <c r="N1505" s="7" t="s">
        <v>92</v>
      </c>
      <c r="O1505" s="7" t="s">
        <v>93</v>
      </c>
      <c r="P1505" s="3" t="s">
        <v>94</v>
      </c>
      <c r="Q1505" s="8" t="s">
        <v>117</v>
      </c>
      <c r="R1505" s="7" t="s">
        <v>118</v>
      </c>
      <c r="S1505" s="9">
        <v>4</v>
      </c>
      <c r="T1505" s="9">
        <v>1633.93</v>
      </c>
      <c r="U1505" s="9">
        <v>0</v>
      </c>
      <c r="V1505" s="9">
        <f t="shared" si="1104"/>
        <v>0</v>
      </c>
      <c r="W1505" s="7" t="s">
        <v>97</v>
      </c>
      <c r="X1505" s="2">
        <v>2016</v>
      </c>
      <c r="Y1505" s="2" t="s">
        <v>7793</v>
      </c>
    </row>
    <row r="1506" spans="1:25" s="11" customFormat="1" ht="89.25" customHeight="1" outlineLevel="1" x14ac:dyDescent="0.25">
      <c r="A1506" s="1"/>
      <c r="B1506" s="2" t="s">
        <v>8130</v>
      </c>
      <c r="C1506" s="3" t="s">
        <v>83</v>
      </c>
      <c r="D1506" s="19" t="s">
        <v>2985</v>
      </c>
      <c r="E1506" s="19" t="s">
        <v>2986</v>
      </c>
      <c r="F1506" s="19" t="s">
        <v>2987</v>
      </c>
      <c r="G1506" s="19" t="s">
        <v>2988</v>
      </c>
      <c r="H1506" s="2" t="s">
        <v>88</v>
      </c>
      <c r="I1506" s="4">
        <v>0</v>
      </c>
      <c r="J1506" s="5">
        <v>710000000</v>
      </c>
      <c r="K1506" s="5" t="s">
        <v>89</v>
      </c>
      <c r="L1506" s="2" t="s">
        <v>754</v>
      </c>
      <c r="M1506" s="6" t="s">
        <v>787</v>
      </c>
      <c r="N1506" s="7" t="s">
        <v>92</v>
      </c>
      <c r="O1506" s="7" t="s">
        <v>93</v>
      </c>
      <c r="P1506" s="3" t="s">
        <v>673</v>
      </c>
      <c r="Q1506" s="8" t="s">
        <v>117</v>
      </c>
      <c r="R1506" s="7" t="s">
        <v>118</v>
      </c>
      <c r="S1506" s="9">
        <v>4</v>
      </c>
      <c r="T1506" s="9">
        <v>1633.93</v>
      </c>
      <c r="U1506" s="9">
        <f t="shared" ref="U1506" si="1136">T1506*S1506</f>
        <v>6535.72</v>
      </c>
      <c r="V1506" s="9">
        <f t="shared" ref="V1506" si="1137">U1506*1.12</f>
        <v>7320.0064000000011</v>
      </c>
      <c r="W1506" s="7"/>
      <c r="X1506" s="2">
        <v>2016</v>
      </c>
      <c r="Y1506" s="2"/>
    </row>
    <row r="1507" spans="1:25" s="11" customFormat="1" ht="89.25" customHeight="1" outlineLevel="1" x14ac:dyDescent="0.25">
      <c r="A1507" s="1"/>
      <c r="B1507" s="2" t="s">
        <v>6255</v>
      </c>
      <c r="C1507" s="3" t="s">
        <v>83</v>
      </c>
      <c r="D1507" s="19" t="s">
        <v>2989</v>
      </c>
      <c r="E1507" s="19" t="s">
        <v>2990</v>
      </c>
      <c r="F1507" s="19" t="s">
        <v>2991</v>
      </c>
      <c r="G1507" s="19" t="s">
        <v>2992</v>
      </c>
      <c r="H1507" s="2" t="s">
        <v>88</v>
      </c>
      <c r="I1507" s="4">
        <v>0.4</v>
      </c>
      <c r="J1507" s="5">
        <v>710000000</v>
      </c>
      <c r="K1507" s="5" t="s">
        <v>89</v>
      </c>
      <c r="L1507" s="2" t="s">
        <v>754</v>
      </c>
      <c r="M1507" s="6" t="s">
        <v>787</v>
      </c>
      <c r="N1507" s="7" t="s">
        <v>92</v>
      </c>
      <c r="O1507" s="7" t="s">
        <v>93</v>
      </c>
      <c r="P1507" s="3" t="s">
        <v>94</v>
      </c>
      <c r="Q1507" s="8">
        <v>796</v>
      </c>
      <c r="R1507" s="7" t="s">
        <v>118</v>
      </c>
      <c r="S1507" s="9">
        <v>2</v>
      </c>
      <c r="T1507" s="9">
        <v>13959.82</v>
      </c>
      <c r="U1507" s="9">
        <v>0</v>
      </c>
      <c r="V1507" s="9">
        <f t="shared" si="1104"/>
        <v>0</v>
      </c>
      <c r="W1507" s="7" t="s">
        <v>97</v>
      </c>
      <c r="X1507" s="2">
        <v>2016</v>
      </c>
      <c r="Y1507" s="2" t="s">
        <v>7793</v>
      </c>
    </row>
    <row r="1508" spans="1:25" s="11" customFormat="1" ht="89.25" customHeight="1" outlineLevel="1" x14ac:dyDescent="0.25">
      <c r="A1508" s="1"/>
      <c r="B1508" s="2" t="s">
        <v>8131</v>
      </c>
      <c r="C1508" s="3" t="s">
        <v>83</v>
      </c>
      <c r="D1508" s="19" t="s">
        <v>2989</v>
      </c>
      <c r="E1508" s="19" t="s">
        <v>2990</v>
      </c>
      <c r="F1508" s="19" t="s">
        <v>2991</v>
      </c>
      <c r="G1508" s="19" t="s">
        <v>2992</v>
      </c>
      <c r="H1508" s="2" t="s">
        <v>88</v>
      </c>
      <c r="I1508" s="4">
        <v>0</v>
      </c>
      <c r="J1508" s="5">
        <v>710000000</v>
      </c>
      <c r="K1508" s="5" t="s">
        <v>89</v>
      </c>
      <c r="L1508" s="2" t="s">
        <v>754</v>
      </c>
      <c r="M1508" s="6" t="s">
        <v>787</v>
      </c>
      <c r="N1508" s="7" t="s">
        <v>92</v>
      </c>
      <c r="O1508" s="7" t="s">
        <v>93</v>
      </c>
      <c r="P1508" s="3" t="s">
        <v>673</v>
      </c>
      <c r="Q1508" s="8">
        <v>796</v>
      </c>
      <c r="R1508" s="7" t="s">
        <v>118</v>
      </c>
      <c r="S1508" s="9">
        <v>2</v>
      </c>
      <c r="T1508" s="9">
        <v>13959.82</v>
      </c>
      <c r="U1508" s="9">
        <f t="shared" ref="U1508" si="1138">T1508*S1508</f>
        <v>27919.64</v>
      </c>
      <c r="V1508" s="9">
        <f t="shared" ref="V1508" si="1139">U1508*1.12</f>
        <v>31269.996800000001</v>
      </c>
      <c r="W1508" s="7"/>
      <c r="X1508" s="2">
        <v>2016</v>
      </c>
      <c r="Y1508" s="2"/>
    </row>
    <row r="1509" spans="1:25" s="11" customFormat="1" ht="89.25" customHeight="1" outlineLevel="1" x14ac:dyDescent="0.25">
      <c r="A1509" s="1"/>
      <c r="B1509" s="2" t="s">
        <v>6256</v>
      </c>
      <c r="C1509" s="3" t="s">
        <v>83</v>
      </c>
      <c r="D1509" s="19" t="s">
        <v>2993</v>
      </c>
      <c r="E1509" s="19" t="s">
        <v>2990</v>
      </c>
      <c r="F1509" s="19" t="s">
        <v>2994</v>
      </c>
      <c r="G1509" s="19" t="s">
        <v>2995</v>
      </c>
      <c r="H1509" s="2" t="s">
        <v>88</v>
      </c>
      <c r="I1509" s="4">
        <v>0.4</v>
      </c>
      <c r="J1509" s="5">
        <v>710000000</v>
      </c>
      <c r="K1509" s="5" t="s">
        <v>89</v>
      </c>
      <c r="L1509" s="2" t="s">
        <v>754</v>
      </c>
      <c r="M1509" s="6" t="s">
        <v>787</v>
      </c>
      <c r="N1509" s="7" t="s">
        <v>92</v>
      </c>
      <c r="O1509" s="7" t="s">
        <v>93</v>
      </c>
      <c r="P1509" s="3" t="s">
        <v>94</v>
      </c>
      <c r="Q1509" s="8">
        <v>796</v>
      </c>
      <c r="R1509" s="7" t="s">
        <v>118</v>
      </c>
      <c r="S1509" s="9">
        <v>8</v>
      </c>
      <c r="T1509" s="9">
        <v>5040.18</v>
      </c>
      <c r="U1509" s="9">
        <v>0</v>
      </c>
      <c r="V1509" s="9">
        <f t="shared" si="1104"/>
        <v>0</v>
      </c>
      <c r="W1509" s="7" t="s">
        <v>97</v>
      </c>
      <c r="X1509" s="2">
        <v>2016</v>
      </c>
      <c r="Y1509" s="2" t="s">
        <v>7793</v>
      </c>
    </row>
    <row r="1510" spans="1:25" s="11" customFormat="1" ht="89.25" customHeight="1" outlineLevel="1" x14ac:dyDescent="0.25">
      <c r="A1510" s="1"/>
      <c r="B1510" s="2" t="s">
        <v>8132</v>
      </c>
      <c r="C1510" s="3" t="s">
        <v>83</v>
      </c>
      <c r="D1510" s="19" t="s">
        <v>2993</v>
      </c>
      <c r="E1510" s="19" t="s">
        <v>2990</v>
      </c>
      <c r="F1510" s="19" t="s">
        <v>2994</v>
      </c>
      <c r="G1510" s="19" t="s">
        <v>2995</v>
      </c>
      <c r="H1510" s="2" t="s">
        <v>88</v>
      </c>
      <c r="I1510" s="4">
        <v>0</v>
      </c>
      <c r="J1510" s="5">
        <v>710000000</v>
      </c>
      <c r="K1510" s="5" t="s">
        <v>89</v>
      </c>
      <c r="L1510" s="2" t="s">
        <v>754</v>
      </c>
      <c r="M1510" s="6" t="s">
        <v>787</v>
      </c>
      <c r="N1510" s="7" t="s">
        <v>92</v>
      </c>
      <c r="O1510" s="7" t="s">
        <v>93</v>
      </c>
      <c r="P1510" s="3" t="s">
        <v>673</v>
      </c>
      <c r="Q1510" s="8">
        <v>796</v>
      </c>
      <c r="R1510" s="7" t="s">
        <v>118</v>
      </c>
      <c r="S1510" s="9">
        <v>8</v>
      </c>
      <c r="T1510" s="9">
        <v>5040.18</v>
      </c>
      <c r="U1510" s="9">
        <f t="shared" ref="U1510" si="1140">T1510*S1510</f>
        <v>40321.440000000002</v>
      </c>
      <c r="V1510" s="9">
        <f t="shared" ref="V1510" si="1141">U1510*1.12</f>
        <v>45160.012800000004</v>
      </c>
      <c r="W1510" s="7"/>
      <c r="X1510" s="2">
        <v>2016</v>
      </c>
      <c r="Y1510" s="2"/>
    </row>
    <row r="1511" spans="1:25" s="11" customFormat="1" ht="89.25" customHeight="1" outlineLevel="1" x14ac:dyDescent="0.25">
      <c r="A1511" s="1"/>
      <c r="B1511" s="2" t="s">
        <v>6257</v>
      </c>
      <c r="C1511" s="3" t="s">
        <v>83</v>
      </c>
      <c r="D1511" s="3" t="s">
        <v>2996</v>
      </c>
      <c r="E1511" s="3" t="s">
        <v>2997</v>
      </c>
      <c r="F1511" s="3" t="s">
        <v>2998</v>
      </c>
      <c r="G1511" s="19"/>
      <c r="H1511" s="2" t="s">
        <v>88</v>
      </c>
      <c r="I1511" s="4">
        <v>0.4</v>
      </c>
      <c r="J1511" s="5">
        <v>710000000</v>
      </c>
      <c r="K1511" s="5" t="s">
        <v>89</v>
      </c>
      <c r="L1511" s="2" t="s">
        <v>754</v>
      </c>
      <c r="M1511" s="6" t="s">
        <v>787</v>
      </c>
      <c r="N1511" s="7" t="s">
        <v>92</v>
      </c>
      <c r="O1511" s="7" t="s">
        <v>93</v>
      </c>
      <c r="P1511" s="3" t="s">
        <v>94</v>
      </c>
      <c r="Q1511" s="8">
        <v>796</v>
      </c>
      <c r="R1511" s="7" t="s">
        <v>118</v>
      </c>
      <c r="S1511" s="9">
        <f>2+2+1+1</f>
        <v>6</v>
      </c>
      <c r="T1511" s="9">
        <v>5785</v>
      </c>
      <c r="U1511" s="9">
        <v>0</v>
      </c>
      <c r="V1511" s="9">
        <f t="shared" si="1104"/>
        <v>0</v>
      </c>
      <c r="W1511" s="7" t="s">
        <v>97</v>
      </c>
      <c r="X1511" s="2">
        <v>2016</v>
      </c>
      <c r="Y1511" s="2" t="s">
        <v>7793</v>
      </c>
    </row>
    <row r="1512" spans="1:25" s="11" customFormat="1" ht="89.25" customHeight="1" outlineLevel="1" x14ac:dyDescent="0.25">
      <c r="A1512" s="1"/>
      <c r="B1512" s="2" t="s">
        <v>8133</v>
      </c>
      <c r="C1512" s="3" t="s">
        <v>83</v>
      </c>
      <c r="D1512" s="3" t="s">
        <v>2996</v>
      </c>
      <c r="E1512" s="3" t="s">
        <v>2997</v>
      </c>
      <c r="F1512" s="3" t="s">
        <v>2998</v>
      </c>
      <c r="G1512" s="19"/>
      <c r="H1512" s="2" t="s">
        <v>88</v>
      </c>
      <c r="I1512" s="4">
        <v>0</v>
      </c>
      <c r="J1512" s="5">
        <v>710000000</v>
      </c>
      <c r="K1512" s="5" t="s">
        <v>89</v>
      </c>
      <c r="L1512" s="2" t="s">
        <v>754</v>
      </c>
      <c r="M1512" s="6" t="s">
        <v>787</v>
      </c>
      <c r="N1512" s="7" t="s">
        <v>92</v>
      </c>
      <c r="O1512" s="7" t="s">
        <v>93</v>
      </c>
      <c r="P1512" s="3" t="s">
        <v>673</v>
      </c>
      <c r="Q1512" s="8">
        <v>796</v>
      </c>
      <c r="R1512" s="7" t="s">
        <v>118</v>
      </c>
      <c r="S1512" s="9">
        <f>2+2+1+1</f>
        <v>6</v>
      </c>
      <c r="T1512" s="9">
        <v>5785</v>
      </c>
      <c r="U1512" s="9">
        <f t="shared" ref="U1512" si="1142">T1512*S1512</f>
        <v>34710</v>
      </c>
      <c r="V1512" s="9">
        <f t="shared" ref="V1512" si="1143">U1512*1.12</f>
        <v>38875.200000000004</v>
      </c>
      <c r="W1512" s="7"/>
      <c r="X1512" s="2">
        <v>2016</v>
      </c>
      <c r="Y1512" s="2"/>
    </row>
    <row r="1513" spans="1:25" s="11" customFormat="1" ht="89.25" customHeight="1" outlineLevel="1" x14ac:dyDescent="0.25">
      <c r="A1513" s="16"/>
      <c r="B1513" s="2" t="s">
        <v>6258</v>
      </c>
      <c r="C1513" s="3" t="s">
        <v>83</v>
      </c>
      <c r="D1513" s="3" t="s">
        <v>2999</v>
      </c>
      <c r="E1513" s="3" t="s">
        <v>910</v>
      </c>
      <c r="F1513" s="3" t="s">
        <v>3000</v>
      </c>
      <c r="G1513" s="19" t="s">
        <v>3001</v>
      </c>
      <c r="H1513" s="2" t="s">
        <v>88</v>
      </c>
      <c r="I1513" s="4">
        <v>0.4</v>
      </c>
      <c r="J1513" s="5">
        <v>710000000</v>
      </c>
      <c r="K1513" s="5" t="s">
        <v>89</v>
      </c>
      <c r="L1513" s="2" t="s">
        <v>754</v>
      </c>
      <c r="M1513" s="6" t="s">
        <v>787</v>
      </c>
      <c r="N1513" s="7" t="s">
        <v>92</v>
      </c>
      <c r="O1513" s="7" t="s">
        <v>93</v>
      </c>
      <c r="P1513" s="3" t="s">
        <v>94</v>
      </c>
      <c r="Q1513" s="8">
        <v>796</v>
      </c>
      <c r="R1513" s="7" t="s">
        <v>118</v>
      </c>
      <c r="S1513" s="9">
        <f>5+1+2+1</f>
        <v>9</v>
      </c>
      <c r="T1513" s="9">
        <v>13942</v>
      </c>
      <c r="U1513" s="9">
        <v>0</v>
      </c>
      <c r="V1513" s="9">
        <f t="shared" si="1104"/>
        <v>0</v>
      </c>
      <c r="W1513" s="7" t="s">
        <v>97</v>
      </c>
      <c r="X1513" s="2">
        <v>2016</v>
      </c>
      <c r="Y1513" s="2" t="s">
        <v>7793</v>
      </c>
    </row>
    <row r="1514" spans="1:25" s="11" customFormat="1" ht="89.25" customHeight="1" outlineLevel="1" x14ac:dyDescent="0.25">
      <c r="A1514" s="16"/>
      <c r="B1514" s="2" t="s">
        <v>8134</v>
      </c>
      <c r="C1514" s="3" t="s">
        <v>83</v>
      </c>
      <c r="D1514" s="3" t="s">
        <v>2999</v>
      </c>
      <c r="E1514" s="3" t="s">
        <v>910</v>
      </c>
      <c r="F1514" s="3" t="s">
        <v>3000</v>
      </c>
      <c r="G1514" s="19" t="s">
        <v>3001</v>
      </c>
      <c r="H1514" s="2" t="s">
        <v>88</v>
      </c>
      <c r="I1514" s="4">
        <v>0</v>
      </c>
      <c r="J1514" s="5">
        <v>710000000</v>
      </c>
      <c r="K1514" s="5" t="s">
        <v>89</v>
      </c>
      <c r="L1514" s="2" t="s">
        <v>754</v>
      </c>
      <c r="M1514" s="6" t="s">
        <v>787</v>
      </c>
      <c r="N1514" s="7" t="s">
        <v>92</v>
      </c>
      <c r="O1514" s="7" t="s">
        <v>93</v>
      </c>
      <c r="P1514" s="3" t="s">
        <v>673</v>
      </c>
      <c r="Q1514" s="8">
        <v>796</v>
      </c>
      <c r="R1514" s="7" t="s">
        <v>118</v>
      </c>
      <c r="S1514" s="9">
        <f>5+1+2+1</f>
        <v>9</v>
      </c>
      <c r="T1514" s="9">
        <v>13942</v>
      </c>
      <c r="U1514" s="9">
        <f t="shared" ref="U1514" si="1144">T1514*S1514</f>
        <v>125478</v>
      </c>
      <c r="V1514" s="9">
        <f t="shared" ref="V1514" si="1145">U1514*1.12</f>
        <v>140535.36000000002</v>
      </c>
      <c r="W1514" s="7"/>
      <c r="X1514" s="2">
        <v>2016</v>
      </c>
      <c r="Y1514" s="2"/>
    </row>
    <row r="1515" spans="1:25" s="11" customFormat="1" ht="89.25" customHeight="1" outlineLevel="1" x14ac:dyDescent="0.25">
      <c r="A1515" s="1"/>
      <c r="B1515" s="2" t="s">
        <v>6259</v>
      </c>
      <c r="C1515" s="3" t="s">
        <v>83</v>
      </c>
      <c r="D1515" s="19" t="s">
        <v>3002</v>
      </c>
      <c r="E1515" s="19" t="s">
        <v>2717</v>
      </c>
      <c r="F1515" s="19" t="s">
        <v>3003</v>
      </c>
      <c r="G1515" s="19"/>
      <c r="H1515" s="2" t="s">
        <v>88</v>
      </c>
      <c r="I1515" s="4">
        <v>0.4</v>
      </c>
      <c r="J1515" s="5">
        <v>710000000</v>
      </c>
      <c r="K1515" s="5" t="s">
        <v>89</v>
      </c>
      <c r="L1515" s="2" t="s">
        <v>754</v>
      </c>
      <c r="M1515" s="6" t="s">
        <v>91</v>
      </c>
      <c r="N1515" s="7" t="s">
        <v>92</v>
      </c>
      <c r="O1515" s="7" t="s">
        <v>93</v>
      </c>
      <c r="P1515" s="3" t="s">
        <v>94</v>
      </c>
      <c r="Q1515" s="8" t="s">
        <v>117</v>
      </c>
      <c r="R1515" s="7" t="s">
        <v>118</v>
      </c>
      <c r="S1515" s="9">
        <v>285</v>
      </c>
      <c r="T1515" s="9">
        <v>357</v>
      </c>
      <c r="U1515" s="9">
        <v>0</v>
      </c>
      <c r="V1515" s="9">
        <f t="shared" si="1104"/>
        <v>0</v>
      </c>
      <c r="W1515" s="7" t="s">
        <v>97</v>
      </c>
      <c r="X1515" s="2">
        <v>2016</v>
      </c>
      <c r="Y1515" s="2" t="s">
        <v>7793</v>
      </c>
    </row>
    <row r="1516" spans="1:25" s="11" customFormat="1" ht="89.25" customHeight="1" outlineLevel="1" x14ac:dyDescent="0.25">
      <c r="A1516" s="1"/>
      <c r="B1516" s="2" t="s">
        <v>8135</v>
      </c>
      <c r="C1516" s="3" t="s">
        <v>83</v>
      </c>
      <c r="D1516" s="19" t="s">
        <v>3002</v>
      </c>
      <c r="E1516" s="19" t="s">
        <v>2717</v>
      </c>
      <c r="F1516" s="19" t="s">
        <v>3003</v>
      </c>
      <c r="G1516" s="19"/>
      <c r="H1516" s="2" t="s">
        <v>88</v>
      </c>
      <c r="I1516" s="4">
        <v>0</v>
      </c>
      <c r="J1516" s="5">
        <v>710000000</v>
      </c>
      <c r="K1516" s="5" t="s">
        <v>89</v>
      </c>
      <c r="L1516" s="2" t="s">
        <v>754</v>
      </c>
      <c r="M1516" s="6" t="s">
        <v>91</v>
      </c>
      <c r="N1516" s="7" t="s">
        <v>92</v>
      </c>
      <c r="O1516" s="7" t="s">
        <v>93</v>
      </c>
      <c r="P1516" s="3" t="s">
        <v>673</v>
      </c>
      <c r="Q1516" s="8" t="s">
        <v>117</v>
      </c>
      <c r="R1516" s="7" t="s">
        <v>118</v>
      </c>
      <c r="S1516" s="9">
        <v>285</v>
      </c>
      <c r="T1516" s="9">
        <v>357</v>
      </c>
      <c r="U1516" s="9">
        <f t="shared" ref="U1516" si="1146">T1516*S1516</f>
        <v>101745</v>
      </c>
      <c r="V1516" s="9">
        <f t="shared" ref="V1516" si="1147">U1516*1.12</f>
        <v>113954.40000000001</v>
      </c>
      <c r="W1516" s="7"/>
      <c r="X1516" s="2">
        <v>2016</v>
      </c>
      <c r="Y1516" s="2"/>
    </row>
    <row r="1517" spans="1:25" s="11" customFormat="1" ht="89.25" customHeight="1" outlineLevel="1" x14ac:dyDescent="0.25">
      <c r="A1517" s="1"/>
      <c r="B1517" s="2" t="s">
        <v>6260</v>
      </c>
      <c r="C1517" s="3" t="s">
        <v>83</v>
      </c>
      <c r="D1517" s="19" t="s">
        <v>3004</v>
      </c>
      <c r="E1517" s="19" t="s">
        <v>2767</v>
      </c>
      <c r="F1517" s="19" t="s">
        <v>3005</v>
      </c>
      <c r="G1517" s="19" t="s">
        <v>3006</v>
      </c>
      <c r="H1517" s="2" t="s">
        <v>88</v>
      </c>
      <c r="I1517" s="4">
        <v>0.4</v>
      </c>
      <c r="J1517" s="5">
        <v>710000000</v>
      </c>
      <c r="K1517" s="5" t="s">
        <v>89</v>
      </c>
      <c r="L1517" s="2" t="s">
        <v>754</v>
      </c>
      <c r="M1517" s="6" t="s">
        <v>91</v>
      </c>
      <c r="N1517" s="7" t="s">
        <v>92</v>
      </c>
      <c r="O1517" s="7" t="s">
        <v>93</v>
      </c>
      <c r="P1517" s="3" t="s">
        <v>94</v>
      </c>
      <c r="Q1517" s="8" t="s">
        <v>117</v>
      </c>
      <c r="R1517" s="7" t="s">
        <v>118</v>
      </c>
      <c r="S1517" s="9">
        <v>1181</v>
      </c>
      <c r="T1517" s="9">
        <v>978</v>
      </c>
      <c r="U1517" s="9">
        <v>0</v>
      </c>
      <c r="V1517" s="9">
        <f t="shared" si="1104"/>
        <v>0</v>
      </c>
      <c r="W1517" s="7" t="s">
        <v>97</v>
      </c>
      <c r="X1517" s="2">
        <v>2016</v>
      </c>
      <c r="Y1517" s="2" t="s">
        <v>7793</v>
      </c>
    </row>
    <row r="1518" spans="1:25" s="11" customFormat="1" ht="89.25" customHeight="1" outlineLevel="1" x14ac:dyDescent="0.25">
      <c r="A1518" s="1"/>
      <c r="B1518" s="2" t="s">
        <v>8136</v>
      </c>
      <c r="C1518" s="3" t="s">
        <v>83</v>
      </c>
      <c r="D1518" s="19" t="s">
        <v>3004</v>
      </c>
      <c r="E1518" s="19" t="s">
        <v>2767</v>
      </c>
      <c r="F1518" s="19" t="s">
        <v>3005</v>
      </c>
      <c r="G1518" s="19" t="s">
        <v>3006</v>
      </c>
      <c r="H1518" s="2" t="s">
        <v>88</v>
      </c>
      <c r="I1518" s="4">
        <v>0</v>
      </c>
      <c r="J1518" s="5">
        <v>710000000</v>
      </c>
      <c r="K1518" s="5" t="s">
        <v>89</v>
      </c>
      <c r="L1518" s="2" t="s">
        <v>754</v>
      </c>
      <c r="M1518" s="6" t="s">
        <v>91</v>
      </c>
      <c r="N1518" s="7" t="s">
        <v>92</v>
      </c>
      <c r="O1518" s="7" t="s">
        <v>93</v>
      </c>
      <c r="P1518" s="3" t="s">
        <v>673</v>
      </c>
      <c r="Q1518" s="8" t="s">
        <v>117</v>
      </c>
      <c r="R1518" s="7" t="s">
        <v>118</v>
      </c>
      <c r="S1518" s="9">
        <v>1181</v>
      </c>
      <c r="T1518" s="9">
        <v>978</v>
      </c>
      <c r="U1518" s="9">
        <f t="shared" ref="U1518" si="1148">T1518*S1518</f>
        <v>1155018</v>
      </c>
      <c r="V1518" s="9">
        <f t="shared" ref="V1518" si="1149">U1518*1.12</f>
        <v>1293620.1600000001</v>
      </c>
      <c r="W1518" s="7"/>
      <c r="X1518" s="2">
        <v>2016</v>
      </c>
      <c r="Y1518" s="2"/>
    </row>
    <row r="1519" spans="1:25" s="11" customFormat="1" ht="89.25" customHeight="1" outlineLevel="1" x14ac:dyDescent="0.25">
      <c r="A1519" s="1"/>
      <c r="B1519" s="2" t="s">
        <v>6261</v>
      </c>
      <c r="C1519" s="3" t="s">
        <v>83</v>
      </c>
      <c r="D1519" s="19" t="s">
        <v>2910</v>
      </c>
      <c r="E1519" s="19" t="s">
        <v>2767</v>
      </c>
      <c r="F1519" s="19" t="s">
        <v>2911</v>
      </c>
      <c r="G1519" s="19"/>
      <c r="H1519" s="2" t="s">
        <v>88</v>
      </c>
      <c r="I1519" s="4">
        <v>0.4</v>
      </c>
      <c r="J1519" s="5">
        <v>710000000</v>
      </c>
      <c r="K1519" s="5" t="s">
        <v>89</v>
      </c>
      <c r="L1519" s="2" t="s">
        <v>754</v>
      </c>
      <c r="M1519" s="6" t="s">
        <v>91</v>
      </c>
      <c r="N1519" s="7" t="s">
        <v>92</v>
      </c>
      <c r="O1519" s="7" t="s">
        <v>93</v>
      </c>
      <c r="P1519" s="3" t="s">
        <v>94</v>
      </c>
      <c r="Q1519" s="8" t="s">
        <v>117</v>
      </c>
      <c r="R1519" s="7" t="s">
        <v>118</v>
      </c>
      <c r="S1519" s="9">
        <v>100</v>
      </c>
      <c r="T1519" s="9">
        <v>366</v>
      </c>
      <c r="U1519" s="9">
        <v>0</v>
      </c>
      <c r="V1519" s="9">
        <f t="shared" si="1104"/>
        <v>0</v>
      </c>
      <c r="W1519" s="7" t="s">
        <v>97</v>
      </c>
      <c r="X1519" s="2">
        <v>2016</v>
      </c>
      <c r="Y1519" s="2" t="s">
        <v>7793</v>
      </c>
    </row>
    <row r="1520" spans="1:25" s="11" customFormat="1" ht="89.25" customHeight="1" outlineLevel="1" x14ac:dyDescent="0.25">
      <c r="A1520" s="1"/>
      <c r="B1520" s="2" t="s">
        <v>8137</v>
      </c>
      <c r="C1520" s="3" t="s">
        <v>83</v>
      </c>
      <c r="D1520" s="19" t="s">
        <v>2910</v>
      </c>
      <c r="E1520" s="19" t="s">
        <v>2767</v>
      </c>
      <c r="F1520" s="19" t="s">
        <v>2911</v>
      </c>
      <c r="G1520" s="19"/>
      <c r="H1520" s="2" t="s">
        <v>88</v>
      </c>
      <c r="I1520" s="4">
        <v>0</v>
      </c>
      <c r="J1520" s="5">
        <v>710000000</v>
      </c>
      <c r="K1520" s="5" t="s">
        <v>89</v>
      </c>
      <c r="L1520" s="2" t="s">
        <v>754</v>
      </c>
      <c r="M1520" s="6" t="s">
        <v>91</v>
      </c>
      <c r="N1520" s="7" t="s">
        <v>92</v>
      </c>
      <c r="O1520" s="7" t="s">
        <v>93</v>
      </c>
      <c r="P1520" s="3" t="s">
        <v>673</v>
      </c>
      <c r="Q1520" s="8" t="s">
        <v>117</v>
      </c>
      <c r="R1520" s="7" t="s">
        <v>118</v>
      </c>
      <c r="S1520" s="9">
        <v>100</v>
      </c>
      <c r="T1520" s="9">
        <v>366</v>
      </c>
      <c r="U1520" s="9">
        <f t="shared" ref="U1520" si="1150">T1520*S1520</f>
        <v>36600</v>
      </c>
      <c r="V1520" s="9">
        <f t="shared" ref="V1520" si="1151">U1520*1.12</f>
        <v>40992.000000000007</v>
      </c>
      <c r="W1520" s="7"/>
      <c r="X1520" s="2">
        <v>2016</v>
      </c>
      <c r="Y1520" s="2"/>
    </row>
    <row r="1521" spans="1:25" s="11" customFormat="1" ht="89.25" customHeight="1" outlineLevel="1" x14ac:dyDescent="0.25">
      <c r="A1521" s="1"/>
      <c r="B1521" s="2" t="s">
        <v>6262</v>
      </c>
      <c r="C1521" s="3" t="s">
        <v>83</v>
      </c>
      <c r="D1521" s="19" t="s">
        <v>2701</v>
      </c>
      <c r="E1521" s="19" t="s">
        <v>2702</v>
      </c>
      <c r="F1521" s="19" t="s">
        <v>2703</v>
      </c>
      <c r="G1521" s="19"/>
      <c r="H1521" s="2" t="s">
        <v>88</v>
      </c>
      <c r="I1521" s="4">
        <v>0.4</v>
      </c>
      <c r="J1521" s="5">
        <v>710000000</v>
      </c>
      <c r="K1521" s="5" t="s">
        <v>89</v>
      </c>
      <c r="L1521" s="2" t="s">
        <v>754</v>
      </c>
      <c r="M1521" s="6" t="s">
        <v>91</v>
      </c>
      <c r="N1521" s="7" t="s">
        <v>92</v>
      </c>
      <c r="O1521" s="7" t="s">
        <v>93</v>
      </c>
      <c r="P1521" s="3" t="s">
        <v>94</v>
      </c>
      <c r="Q1521" s="8" t="s">
        <v>117</v>
      </c>
      <c r="R1521" s="7" t="s">
        <v>118</v>
      </c>
      <c r="S1521" s="9">
        <v>40</v>
      </c>
      <c r="T1521" s="9">
        <v>132</v>
      </c>
      <c r="U1521" s="9">
        <v>0</v>
      </c>
      <c r="V1521" s="9">
        <f t="shared" si="1104"/>
        <v>0</v>
      </c>
      <c r="W1521" s="7" t="s">
        <v>97</v>
      </c>
      <c r="X1521" s="2">
        <v>2016</v>
      </c>
      <c r="Y1521" s="2" t="s">
        <v>7793</v>
      </c>
    </row>
    <row r="1522" spans="1:25" s="11" customFormat="1" ht="89.25" customHeight="1" outlineLevel="1" x14ac:dyDescent="0.25">
      <c r="A1522" s="1"/>
      <c r="B1522" s="2" t="s">
        <v>8138</v>
      </c>
      <c r="C1522" s="3" t="s">
        <v>83</v>
      </c>
      <c r="D1522" s="19" t="s">
        <v>2701</v>
      </c>
      <c r="E1522" s="19" t="s">
        <v>2702</v>
      </c>
      <c r="F1522" s="19" t="s">
        <v>2703</v>
      </c>
      <c r="G1522" s="19"/>
      <c r="H1522" s="2" t="s">
        <v>88</v>
      </c>
      <c r="I1522" s="4">
        <v>0</v>
      </c>
      <c r="J1522" s="5">
        <v>710000000</v>
      </c>
      <c r="K1522" s="5" t="s">
        <v>89</v>
      </c>
      <c r="L1522" s="2" t="s">
        <v>754</v>
      </c>
      <c r="M1522" s="6" t="s">
        <v>91</v>
      </c>
      <c r="N1522" s="7" t="s">
        <v>92</v>
      </c>
      <c r="O1522" s="7" t="s">
        <v>93</v>
      </c>
      <c r="P1522" s="3" t="s">
        <v>673</v>
      </c>
      <c r="Q1522" s="8" t="s">
        <v>117</v>
      </c>
      <c r="R1522" s="7" t="s">
        <v>118</v>
      </c>
      <c r="S1522" s="9">
        <v>40</v>
      </c>
      <c r="T1522" s="9">
        <v>132</v>
      </c>
      <c r="U1522" s="9">
        <v>0</v>
      </c>
      <c r="V1522" s="9">
        <f t="shared" ref="V1522" si="1152">U1522*1.12</f>
        <v>0</v>
      </c>
      <c r="W1522" s="7"/>
      <c r="X1522" s="2">
        <v>2016</v>
      </c>
      <c r="Y1522" s="2" t="s">
        <v>7460</v>
      </c>
    </row>
    <row r="1523" spans="1:25" s="11" customFormat="1" ht="89.25" customHeight="1" outlineLevel="1" x14ac:dyDescent="0.25">
      <c r="A1523" s="1"/>
      <c r="B1523" s="2" t="s">
        <v>6263</v>
      </c>
      <c r="C1523" s="3" t="s">
        <v>83</v>
      </c>
      <c r="D1523" s="19" t="s">
        <v>3007</v>
      </c>
      <c r="E1523" s="19" t="s">
        <v>2702</v>
      </c>
      <c r="F1523" s="19" t="s">
        <v>3008</v>
      </c>
      <c r="G1523" s="19"/>
      <c r="H1523" s="2" t="s">
        <v>88</v>
      </c>
      <c r="I1523" s="4">
        <v>0.4</v>
      </c>
      <c r="J1523" s="5">
        <v>710000000</v>
      </c>
      <c r="K1523" s="5" t="s">
        <v>89</v>
      </c>
      <c r="L1523" s="2" t="s">
        <v>754</v>
      </c>
      <c r="M1523" s="6" t="s">
        <v>91</v>
      </c>
      <c r="N1523" s="7" t="s">
        <v>92</v>
      </c>
      <c r="O1523" s="7" t="s">
        <v>93</v>
      </c>
      <c r="P1523" s="3" t="s">
        <v>94</v>
      </c>
      <c r="Q1523" s="8" t="s">
        <v>117</v>
      </c>
      <c r="R1523" s="7" t="s">
        <v>118</v>
      </c>
      <c r="S1523" s="9">
        <v>30</v>
      </c>
      <c r="T1523" s="9">
        <v>196</v>
      </c>
      <c r="U1523" s="9">
        <v>0</v>
      </c>
      <c r="V1523" s="9">
        <f t="shared" si="1104"/>
        <v>0</v>
      </c>
      <c r="W1523" s="7" t="s">
        <v>97</v>
      </c>
      <c r="X1523" s="2">
        <v>2016</v>
      </c>
      <c r="Y1523" s="2" t="s">
        <v>7793</v>
      </c>
    </row>
    <row r="1524" spans="1:25" s="11" customFormat="1" ht="89.25" customHeight="1" outlineLevel="1" x14ac:dyDescent="0.25">
      <c r="A1524" s="1"/>
      <c r="B1524" s="2" t="s">
        <v>8139</v>
      </c>
      <c r="C1524" s="3" t="s">
        <v>83</v>
      </c>
      <c r="D1524" s="19" t="s">
        <v>3007</v>
      </c>
      <c r="E1524" s="19" t="s">
        <v>2702</v>
      </c>
      <c r="F1524" s="19" t="s">
        <v>3008</v>
      </c>
      <c r="G1524" s="19"/>
      <c r="H1524" s="2" t="s">
        <v>88</v>
      </c>
      <c r="I1524" s="4">
        <v>0</v>
      </c>
      <c r="J1524" s="5">
        <v>710000000</v>
      </c>
      <c r="K1524" s="5" t="s">
        <v>89</v>
      </c>
      <c r="L1524" s="2" t="s">
        <v>754</v>
      </c>
      <c r="M1524" s="6" t="s">
        <v>91</v>
      </c>
      <c r="N1524" s="7" t="s">
        <v>92</v>
      </c>
      <c r="O1524" s="7" t="s">
        <v>93</v>
      </c>
      <c r="P1524" s="3" t="s">
        <v>673</v>
      </c>
      <c r="Q1524" s="8" t="s">
        <v>117</v>
      </c>
      <c r="R1524" s="7" t="s">
        <v>118</v>
      </c>
      <c r="S1524" s="9">
        <v>30</v>
      </c>
      <c r="T1524" s="9">
        <v>196</v>
      </c>
      <c r="U1524" s="9">
        <v>0</v>
      </c>
      <c r="V1524" s="9">
        <f t="shared" ref="V1524" si="1153">U1524*1.12</f>
        <v>0</v>
      </c>
      <c r="W1524" s="7"/>
      <c r="X1524" s="2">
        <v>2016</v>
      </c>
      <c r="Y1524" s="2" t="s">
        <v>7460</v>
      </c>
    </row>
    <row r="1525" spans="1:25" s="11" customFormat="1" ht="89.25" customHeight="1" outlineLevel="1" x14ac:dyDescent="0.25">
      <c r="A1525" s="1"/>
      <c r="B1525" s="2" t="s">
        <v>6264</v>
      </c>
      <c r="C1525" s="3" t="s">
        <v>83</v>
      </c>
      <c r="D1525" s="19" t="s">
        <v>3009</v>
      </c>
      <c r="E1525" s="19" t="s">
        <v>2702</v>
      </c>
      <c r="F1525" s="19" t="s">
        <v>3010</v>
      </c>
      <c r="G1525" s="19"/>
      <c r="H1525" s="2" t="s">
        <v>88</v>
      </c>
      <c r="I1525" s="4">
        <v>0.4</v>
      </c>
      <c r="J1525" s="5">
        <v>710000000</v>
      </c>
      <c r="K1525" s="5" t="s">
        <v>89</v>
      </c>
      <c r="L1525" s="2" t="s">
        <v>754</v>
      </c>
      <c r="M1525" s="6" t="s">
        <v>91</v>
      </c>
      <c r="N1525" s="7" t="s">
        <v>92</v>
      </c>
      <c r="O1525" s="7" t="s">
        <v>93</v>
      </c>
      <c r="P1525" s="3" t="s">
        <v>94</v>
      </c>
      <c r="Q1525" s="8" t="s">
        <v>117</v>
      </c>
      <c r="R1525" s="7" t="s">
        <v>118</v>
      </c>
      <c r="S1525" s="9">
        <v>50</v>
      </c>
      <c r="T1525" s="9">
        <v>67</v>
      </c>
      <c r="U1525" s="9">
        <v>0</v>
      </c>
      <c r="V1525" s="9">
        <f t="shared" si="1104"/>
        <v>0</v>
      </c>
      <c r="W1525" s="7" t="s">
        <v>97</v>
      </c>
      <c r="X1525" s="2">
        <v>2016</v>
      </c>
      <c r="Y1525" s="2" t="s">
        <v>7793</v>
      </c>
    </row>
    <row r="1526" spans="1:25" s="11" customFormat="1" ht="89.25" customHeight="1" outlineLevel="1" x14ac:dyDescent="0.25">
      <c r="A1526" s="1"/>
      <c r="B1526" s="2" t="s">
        <v>8140</v>
      </c>
      <c r="C1526" s="3" t="s">
        <v>83</v>
      </c>
      <c r="D1526" s="19" t="s">
        <v>3009</v>
      </c>
      <c r="E1526" s="19" t="s">
        <v>2702</v>
      </c>
      <c r="F1526" s="19" t="s">
        <v>3010</v>
      </c>
      <c r="G1526" s="19"/>
      <c r="H1526" s="2" t="s">
        <v>88</v>
      </c>
      <c r="I1526" s="4">
        <v>0</v>
      </c>
      <c r="J1526" s="5">
        <v>710000000</v>
      </c>
      <c r="K1526" s="5" t="s">
        <v>89</v>
      </c>
      <c r="L1526" s="2" t="s">
        <v>754</v>
      </c>
      <c r="M1526" s="6" t="s">
        <v>91</v>
      </c>
      <c r="N1526" s="7" t="s">
        <v>92</v>
      </c>
      <c r="O1526" s="7" t="s">
        <v>93</v>
      </c>
      <c r="P1526" s="3" t="s">
        <v>673</v>
      </c>
      <c r="Q1526" s="8" t="s">
        <v>117</v>
      </c>
      <c r="R1526" s="7" t="s">
        <v>118</v>
      </c>
      <c r="S1526" s="9">
        <v>50</v>
      </c>
      <c r="T1526" s="9">
        <v>67</v>
      </c>
      <c r="U1526" s="9">
        <v>0</v>
      </c>
      <c r="V1526" s="9">
        <f t="shared" ref="V1526" si="1154">U1526*1.12</f>
        <v>0</v>
      </c>
      <c r="W1526" s="7"/>
      <c r="X1526" s="2">
        <v>2016</v>
      </c>
      <c r="Y1526" s="2" t="s">
        <v>7460</v>
      </c>
    </row>
    <row r="1527" spans="1:25" s="11" customFormat="1" ht="89.25" customHeight="1" outlineLevel="1" x14ac:dyDescent="0.25">
      <c r="A1527" s="1"/>
      <c r="B1527" s="2" t="s">
        <v>6265</v>
      </c>
      <c r="C1527" s="3" t="s">
        <v>83</v>
      </c>
      <c r="D1527" s="19" t="s">
        <v>2979</v>
      </c>
      <c r="E1527" s="19" t="s">
        <v>2763</v>
      </c>
      <c r="F1527" s="19" t="s">
        <v>2980</v>
      </c>
      <c r="G1527" s="19" t="s">
        <v>3011</v>
      </c>
      <c r="H1527" s="2" t="s">
        <v>88</v>
      </c>
      <c r="I1527" s="4">
        <v>0.4</v>
      </c>
      <c r="J1527" s="5">
        <v>710000000</v>
      </c>
      <c r="K1527" s="5" t="s">
        <v>89</v>
      </c>
      <c r="L1527" s="2" t="s">
        <v>754</v>
      </c>
      <c r="M1527" s="6" t="s">
        <v>91</v>
      </c>
      <c r="N1527" s="7" t="s">
        <v>92</v>
      </c>
      <c r="O1527" s="7" t="s">
        <v>93</v>
      </c>
      <c r="P1527" s="3" t="s">
        <v>94</v>
      </c>
      <c r="Q1527" s="8" t="s">
        <v>117</v>
      </c>
      <c r="R1527" s="7" t="s">
        <v>118</v>
      </c>
      <c r="S1527" s="9">
        <v>33</v>
      </c>
      <c r="T1527" s="9">
        <v>33036</v>
      </c>
      <c r="U1527" s="9">
        <v>0</v>
      </c>
      <c r="V1527" s="9">
        <f t="shared" si="1104"/>
        <v>0</v>
      </c>
      <c r="W1527" s="7" t="s">
        <v>97</v>
      </c>
      <c r="X1527" s="2">
        <v>2016</v>
      </c>
      <c r="Y1527" s="2" t="s">
        <v>7793</v>
      </c>
    </row>
    <row r="1528" spans="1:25" s="11" customFormat="1" ht="89.25" customHeight="1" outlineLevel="1" x14ac:dyDescent="0.25">
      <c r="A1528" s="1"/>
      <c r="B1528" s="2" t="s">
        <v>8141</v>
      </c>
      <c r="C1528" s="3" t="s">
        <v>83</v>
      </c>
      <c r="D1528" s="19" t="s">
        <v>2979</v>
      </c>
      <c r="E1528" s="19" t="s">
        <v>2763</v>
      </c>
      <c r="F1528" s="19" t="s">
        <v>2980</v>
      </c>
      <c r="G1528" s="19" t="s">
        <v>3011</v>
      </c>
      <c r="H1528" s="2" t="s">
        <v>88</v>
      </c>
      <c r="I1528" s="4">
        <v>0</v>
      </c>
      <c r="J1528" s="5">
        <v>710000000</v>
      </c>
      <c r="K1528" s="5" t="s">
        <v>89</v>
      </c>
      <c r="L1528" s="2" t="s">
        <v>754</v>
      </c>
      <c r="M1528" s="6" t="s">
        <v>91</v>
      </c>
      <c r="N1528" s="7" t="s">
        <v>92</v>
      </c>
      <c r="O1528" s="7" t="s">
        <v>93</v>
      </c>
      <c r="P1528" s="3" t="s">
        <v>673</v>
      </c>
      <c r="Q1528" s="8" t="s">
        <v>117</v>
      </c>
      <c r="R1528" s="7" t="s">
        <v>118</v>
      </c>
      <c r="S1528" s="9">
        <v>33</v>
      </c>
      <c r="T1528" s="9">
        <v>33036</v>
      </c>
      <c r="U1528" s="9">
        <f t="shared" ref="U1528" si="1155">T1528*S1528</f>
        <v>1090188</v>
      </c>
      <c r="V1528" s="9">
        <f t="shared" ref="V1528" si="1156">U1528*1.12</f>
        <v>1221010.56</v>
      </c>
      <c r="W1528" s="7"/>
      <c r="X1528" s="2">
        <v>2016</v>
      </c>
      <c r="Y1528" s="2"/>
    </row>
    <row r="1529" spans="1:25" s="11" customFormat="1" ht="89.25" customHeight="1" outlineLevel="1" x14ac:dyDescent="0.25">
      <c r="A1529" s="1"/>
      <c r="B1529" s="2" t="s">
        <v>6266</v>
      </c>
      <c r="C1529" s="3" t="s">
        <v>83</v>
      </c>
      <c r="D1529" s="19" t="s">
        <v>3012</v>
      </c>
      <c r="E1529" s="19" t="s">
        <v>2803</v>
      </c>
      <c r="F1529" s="19" t="s">
        <v>3013</v>
      </c>
      <c r="G1529" s="19"/>
      <c r="H1529" s="2" t="s">
        <v>88</v>
      </c>
      <c r="I1529" s="4">
        <v>0.4</v>
      </c>
      <c r="J1529" s="5">
        <v>710000000</v>
      </c>
      <c r="K1529" s="5" t="s">
        <v>89</v>
      </c>
      <c r="L1529" s="2" t="s">
        <v>754</v>
      </c>
      <c r="M1529" s="6" t="s">
        <v>91</v>
      </c>
      <c r="N1529" s="7" t="s">
        <v>92</v>
      </c>
      <c r="O1529" s="7" t="s">
        <v>93</v>
      </c>
      <c r="P1529" s="3" t="s">
        <v>94</v>
      </c>
      <c r="Q1529" s="8" t="s">
        <v>2439</v>
      </c>
      <c r="R1529" s="7" t="s">
        <v>2440</v>
      </c>
      <c r="S1529" s="9">
        <v>24</v>
      </c>
      <c r="T1529" s="9">
        <v>136</v>
      </c>
      <c r="U1529" s="9">
        <v>0</v>
      </c>
      <c r="V1529" s="9">
        <f t="shared" si="1104"/>
        <v>0</v>
      </c>
      <c r="W1529" s="7" t="s">
        <v>97</v>
      </c>
      <c r="X1529" s="2">
        <v>2016</v>
      </c>
      <c r="Y1529" s="2" t="s">
        <v>7793</v>
      </c>
    </row>
    <row r="1530" spans="1:25" s="11" customFormat="1" ht="89.25" customHeight="1" outlineLevel="1" x14ac:dyDescent="0.25">
      <c r="A1530" s="1"/>
      <c r="B1530" s="2" t="s">
        <v>8142</v>
      </c>
      <c r="C1530" s="3" t="s">
        <v>83</v>
      </c>
      <c r="D1530" s="19" t="s">
        <v>3012</v>
      </c>
      <c r="E1530" s="19" t="s">
        <v>2803</v>
      </c>
      <c r="F1530" s="19" t="s">
        <v>3013</v>
      </c>
      <c r="G1530" s="19"/>
      <c r="H1530" s="2" t="s">
        <v>88</v>
      </c>
      <c r="I1530" s="4">
        <v>0</v>
      </c>
      <c r="J1530" s="5">
        <v>710000000</v>
      </c>
      <c r="K1530" s="5" t="s">
        <v>89</v>
      </c>
      <c r="L1530" s="2" t="s">
        <v>754</v>
      </c>
      <c r="M1530" s="6" t="s">
        <v>91</v>
      </c>
      <c r="N1530" s="7" t="s">
        <v>92</v>
      </c>
      <c r="O1530" s="7" t="s">
        <v>93</v>
      </c>
      <c r="P1530" s="3" t="s">
        <v>673</v>
      </c>
      <c r="Q1530" s="8" t="s">
        <v>2439</v>
      </c>
      <c r="R1530" s="7" t="s">
        <v>2440</v>
      </c>
      <c r="S1530" s="9">
        <v>24</v>
      </c>
      <c r="T1530" s="9">
        <v>136</v>
      </c>
      <c r="U1530" s="9">
        <f t="shared" ref="U1530" si="1157">T1530*S1530</f>
        <v>3264</v>
      </c>
      <c r="V1530" s="9">
        <f t="shared" ref="V1530" si="1158">U1530*1.12</f>
        <v>3655.6800000000003</v>
      </c>
      <c r="W1530" s="7"/>
      <c r="X1530" s="2">
        <v>2016</v>
      </c>
      <c r="Y1530" s="2"/>
    </row>
    <row r="1531" spans="1:25" s="11" customFormat="1" ht="89.25" customHeight="1" outlineLevel="1" x14ac:dyDescent="0.25">
      <c r="A1531" s="1"/>
      <c r="B1531" s="2" t="s">
        <v>6267</v>
      </c>
      <c r="C1531" s="3" t="s">
        <v>83</v>
      </c>
      <c r="D1531" s="19" t="s">
        <v>3014</v>
      </c>
      <c r="E1531" s="19" t="s">
        <v>2803</v>
      </c>
      <c r="F1531" s="19" t="s">
        <v>3015</v>
      </c>
      <c r="G1531" s="19"/>
      <c r="H1531" s="2" t="s">
        <v>88</v>
      </c>
      <c r="I1531" s="4">
        <v>0.4</v>
      </c>
      <c r="J1531" s="5">
        <v>710000000</v>
      </c>
      <c r="K1531" s="5" t="s">
        <v>89</v>
      </c>
      <c r="L1531" s="2" t="s">
        <v>754</v>
      </c>
      <c r="M1531" s="6" t="s">
        <v>91</v>
      </c>
      <c r="N1531" s="7" t="s">
        <v>92</v>
      </c>
      <c r="O1531" s="7" t="s">
        <v>93</v>
      </c>
      <c r="P1531" s="3" t="s">
        <v>94</v>
      </c>
      <c r="Q1531" s="8" t="s">
        <v>2439</v>
      </c>
      <c r="R1531" s="7" t="s">
        <v>2440</v>
      </c>
      <c r="S1531" s="9">
        <v>10</v>
      </c>
      <c r="T1531" s="9">
        <v>217</v>
      </c>
      <c r="U1531" s="9">
        <v>0</v>
      </c>
      <c r="V1531" s="9">
        <f t="shared" si="1104"/>
        <v>0</v>
      </c>
      <c r="W1531" s="7" t="s">
        <v>97</v>
      </c>
      <c r="X1531" s="2">
        <v>2016</v>
      </c>
      <c r="Y1531" s="2" t="s">
        <v>7793</v>
      </c>
    </row>
    <row r="1532" spans="1:25" s="11" customFormat="1" ht="89.25" customHeight="1" outlineLevel="1" x14ac:dyDescent="0.25">
      <c r="A1532" s="1"/>
      <c r="B1532" s="2" t="s">
        <v>8143</v>
      </c>
      <c r="C1532" s="3" t="s">
        <v>83</v>
      </c>
      <c r="D1532" s="19" t="s">
        <v>3014</v>
      </c>
      <c r="E1532" s="19" t="s">
        <v>2803</v>
      </c>
      <c r="F1532" s="19" t="s">
        <v>3015</v>
      </c>
      <c r="G1532" s="19"/>
      <c r="H1532" s="2" t="s">
        <v>88</v>
      </c>
      <c r="I1532" s="4">
        <v>0</v>
      </c>
      <c r="J1532" s="5">
        <v>710000000</v>
      </c>
      <c r="K1532" s="5" t="s">
        <v>89</v>
      </c>
      <c r="L1532" s="2" t="s">
        <v>754</v>
      </c>
      <c r="M1532" s="6" t="s">
        <v>91</v>
      </c>
      <c r="N1532" s="7" t="s">
        <v>92</v>
      </c>
      <c r="O1532" s="7" t="s">
        <v>93</v>
      </c>
      <c r="P1532" s="3" t="s">
        <v>673</v>
      </c>
      <c r="Q1532" s="8" t="s">
        <v>2439</v>
      </c>
      <c r="R1532" s="7" t="s">
        <v>2440</v>
      </c>
      <c r="S1532" s="9">
        <v>10</v>
      </c>
      <c r="T1532" s="9">
        <v>217</v>
      </c>
      <c r="U1532" s="9">
        <f t="shared" ref="U1532" si="1159">T1532*S1532</f>
        <v>2170</v>
      </c>
      <c r="V1532" s="9">
        <f t="shared" ref="V1532" si="1160">U1532*1.12</f>
        <v>2430.4</v>
      </c>
      <c r="W1532" s="7"/>
      <c r="X1532" s="2">
        <v>2016</v>
      </c>
      <c r="Y1532" s="2"/>
    </row>
    <row r="1533" spans="1:25" s="11" customFormat="1" ht="89.25" customHeight="1" outlineLevel="1" x14ac:dyDescent="0.25">
      <c r="A1533" s="1"/>
      <c r="B1533" s="2" t="s">
        <v>6268</v>
      </c>
      <c r="C1533" s="3" t="s">
        <v>83</v>
      </c>
      <c r="D1533" s="19" t="s">
        <v>3016</v>
      </c>
      <c r="E1533" s="19" t="s">
        <v>2803</v>
      </c>
      <c r="F1533" s="19" t="s">
        <v>3017</v>
      </c>
      <c r="G1533" s="19"/>
      <c r="H1533" s="2" t="s">
        <v>88</v>
      </c>
      <c r="I1533" s="4">
        <v>0.4</v>
      </c>
      <c r="J1533" s="5">
        <v>710000000</v>
      </c>
      <c r="K1533" s="5" t="s">
        <v>89</v>
      </c>
      <c r="L1533" s="2" t="s">
        <v>754</v>
      </c>
      <c r="M1533" s="6" t="s">
        <v>91</v>
      </c>
      <c r="N1533" s="7" t="s">
        <v>92</v>
      </c>
      <c r="O1533" s="7" t="s">
        <v>93</v>
      </c>
      <c r="P1533" s="3" t="s">
        <v>94</v>
      </c>
      <c r="Q1533" s="8" t="s">
        <v>2439</v>
      </c>
      <c r="R1533" s="7" t="s">
        <v>2440</v>
      </c>
      <c r="S1533" s="9">
        <v>30</v>
      </c>
      <c r="T1533" s="9">
        <v>408</v>
      </c>
      <c r="U1533" s="9">
        <v>0</v>
      </c>
      <c r="V1533" s="9">
        <f t="shared" si="1104"/>
        <v>0</v>
      </c>
      <c r="W1533" s="7" t="s">
        <v>97</v>
      </c>
      <c r="X1533" s="2">
        <v>2016</v>
      </c>
      <c r="Y1533" s="2" t="s">
        <v>7793</v>
      </c>
    </row>
    <row r="1534" spans="1:25" s="11" customFormat="1" ht="89.25" customHeight="1" outlineLevel="1" x14ac:dyDescent="0.25">
      <c r="A1534" s="1"/>
      <c r="B1534" s="2" t="s">
        <v>8144</v>
      </c>
      <c r="C1534" s="3" t="s">
        <v>83</v>
      </c>
      <c r="D1534" s="19" t="s">
        <v>3016</v>
      </c>
      <c r="E1534" s="19" t="s">
        <v>2803</v>
      </c>
      <c r="F1534" s="19" t="s">
        <v>3017</v>
      </c>
      <c r="G1534" s="19"/>
      <c r="H1534" s="2" t="s">
        <v>88</v>
      </c>
      <c r="I1534" s="4">
        <v>0</v>
      </c>
      <c r="J1534" s="5">
        <v>710000000</v>
      </c>
      <c r="K1534" s="5" t="s">
        <v>89</v>
      </c>
      <c r="L1534" s="2" t="s">
        <v>754</v>
      </c>
      <c r="M1534" s="6" t="s">
        <v>91</v>
      </c>
      <c r="N1534" s="7" t="s">
        <v>92</v>
      </c>
      <c r="O1534" s="7" t="s">
        <v>93</v>
      </c>
      <c r="P1534" s="3" t="s">
        <v>673</v>
      </c>
      <c r="Q1534" s="8" t="s">
        <v>2439</v>
      </c>
      <c r="R1534" s="7" t="s">
        <v>2440</v>
      </c>
      <c r="S1534" s="9">
        <v>30</v>
      </c>
      <c r="T1534" s="9">
        <v>408</v>
      </c>
      <c r="U1534" s="9">
        <f t="shared" ref="U1534" si="1161">T1534*S1534</f>
        <v>12240</v>
      </c>
      <c r="V1534" s="9">
        <f t="shared" ref="V1534" si="1162">U1534*1.12</f>
        <v>13708.800000000001</v>
      </c>
      <c r="W1534" s="7"/>
      <c r="X1534" s="2">
        <v>2016</v>
      </c>
      <c r="Y1534" s="2"/>
    </row>
    <row r="1535" spans="1:25" s="11" customFormat="1" ht="89.25" customHeight="1" outlineLevel="1" x14ac:dyDescent="0.25">
      <c r="A1535" s="1"/>
      <c r="B1535" s="2" t="s">
        <v>6269</v>
      </c>
      <c r="C1535" s="3" t="s">
        <v>83</v>
      </c>
      <c r="D1535" s="19" t="s">
        <v>3018</v>
      </c>
      <c r="E1535" s="19" t="s">
        <v>2803</v>
      </c>
      <c r="F1535" s="19" t="s">
        <v>3019</v>
      </c>
      <c r="G1535" s="19"/>
      <c r="H1535" s="2" t="s">
        <v>88</v>
      </c>
      <c r="I1535" s="4">
        <v>0.4</v>
      </c>
      <c r="J1535" s="5">
        <v>710000000</v>
      </c>
      <c r="K1535" s="5" t="s">
        <v>89</v>
      </c>
      <c r="L1535" s="2" t="s">
        <v>754</v>
      </c>
      <c r="M1535" s="6" t="s">
        <v>91</v>
      </c>
      <c r="N1535" s="7" t="s">
        <v>92</v>
      </c>
      <c r="O1535" s="7" t="s">
        <v>93</v>
      </c>
      <c r="P1535" s="3" t="s">
        <v>94</v>
      </c>
      <c r="Q1535" s="8" t="s">
        <v>2439</v>
      </c>
      <c r="R1535" s="7" t="s">
        <v>2440</v>
      </c>
      <c r="S1535" s="9">
        <v>23</v>
      </c>
      <c r="T1535" s="9">
        <v>2136</v>
      </c>
      <c r="U1535" s="9">
        <v>0</v>
      </c>
      <c r="V1535" s="9">
        <f t="shared" si="1104"/>
        <v>0</v>
      </c>
      <c r="W1535" s="7" t="s">
        <v>97</v>
      </c>
      <c r="X1535" s="2">
        <v>2016</v>
      </c>
      <c r="Y1535" s="2" t="s">
        <v>7793</v>
      </c>
    </row>
    <row r="1536" spans="1:25" s="11" customFormat="1" ht="89.25" customHeight="1" outlineLevel="1" x14ac:dyDescent="0.25">
      <c r="A1536" s="1"/>
      <c r="B1536" s="2" t="s">
        <v>8145</v>
      </c>
      <c r="C1536" s="3" t="s">
        <v>83</v>
      </c>
      <c r="D1536" s="19" t="s">
        <v>3018</v>
      </c>
      <c r="E1536" s="19" t="s">
        <v>2803</v>
      </c>
      <c r="F1536" s="19" t="s">
        <v>3019</v>
      </c>
      <c r="G1536" s="19"/>
      <c r="H1536" s="2" t="s">
        <v>88</v>
      </c>
      <c r="I1536" s="4">
        <v>0</v>
      </c>
      <c r="J1536" s="5">
        <v>710000000</v>
      </c>
      <c r="K1536" s="5" t="s">
        <v>89</v>
      </c>
      <c r="L1536" s="2" t="s">
        <v>754</v>
      </c>
      <c r="M1536" s="6" t="s">
        <v>91</v>
      </c>
      <c r="N1536" s="7" t="s">
        <v>92</v>
      </c>
      <c r="O1536" s="7" t="s">
        <v>93</v>
      </c>
      <c r="P1536" s="3" t="s">
        <v>673</v>
      </c>
      <c r="Q1536" s="8" t="s">
        <v>2439</v>
      </c>
      <c r="R1536" s="7" t="s">
        <v>2440</v>
      </c>
      <c r="S1536" s="9">
        <v>23</v>
      </c>
      <c r="T1536" s="9">
        <v>2136</v>
      </c>
      <c r="U1536" s="9">
        <f t="shared" ref="U1536" si="1163">T1536*S1536</f>
        <v>49128</v>
      </c>
      <c r="V1536" s="9">
        <f t="shared" ref="V1536" si="1164">U1536*1.12</f>
        <v>55023.360000000008</v>
      </c>
      <c r="W1536" s="7"/>
      <c r="X1536" s="2">
        <v>2016</v>
      </c>
      <c r="Y1536" s="2"/>
    </row>
    <row r="1537" spans="1:25" s="11" customFormat="1" ht="89.25" customHeight="1" outlineLevel="1" x14ac:dyDescent="0.25">
      <c r="A1537" s="1"/>
      <c r="B1537" s="2" t="s">
        <v>6270</v>
      </c>
      <c r="C1537" s="3" t="s">
        <v>83</v>
      </c>
      <c r="D1537" s="19" t="s">
        <v>2823</v>
      </c>
      <c r="E1537" s="19" t="s">
        <v>2800</v>
      </c>
      <c r="F1537" s="19" t="s">
        <v>2824</v>
      </c>
      <c r="G1537" s="19" t="s">
        <v>3020</v>
      </c>
      <c r="H1537" s="2" t="s">
        <v>88</v>
      </c>
      <c r="I1537" s="4">
        <v>0.4</v>
      </c>
      <c r="J1537" s="5">
        <v>710000000</v>
      </c>
      <c r="K1537" s="5" t="s">
        <v>89</v>
      </c>
      <c r="L1537" s="2" t="s">
        <v>754</v>
      </c>
      <c r="M1537" s="6" t="s">
        <v>91</v>
      </c>
      <c r="N1537" s="7" t="s">
        <v>92</v>
      </c>
      <c r="O1537" s="7" t="s">
        <v>93</v>
      </c>
      <c r="P1537" s="3" t="s">
        <v>94</v>
      </c>
      <c r="Q1537" s="8" t="s">
        <v>117</v>
      </c>
      <c r="R1537" s="7" t="s">
        <v>118</v>
      </c>
      <c r="S1537" s="9">
        <v>5</v>
      </c>
      <c r="T1537" s="9">
        <v>656</v>
      </c>
      <c r="U1537" s="9">
        <v>0</v>
      </c>
      <c r="V1537" s="9">
        <f t="shared" si="1104"/>
        <v>0</v>
      </c>
      <c r="W1537" s="7" t="s">
        <v>97</v>
      </c>
      <c r="X1537" s="2">
        <v>2016</v>
      </c>
      <c r="Y1537" s="2" t="s">
        <v>7793</v>
      </c>
    </row>
    <row r="1538" spans="1:25" s="11" customFormat="1" ht="89.25" customHeight="1" outlineLevel="1" x14ac:dyDescent="0.25">
      <c r="A1538" s="1"/>
      <c r="B1538" s="2" t="s">
        <v>8146</v>
      </c>
      <c r="C1538" s="3" t="s">
        <v>83</v>
      </c>
      <c r="D1538" s="19" t="s">
        <v>2823</v>
      </c>
      <c r="E1538" s="19" t="s">
        <v>2800</v>
      </c>
      <c r="F1538" s="19" t="s">
        <v>2824</v>
      </c>
      <c r="G1538" s="19" t="s">
        <v>3020</v>
      </c>
      <c r="H1538" s="2" t="s">
        <v>88</v>
      </c>
      <c r="I1538" s="4">
        <v>0</v>
      </c>
      <c r="J1538" s="5">
        <v>710000000</v>
      </c>
      <c r="K1538" s="5" t="s">
        <v>89</v>
      </c>
      <c r="L1538" s="2" t="s">
        <v>754</v>
      </c>
      <c r="M1538" s="6" t="s">
        <v>91</v>
      </c>
      <c r="N1538" s="7" t="s">
        <v>92</v>
      </c>
      <c r="O1538" s="7" t="s">
        <v>93</v>
      </c>
      <c r="P1538" s="3" t="s">
        <v>673</v>
      </c>
      <c r="Q1538" s="8" t="s">
        <v>117</v>
      </c>
      <c r="R1538" s="7" t="s">
        <v>118</v>
      </c>
      <c r="S1538" s="9">
        <v>5</v>
      </c>
      <c r="T1538" s="9">
        <v>656</v>
      </c>
      <c r="U1538" s="9">
        <f t="shared" ref="U1538" si="1165">T1538*S1538</f>
        <v>3280</v>
      </c>
      <c r="V1538" s="9">
        <f t="shared" ref="V1538" si="1166">U1538*1.12</f>
        <v>3673.6000000000004</v>
      </c>
      <c r="W1538" s="7"/>
      <c r="X1538" s="2">
        <v>2016</v>
      </c>
      <c r="Y1538" s="2"/>
    </row>
    <row r="1539" spans="1:25" s="11" customFormat="1" ht="89.25" customHeight="1" outlineLevel="1" x14ac:dyDescent="0.25">
      <c r="A1539" s="1"/>
      <c r="B1539" s="2" t="s">
        <v>6271</v>
      </c>
      <c r="C1539" s="3" t="s">
        <v>83</v>
      </c>
      <c r="D1539" s="19" t="s">
        <v>2823</v>
      </c>
      <c r="E1539" s="19" t="s">
        <v>2800</v>
      </c>
      <c r="F1539" s="19" t="s">
        <v>2824</v>
      </c>
      <c r="G1539" s="19" t="s">
        <v>3021</v>
      </c>
      <c r="H1539" s="2" t="s">
        <v>88</v>
      </c>
      <c r="I1539" s="4">
        <v>0.4</v>
      </c>
      <c r="J1539" s="5">
        <v>710000000</v>
      </c>
      <c r="K1539" s="5" t="s">
        <v>89</v>
      </c>
      <c r="L1539" s="2" t="s">
        <v>754</v>
      </c>
      <c r="M1539" s="6" t="s">
        <v>91</v>
      </c>
      <c r="N1539" s="7" t="s">
        <v>92</v>
      </c>
      <c r="O1539" s="7" t="s">
        <v>93</v>
      </c>
      <c r="P1539" s="3" t="s">
        <v>94</v>
      </c>
      <c r="Q1539" s="8" t="s">
        <v>117</v>
      </c>
      <c r="R1539" s="7" t="s">
        <v>118</v>
      </c>
      <c r="S1539" s="9">
        <v>1</v>
      </c>
      <c r="T1539" s="9">
        <v>783</v>
      </c>
      <c r="U1539" s="9">
        <v>0</v>
      </c>
      <c r="V1539" s="9">
        <f t="shared" si="1104"/>
        <v>0</v>
      </c>
      <c r="W1539" s="7" t="s">
        <v>97</v>
      </c>
      <c r="X1539" s="2">
        <v>2016</v>
      </c>
      <c r="Y1539" s="2" t="s">
        <v>7793</v>
      </c>
    </row>
    <row r="1540" spans="1:25" s="11" customFormat="1" ht="89.25" customHeight="1" outlineLevel="1" x14ac:dyDescent="0.25">
      <c r="A1540" s="1"/>
      <c r="B1540" s="2" t="s">
        <v>8147</v>
      </c>
      <c r="C1540" s="3" t="s">
        <v>83</v>
      </c>
      <c r="D1540" s="19" t="s">
        <v>2823</v>
      </c>
      <c r="E1540" s="19" t="s">
        <v>2800</v>
      </c>
      <c r="F1540" s="19" t="s">
        <v>2824</v>
      </c>
      <c r="G1540" s="19" t="s">
        <v>3021</v>
      </c>
      <c r="H1540" s="2" t="s">
        <v>88</v>
      </c>
      <c r="I1540" s="4">
        <v>0</v>
      </c>
      <c r="J1540" s="5">
        <v>710000000</v>
      </c>
      <c r="K1540" s="5" t="s">
        <v>89</v>
      </c>
      <c r="L1540" s="2" t="s">
        <v>754</v>
      </c>
      <c r="M1540" s="6" t="s">
        <v>91</v>
      </c>
      <c r="N1540" s="7" t="s">
        <v>92</v>
      </c>
      <c r="O1540" s="7" t="s">
        <v>93</v>
      </c>
      <c r="P1540" s="3" t="s">
        <v>673</v>
      </c>
      <c r="Q1540" s="8" t="s">
        <v>117</v>
      </c>
      <c r="R1540" s="7" t="s">
        <v>118</v>
      </c>
      <c r="S1540" s="9">
        <v>1</v>
      </c>
      <c r="T1540" s="9">
        <v>783</v>
      </c>
      <c r="U1540" s="9">
        <f t="shared" ref="U1540" si="1167">T1540*S1540</f>
        <v>783</v>
      </c>
      <c r="V1540" s="9">
        <f t="shared" ref="V1540" si="1168">U1540*1.12</f>
        <v>876.96</v>
      </c>
      <c r="W1540" s="7"/>
      <c r="X1540" s="2">
        <v>2016</v>
      </c>
      <c r="Y1540" s="2"/>
    </row>
    <row r="1541" spans="1:25" s="11" customFormat="1" ht="89.25" customHeight="1" outlineLevel="1" x14ac:dyDescent="0.25">
      <c r="A1541" s="1"/>
      <c r="B1541" s="2" t="s">
        <v>6272</v>
      </c>
      <c r="C1541" s="3" t="s">
        <v>83</v>
      </c>
      <c r="D1541" s="19" t="s">
        <v>2832</v>
      </c>
      <c r="E1541" s="19" t="s">
        <v>2800</v>
      </c>
      <c r="F1541" s="19" t="s">
        <v>2833</v>
      </c>
      <c r="G1541" s="19" t="s">
        <v>3020</v>
      </c>
      <c r="H1541" s="2" t="s">
        <v>88</v>
      </c>
      <c r="I1541" s="4">
        <v>0.4</v>
      </c>
      <c r="J1541" s="5">
        <v>710000000</v>
      </c>
      <c r="K1541" s="5" t="s">
        <v>89</v>
      </c>
      <c r="L1541" s="2" t="s">
        <v>754</v>
      </c>
      <c r="M1541" s="6" t="s">
        <v>91</v>
      </c>
      <c r="N1541" s="7" t="s">
        <v>92</v>
      </c>
      <c r="O1541" s="7" t="s">
        <v>93</v>
      </c>
      <c r="P1541" s="3" t="s">
        <v>94</v>
      </c>
      <c r="Q1541" s="8" t="s">
        <v>117</v>
      </c>
      <c r="R1541" s="7" t="s">
        <v>118</v>
      </c>
      <c r="S1541" s="9">
        <v>10</v>
      </c>
      <c r="T1541" s="9">
        <v>189</v>
      </c>
      <c r="U1541" s="9">
        <v>0</v>
      </c>
      <c r="V1541" s="9">
        <f t="shared" si="1104"/>
        <v>0</v>
      </c>
      <c r="W1541" s="7" t="s">
        <v>97</v>
      </c>
      <c r="X1541" s="2">
        <v>2016</v>
      </c>
      <c r="Y1541" s="2" t="s">
        <v>7793</v>
      </c>
    </row>
    <row r="1542" spans="1:25" s="11" customFormat="1" ht="89.25" customHeight="1" outlineLevel="1" x14ac:dyDescent="0.25">
      <c r="A1542" s="1"/>
      <c r="B1542" s="2" t="s">
        <v>8148</v>
      </c>
      <c r="C1542" s="3" t="s">
        <v>83</v>
      </c>
      <c r="D1542" s="19" t="s">
        <v>2832</v>
      </c>
      <c r="E1542" s="19" t="s">
        <v>2800</v>
      </c>
      <c r="F1542" s="19" t="s">
        <v>2833</v>
      </c>
      <c r="G1542" s="19" t="s">
        <v>3020</v>
      </c>
      <c r="H1542" s="2" t="s">
        <v>88</v>
      </c>
      <c r="I1542" s="4">
        <v>0</v>
      </c>
      <c r="J1542" s="5">
        <v>710000000</v>
      </c>
      <c r="K1542" s="5" t="s">
        <v>89</v>
      </c>
      <c r="L1542" s="2" t="s">
        <v>754</v>
      </c>
      <c r="M1542" s="6" t="s">
        <v>91</v>
      </c>
      <c r="N1542" s="7" t="s">
        <v>92</v>
      </c>
      <c r="O1542" s="7" t="s">
        <v>93</v>
      </c>
      <c r="P1542" s="3" t="s">
        <v>673</v>
      </c>
      <c r="Q1542" s="8" t="s">
        <v>117</v>
      </c>
      <c r="R1542" s="7" t="s">
        <v>118</v>
      </c>
      <c r="S1542" s="9">
        <v>10</v>
      </c>
      <c r="T1542" s="9">
        <v>189</v>
      </c>
      <c r="U1542" s="9">
        <f t="shared" ref="U1542" si="1169">T1542*S1542</f>
        <v>1890</v>
      </c>
      <c r="V1542" s="9">
        <f t="shared" ref="V1542" si="1170">U1542*1.12</f>
        <v>2116.8000000000002</v>
      </c>
      <c r="W1542" s="7"/>
      <c r="X1542" s="2">
        <v>2016</v>
      </c>
      <c r="Y1542" s="2"/>
    </row>
    <row r="1543" spans="1:25" s="11" customFormat="1" ht="89.25" customHeight="1" outlineLevel="1" x14ac:dyDescent="0.25">
      <c r="A1543" s="1"/>
      <c r="B1543" s="2" t="s">
        <v>6273</v>
      </c>
      <c r="C1543" s="3" t="s">
        <v>83</v>
      </c>
      <c r="D1543" s="19" t="s">
        <v>2832</v>
      </c>
      <c r="E1543" s="19" t="s">
        <v>2800</v>
      </c>
      <c r="F1543" s="19" t="s">
        <v>2833</v>
      </c>
      <c r="G1543" s="19" t="s">
        <v>3022</v>
      </c>
      <c r="H1543" s="2" t="s">
        <v>88</v>
      </c>
      <c r="I1543" s="4">
        <v>0.4</v>
      </c>
      <c r="J1543" s="5">
        <v>710000000</v>
      </c>
      <c r="K1543" s="5" t="s">
        <v>89</v>
      </c>
      <c r="L1543" s="2" t="s">
        <v>754</v>
      </c>
      <c r="M1543" s="6" t="s">
        <v>91</v>
      </c>
      <c r="N1543" s="7" t="s">
        <v>92</v>
      </c>
      <c r="O1543" s="7" t="s">
        <v>93</v>
      </c>
      <c r="P1543" s="3" t="s">
        <v>94</v>
      </c>
      <c r="Q1543" s="8" t="s">
        <v>117</v>
      </c>
      <c r="R1543" s="7" t="s">
        <v>118</v>
      </c>
      <c r="S1543" s="9">
        <v>5</v>
      </c>
      <c r="T1543" s="9">
        <v>196</v>
      </c>
      <c r="U1543" s="9">
        <v>0</v>
      </c>
      <c r="V1543" s="9">
        <f t="shared" si="1104"/>
        <v>0</v>
      </c>
      <c r="W1543" s="7" t="s">
        <v>97</v>
      </c>
      <c r="X1543" s="2">
        <v>2016</v>
      </c>
      <c r="Y1543" s="2" t="s">
        <v>7793</v>
      </c>
    </row>
    <row r="1544" spans="1:25" s="11" customFormat="1" ht="89.25" customHeight="1" outlineLevel="1" x14ac:dyDescent="0.25">
      <c r="A1544" s="1"/>
      <c r="B1544" s="2" t="s">
        <v>8149</v>
      </c>
      <c r="C1544" s="3" t="s">
        <v>83</v>
      </c>
      <c r="D1544" s="19" t="s">
        <v>2832</v>
      </c>
      <c r="E1544" s="19" t="s">
        <v>2800</v>
      </c>
      <c r="F1544" s="19" t="s">
        <v>2833</v>
      </c>
      <c r="G1544" s="19" t="s">
        <v>3022</v>
      </c>
      <c r="H1544" s="2" t="s">
        <v>88</v>
      </c>
      <c r="I1544" s="4">
        <v>0</v>
      </c>
      <c r="J1544" s="5">
        <v>710000000</v>
      </c>
      <c r="K1544" s="5" t="s">
        <v>89</v>
      </c>
      <c r="L1544" s="2" t="s">
        <v>754</v>
      </c>
      <c r="M1544" s="6" t="s">
        <v>91</v>
      </c>
      <c r="N1544" s="7" t="s">
        <v>92</v>
      </c>
      <c r="O1544" s="7" t="s">
        <v>93</v>
      </c>
      <c r="P1544" s="3" t="s">
        <v>673</v>
      </c>
      <c r="Q1544" s="8" t="s">
        <v>117</v>
      </c>
      <c r="R1544" s="7" t="s">
        <v>118</v>
      </c>
      <c r="S1544" s="9">
        <v>5</v>
      </c>
      <c r="T1544" s="9">
        <v>196</v>
      </c>
      <c r="U1544" s="9">
        <f t="shared" ref="U1544" si="1171">T1544*S1544</f>
        <v>980</v>
      </c>
      <c r="V1544" s="9">
        <f t="shared" ref="V1544" si="1172">U1544*1.12</f>
        <v>1097.6000000000001</v>
      </c>
      <c r="W1544" s="7"/>
      <c r="X1544" s="2">
        <v>2016</v>
      </c>
      <c r="Y1544" s="2"/>
    </row>
    <row r="1545" spans="1:25" s="11" customFormat="1" ht="89.25" customHeight="1" outlineLevel="1" x14ac:dyDescent="0.25">
      <c r="A1545" s="1"/>
      <c r="B1545" s="2" t="s">
        <v>6274</v>
      </c>
      <c r="C1545" s="3" t="s">
        <v>83</v>
      </c>
      <c r="D1545" s="19" t="s">
        <v>2832</v>
      </c>
      <c r="E1545" s="19" t="s">
        <v>2800</v>
      </c>
      <c r="F1545" s="19" t="s">
        <v>2833</v>
      </c>
      <c r="G1545" s="19" t="s">
        <v>3023</v>
      </c>
      <c r="H1545" s="2" t="s">
        <v>88</v>
      </c>
      <c r="I1545" s="4">
        <v>0.4</v>
      </c>
      <c r="J1545" s="5">
        <v>710000000</v>
      </c>
      <c r="K1545" s="5" t="s">
        <v>89</v>
      </c>
      <c r="L1545" s="2" t="s">
        <v>754</v>
      </c>
      <c r="M1545" s="6" t="s">
        <v>91</v>
      </c>
      <c r="N1545" s="7" t="s">
        <v>92</v>
      </c>
      <c r="O1545" s="7" t="s">
        <v>93</v>
      </c>
      <c r="P1545" s="3" t="s">
        <v>94</v>
      </c>
      <c r="Q1545" s="8" t="s">
        <v>117</v>
      </c>
      <c r="R1545" s="7" t="s">
        <v>118</v>
      </c>
      <c r="S1545" s="9">
        <v>5</v>
      </c>
      <c r="T1545" s="9">
        <v>196</v>
      </c>
      <c r="U1545" s="9">
        <v>0</v>
      </c>
      <c r="V1545" s="9">
        <f t="shared" si="1104"/>
        <v>0</v>
      </c>
      <c r="W1545" s="7" t="s">
        <v>97</v>
      </c>
      <c r="X1545" s="2">
        <v>2016</v>
      </c>
      <c r="Y1545" s="2" t="s">
        <v>7793</v>
      </c>
    </row>
    <row r="1546" spans="1:25" s="11" customFormat="1" ht="89.25" customHeight="1" outlineLevel="1" x14ac:dyDescent="0.25">
      <c r="A1546" s="1"/>
      <c r="B1546" s="2" t="s">
        <v>8150</v>
      </c>
      <c r="C1546" s="3" t="s">
        <v>83</v>
      </c>
      <c r="D1546" s="19" t="s">
        <v>2832</v>
      </c>
      <c r="E1546" s="19" t="s">
        <v>2800</v>
      </c>
      <c r="F1546" s="19" t="s">
        <v>2833</v>
      </c>
      <c r="G1546" s="19" t="s">
        <v>3023</v>
      </c>
      <c r="H1546" s="2" t="s">
        <v>88</v>
      </c>
      <c r="I1546" s="4">
        <v>0</v>
      </c>
      <c r="J1546" s="5">
        <v>710000000</v>
      </c>
      <c r="K1546" s="5" t="s">
        <v>89</v>
      </c>
      <c r="L1546" s="2" t="s">
        <v>754</v>
      </c>
      <c r="M1546" s="6" t="s">
        <v>91</v>
      </c>
      <c r="N1546" s="7" t="s">
        <v>92</v>
      </c>
      <c r="O1546" s="7" t="s">
        <v>93</v>
      </c>
      <c r="P1546" s="3" t="s">
        <v>673</v>
      </c>
      <c r="Q1546" s="8" t="s">
        <v>117</v>
      </c>
      <c r="R1546" s="7" t="s">
        <v>118</v>
      </c>
      <c r="S1546" s="9">
        <v>5</v>
      </c>
      <c r="T1546" s="9">
        <v>196</v>
      </c>
      <c r="U1546" s="9">
        <f t="shared" ref="U1546" si="1173">T1546*S1546</f>
        <v>980</v>
      </c>
      <c r="V1546" s="9">
        <f t="shared" ref="V1546" si="1174">U1546*1.12</f>
        <v>1097.6000000000001</v>
      </c>
      <c r="W1546" s="7"/>
      <c r="X1546" s="2">
        <v>2016</v>
      </c>
      <c r="Y1546" s="2"/>
    </row>
    <row r="1547" spans="1:25" s="11" customFormat="1" ht="89.25" customHeight="1" outlineLevel="1" x14ac:dyDescent="0.25">
      <c r="A1547" s="1"/>
      <c r="B1547" s="2" t="s">
        <v>6275</v>
      </c>
      <c r="C1547" s="3" t="s">
        <v>83</v>
      </c>
      <c r="D1547" s="19" t="s">
        <v>2923</v>
      </c>
      <c r="E1547" s="19" t="s">
        <v>2924</v>
      </c>
      <c r="F1547" s="19" t="s">
        <v>2925</v>
      </c>
      <c r="G1547" s="19"/>
      <c r="H1547" s="2" t="s">
        <v>88</v>
      </c>
      <c r="I1547" s="4">
        <v>0.4</v>
      </c>
      <c r="J1547" s="5">
        <v>710000000</v>
      </c>
      <c r="K1547" s="5" t="s">
        <v>89</v>
      </c>
      <c r="L1547" s="2" t="s">
        <v>754</v>
      </c>
      <c r="M1547" s="6" t="s">
        <v>91</v>
      </c>
      <c r="N1547" s="7" t="s">
        <v>92</v>
      </c>
      <c r="O1547" s="7" t="s">
        <v>93</v>
      </c>
      <c r="P1547" s="3" t="s">
        <v>94</v>
      </c>
      <c r="Q1547" s="8" t="s">
        <v>117</v>
      </c>
      <c r="R1547" s="7" t="s">
        <v>118</v>
      </c>
      <c r="S1547" s="9">
        <v>30</v>
      </c>
      <c r="T1547" s="9">
        <v>339</v>
      </c>
      <c r="U1547" s="9">
        <v>0</v>
      </c>
      <c r="V1547" s="9">
        <f t="shared" si="1104"/>
        <v>0</v>
      </c>
      <c r="W1547" s="7" t="s">
        <v>97</v>
      </c>
      <c r="X1547" s="2">
        <v>2016</v>
      </c>
      <c r="Y1547" s="2" t="s">
        <v>7793</v>
      </c>
    </row>
    <row r="1548" spans="1:25" s="11" customFormat="1" ht="89.25" customHeight="1" outlineLevel="1" x14ac:dyDescent="0.25">
      <c r="A1548" s="1"/>
      <c r="B1548" s="2" t="s">
        <v>8151</v>
      </c>
      <c r="C1548" s="3" t="s">
        <v>83</v>
      </c>
      <c r="D1548" s="19" t="s">
        <v>2923</v>
      </c>
      <c r="E1548" s="19" t="s">
        <v>2924</v>
      </c>
      <c r="F1548" s="19" t="s">
        <v>2925</v>
      </c>
      <c r="G1548" s="19"/>
      <c r="H1548" s="2" t="s">
        <v>88</v>
      </c>
      <c r="I1548" s="4">
        <v>0</v>
      </c>
      <c r="J1548" s="5">
        <v>710000000</v>
      </c>
      <c r="K1548" s="5" t="s">
        <v>89</v>
      </c>
      <c r="L1548" s="2" t="s">
        <v>754</v>
      </c>
      <c r="M1548" s="6" t="s">
        <v>91</v>
      </c>
      <c r="N1548" s="7" t="s">
        <v>92</v>
      </c>
      <c r="O1548" s="7" t="s">
        <v>93</v>
      </c>
      <c r="P1548" s="3" t="s">
        <v>673</v>
      </c>
      <c r="Q1548" s="8" t="s">
        <v>117</v>
      </c>
      <c r="R1548" s="7" t="s">
        <v>118</v>
      </c>
      <c r="S1548" s="9">
        <v>30</v>
      </c>
      <c r="T1548" s="9">
        <v>339</v>
      </c>
      <c r="U1548" s="9">
        <f t="shared" ref="U1548" si="1175">T1548*S1548</f>
        <v>10170</v>
      </c>
      <c r="V1548" s="9">
        <f t="shared" ref="V1548" si="1176">U1548*1.12</f>
        <v>11390.400000000001</v>
      </c>
      <c r="W1548" s="7"/>
      <c r="X1548" s="2">
        <v>2016</v>
      </c>
      <c r="Y1548" s="2"/>
    </row>
    <row r="1549" spans="1:25" s="11" customFormat="1" ht="89.25" customHeight="1" outlineLevel="1" x14ac:dyDescent="0.25">
      <c r="A1549" s="1"/>
      <c r="B1549" s="2" t="s">
        <v>6276</v>
      </c>
      <c r="C1549" s="3" t="s">
        <v>83</v>
      </c>
      <c r="D1549" s="19" t="s">
        <v>2795</v>
      </c>
      <c r="E1549" s="19" t="s">
        <v>2796</v>
      </c>
      <c r="F1549" s="19" t="s">
        <v>2797</v>
      </c>
      <c r="G1549" s="19" t="s">
        <v>3024</v>
      </c>
      <c r="H1549" s="2" t="s">
        <v>88</v>
      </c>
      <c r="I1549" s="4">
        <v>0.4</v>
      </c>
      <c r="J1549" s="5">
        <v>710000000</v>
      </c>
      <c r="K1549" s="5" t="s">
        <v>89</v>
      </c>
      <c r="L1549" s="2" t="s">
        <v>754</v>
      </c>
      <c r="M1549" s="6" t="s">
        <v>91</v>
      </c>
      <c r="N1549" s="7" t="s">
        <v>92</v>
      </c>
      <c r="O1549" s="7" t="s">
        <v>93</v>
      </c>
      <c r="P1549" s="3" t="s">
        <v>94</v>
      </c>
      <c r="Q1549" s="8">
        <v>796</v>
      </c>
      <c r="R1549" s="7" t="s">
        <v>118</v>
      </c>
      <c r="S1549" s="9">
        <v>10</v>
      </c>
      <c r="T1549" s="9">
        <v>299</v>
      </c>
      <c r="U1549" s="9">
        <v>0</v>
      </c>
      <c r="V1549" s="9">
        <f t="shared" si="1104"/>
        <v>0</v>
      </c>
      <c r="W1549" s="7" t="s">
        <v>97</v>
      </c>
      <c r="X1549" s="2">
        <v>2016</v>
      </c>
      <c r="Y1549" s="2" t="s">
        <v>7793</v>
      </c>
    </row>
    <row r="1550" spans="1:25" s="11" customFormat="1" ht="89.25" customHeight="1" outlineLevel="1" x14ac:dyDescent="0.25">
      <c r="A1550" s="1"/>
      <c r="B1550" s="2" t="s">
        <v>8152</v>
      </c>
      <c r="C1550" s="3" t="s">
        <v>83</v>
      </c>
      <c r="D1550" s="19" t="s">
        <v>2795</v>
      </c>
      <c r="E1550" s="19" t="s">
        <v>2796</v>
      </c>
      <c r="F1550" s="19" t="s">
        <v>2797</v>
      </c>
      <c r="G1550" s="19" t="s">
        <v>3024</v>
      </c>
      <c r="H1550" s="2" t="s">
        <v>88</v>
      </c>
      <c r="I1550" s="4">
        <v>0</v>
      </c>
      <c r="J1550" s="5">
        <v>710000000</v>
      </c>
      <c r="K1550" s="5" t="s">
        <v>89</v>
      </c>
      <c r="L1550" s="2" t="s">
        <v>754</v>
      </c>
      <c r="M1550" s="6" t="s">
        <v>91</v>
      </c>
      <c r="N1550" s="7" t="s">
        <v>92</v>
      </c>
      <c r="O1550" s="7" t="s">
        <v>93</v>
      </c>
      <c r="P1550" s="3" t="s">
        <v>673</v>
      </c>
      <c r="Q1550" s="8">
        <v>796</v>
      </c>
      <c r="R1550" s="7" t="s">
        <v>118</v>
      </c>
      <c r="S1550" s="9">
        <v>10</v>
      </c>
      <c r="T1550" s="9">
        <v>299</v>
      </c>
      <c r="U1550" s="9">
        <f t="shared" ref="U1550" si="1177">T1550*S1550</f>
        <v>2990</v>
      </c>
      <c r="V1550" s="9">
        <f t="shared" ref="V1550" si="1178">U1550*1.12</f>
        <v>3348.8</v>
      </c>
      <c r="W1550" s="7"/>
      <c r="X1550" s="2">
        <v>2016</v>
      </c>
      <c r="Y1550" s="2"/>
    </row>
    <row r="1551" spans="1:25" s="11" customFormat="1" ht="89.25" customHeight="1" outlineLevel="1" x14ac:dyDescent="0.25">
      <c r="A1551" s="1"/>
      <c r="B1551" s="2" t="s">
        <v>6277</v>
      </c>
      <c r="C1551" s="3" t="s">
        <v>83</v>
      </c>
      <c r="D1551" s="19" t="s">
        <v>3025</v>
      </c>
      <c r="E1551" s="19" t="s">
        <v>3026</v>
      </c>
      <c r="F1551" s="19" t="s">
        <v>3027</v>
      </c>
      <c r="G1551" s="19"/>
      <c r="H1551" s="2" t="s">
        <v>88</v>
      </c>
      <c r="I1551" s="4">
        <v>0.4</v>
      </c>
      <c r="J1551" s="5">
        <v>710000000</v>
      </c>
      <c r="K1551" s="5" t="s">
        <v>89</v>
      </c>
      <c r="L1551" s="2" t="s">
        <v>754</v>
      </c>
      <c r="M1551" s="6" t="s">
        <v>91</v>
      </c>
      <c r="N1551" s="7" t="s">
        <v>92</v>
      </c>
      <c r="O1551" s="7" t="s">
        <v>93</v>
      </c>
      <c r="P1551" s="3" t="s">
        <v>94</v>
      </c>
      <c r="Q1551" s="8">
        <v>796</v>
      </c>
      <c r="R1551" s="7" t="s">
        <v>118</v>
      </c>
      <c r="S1551" s="9">
        <v>10</v>
      </c>
      <c r="T1551" s="9">
        <v>580</v>
      </c>
      <c r="U1551" s="9">
        <v>0</v>
      </c>
      <c r="V1551" s="9">
        <f t="shared" si="1104"/>
        <v>0</v>
      </c>
      <c r="W1551" s="7" t="s">
        <v>97</v>
      </c>
      <c r="X1551" s="2">
        <v>2016</v>
      </c>
      <c r="Y1551" s="2" t="s">
        <v>7793</v>
      </c>
    </row>
    <row r="1552" spans="1:25" s="11" customFormat="1" ht="89.25" customHeight="1" outlineLevel="1" x14ac:dyDescent="0.25">
      <c r="A1552" s="1"/>
      <c r="B1552" s="2" t="s">
        <v>8153</v>
      </c>
      <c r="C1552" s="3" t="s">
        <v>83</v>
      </c>
      <c r="D1552" s="19" t="s">
        <v>3025</v>
      </c>
      <c r="E1552" s="19" t="s">
        <v>3026</v>
      </c>
      <c r="F1552" s="19" t="s">
        <v>3027</v>
      </c>
      <c r="G1552" s="19"/>
      <c r="H1552" s="2" t="s">
        <v>88</v>
      </c>
      <c r="I1552" s="4">
        <v>0</v>
      </c>
      <c r="J1552" s="5">
        <v>710000000</v>
      </c>
      <c r="K1552" s="5" t="s">
        <v>89</v>
      </c>
      <c r="L1552" s="2" t="s">
        <v>754</v>
      </c>
      <c r="M1552" s="6" t="s">
        <v>91</v>
      </c>
      <c r="N1552" s="7" t="s">
        <v>92</v>
      </c>
      <c r="O1552" s="7" t="s">
        <v>93</v>
      </c>
      <c r="P1552" s="3" t="s">
        <v>673</v>
      </c>
      <c r="Q1552" s="8">
        <v>796</v>
      </c>
      <c r="R1552" s="7" t="s">
        <v>118</v>
      </c>
      <c r="S1552" s="9">
        <v>10</v>
      </c>
      <c r="T1552" s="9">
        <v>580</v>
      </c>
      <c r="U1552" s="9">
        <f t="shared" ref="U1552" si="1179">T1552*S1552</f>
        <v>5800</v>
      </c>
      <c r="V1552" s="9">
        <f t="shared" ref="V1552" si="1180">U1552*1.12</f>
        <v>6496.0000000000009</v>
      </c>
      <c r="W1552" s="7"/>
      <c r="X1552" s="2">
        <v>2016</v>
      </c>
      <c r="Y1552" s="2"/>
    </row>
    <row r="1553" spans="1:25" s="11" customFormat="1" ht="89.25" customHeight="1" outlineLevel="1" x14ac:dyDescent="0.25">
      <c r="A1553" s="1"/>
      <c r="B1553" s="2" t="s">
        <v>6278</v>
      </c>
      <c r="C1553" s="3" t="s">
        <v>83</v>
      </c>
      <c r="D1553" s="19" t="s">
        <v>7456</v>
      </c>
      <c r="E1553" s="19" t="s">
        <v>7457</v>
      </c>
      <c r="F1553" s="19" t="s">
        <v>7458</v>
      </c>
      <c r="G1553" s="19" t="s">
        <v>3028</v>
      </c>
      <c r="H1553" s="2" t="s">
        <v>88</v>
      </c>
      <c r="I1553" s="4">
        <v>0.4</v>
      </c>
      <c r="J1553" s="5">
        <v>710000000</v>
      </c>
      <c r="K1553" s="5" t="s">
        <v>89</v>
      </c>
      <c r="L1553" s="2" t="s">
        <v>754</v>
      </c>
      <c r="M1553" s="6" t="s">
        <v>91</v>
      </c>
      <c r="N1553" s="7" t="s">
        <v>92</v>
      </c>
      <c r="O1553" s="7" t="s">
        <v>93</v>
      </c>
      <c r="P1553" s="3" t="s">
        <v>94</v>
      </c>
      <c r="Q1553" s="8">
        <v>796</v>
      </c>
      <c r="R1553" s="7" t="s">
        <v>118</v>
      </c>
      <c r="S1553" s="9">
        <v>24</v>
      </c>
      <c r="T1553" s="9">
        <v>741</v>
      </c>
      <c r="U1553" s="9">
        <v>0</v>
      </c>
      <c r="V1553" s="9">
        <f t="shared" si="1104"/>
        <v>0</v>
      </c>
      <c r="W1553" s="7" t="s">
        <v>97</v>
      </c>
      <c r="X1553" s="2">
        <v>2016</v>
      </c>
      <c r="Y1553" s="2" t="s">
        <v>7793</v>
      </c>
    </row>
    <row r="1554" spans="1:25" s="11" customFormat="1" ht="89.25" customHeight="1" outlineLevel="1" x14ac:dyDescent="0.25">
      <c r="A1554" s="1"/>
      <c r="B1554" s="2" t="s">
        <v>8154</v>
      </c>
      <c r="C1554" s="3" t="s">
        <v>83</v>
      </c>
      <c r="D1554" s="19" t="s">
        <v>7456</v>
      </c>
      <c r="E1554" s="19" t="s">
        <v>7457</v>
      </c>
      <c r="F1554" s="19" t="s">
        <v>7458</v>
      </c>
      <c r="G1554" s="19" t="s">
        <v>3028</v>
      </c>
      <c r="H1554" s="2" t="s">
        <v>88</v>
      </c>
      <c r="I1554" s="4">
        <v>0</v>
      </c>
      <c r="J1554" s="5">
        <v>710000000</v>
      </c>
      <c r="K1554" s="5" t="s">
        <v>89</v>
      </c>
      <c r="L1554" s="2" t="s">
        <v>754</v>
      </c>
      <c r="M1554" s="6" t="s">
        <v>91</v>
      </c>
      <c r="N1554" s="7" t="s">
        <v>92</v>
      </c>
      <c r="O1554" s="7" t="s">
        <v>93</v>
      </c>
      <c r="P1554" s="3" t="s">
        <v>673</v>
      </c>
      <c r="Q1554" s="8">
        <v>796</v>
      </c>
      <c r="R1554" s="7" t="s">
        <v>118</v>
      </c>
      <c r="S1554" s="9">
        <v>24</v>
      </c>
      <c r="T1554" s="9">
        <v>741</v>
      </c>
      <c r="U1554" s="9">
        <f t="shared" ref="U1554" si="1181">T1554*S1554</f>
        <v>17784</v>
      </c>
      <c r="V1554" s="9">
        <f t="shared" ref="V1554" si="1182">U1554*1.12</f>
        <v>19918.080000000002</v>
      </c>
      <c r="W1554" s="7"/>
      <c r="X1554" s="2">
        <v>2016</v>
      </c>
      <c r="Y1554" s="2"/>
    </row>
    <row r="1555" spans="1:25" s="11" customFormat="1" ht="89.25" customHeight="1" outlineLevel="1" x14ac:dyDescent="0.25">
      <c r="A1555" s="1"/>
      <c r="B1555" s="2" t="s">
        <v>6279</v>
      </c>
      <c r="C1555" s="3" t="s">
        <v>83</v>
      </c>
      <c r="D1555" s="19" t="s">
        <v>2891</v>
      </c>
      <c r="E1555" s="19" t="s">
        <v>2892</v>
      </c>
      <c r="F1555" s="19" t="s">
        <v>2893</v>
      </c>
      <c r="G1555" s="4" t="s">
        <v>3029</v>
      </c>
      <c r="H1555" s="2" t="s">
        <v>88</v>
      </c>
      <c r="I1555" s="4">
        <v>0.4</v>
      </c>
      <c r="J1555" s="5">
        <v>710000000</v>
      </c>
      <c r="K1555" s="5" t="s">
        <v>89</v>
      </c>
      <c r="L1555" s="2" t="s">
        <v>754</v>
      </c>
      <c r="M1555" s="6" t="s">
        <v>91</v>
      </c>
      <c r="N1555" s="7" t="s">
        <v>92</v>
      </c>
      <c r="O1555" s="7" t="s">
        <v>93</v>
      </c>
      <c r="P1555" s="3" t="s">
        <v>94</v>
      </c>
      <c r="Q1555" s="8" t="s">
        <v>2439</v>
      </c>
      <c r="R1555" s="7" t="s">
        <v>2440</v>
      </c>
      <c r="S1555" s="9">
        <v>11</v>
      </c>
      <c r="T1555" s="9">
        <v>134</v>
      </c>
      <c r="U1555" s="9">
        <v>0</v>
      </c>
      <c r="V1555" s="9">
        <f t="shared" si="1104"/>
        <v>0</v>
      </c>
      <c r="W1555" s="7" t="s">
        <v>97</v>
      </c>
      <c r="X1555" s="2">
        <v>2016</v>
      </c>
      <c r="Y1555" s="2" t="s">
        <v>7793</v>
      </c>
    </row>
    <row r="1556" spans="1:25" s="11" customFormat="1" ht="89.25" customHeight="1" outlineLevel="1" x14ac:dyDescent="0.25">
      <c r="A1556" s="1"/>
      <c r="B1556" s="2" t="s">
        <v>8155</v>
      </c>
      <c r="C1556" s="3" t="s">
        <v>83</v>
      </c>
      <c r="D1556" s="19" t="s">
        <v>2891</v>
      </c>
      <c r="E1556" s="19" t="s">
        <v>2892</v>
      </c>
      <c r="F1556" s="19" t="s">
        <v>2893</v>
      </c>
      <c r="G1556" s="4" t="s">
        <v>3029</v>
      </c>
      <c r="H1556" s="2" t="s">
        <v>88</v>
      </c>
      <c r="I1556" s="4">
        <v>0</v>
      </c>
      <c r="J1556" s="5">
        <v>710000000</v>
      </c>
      <c r="K1556" s="5" t="s">
        <v>89</v>
      </c>
      <c r="L1556" s="2" t="s">
        <v>754</v>
      </c>
      <c r="M1556" s="6" t="s">
        <v>91</v>
      </c>
      <c r="N1556" s="7" t="s">
        <v>92</v>
      </c>
      <c r="O1556" s="7" t="s">
        <v>93</v>
      </c>
      <c r="P1556" s="3" t="s">
        <v>673</v>
      </c>
      <c r="Q1556" s="8" t="s">
        <v>2439</v>
      </c>
      <c r="R1556" s="7" t="s">
        <v>2440</v>
      </c>
      <c r="S1556" s="9">
        <v>11</v>
      </c>
      <c r="T1556" s="9">
        <v>134</v>
      </c>
      <c r="U1556" s="9">
        <f t="shared" ref="U1556" si="1183">T1556*S1556</f>
        <v>1474</v>
      </c>
      <c r="V1556" s="9">
        <f t="shared" ref="V1556" si="1184">U1556*1.12</f>
        <v>1650.88</v>
      </c>
      <c r="W1556" s="7"/>
      <c r="X1556" s="2">
        <v>2016</v>
      </c>
      <c r="Y1556" s="2"/>
    </row>
    <row r="1557" spans="1:25" s="11" customFormat="1" ht="89.25" customHeight="1" outlineLevel="1" x14ac:dyDescent="0.25">
      <c r="A1557" s="1"/>
      <c r="B1557" s="2" t="s">
        <v>6280</v>
      </c>
      <c r="C1557" s="3" t="s">
        <v>83</v>
      </c>
      <c r="D1557" s="19" t="s">
        <v>3030</v>
      </c>
      <c r="E1557" s="19" t="s">
        <v>3031</v>
      </c>
      <c r="F1557" s="19" t="s">
        <v>3032</v>
      </c>
      <c r="G1557" s="19" t="s">
        <v>3033</v>
      </c>
      <c r="H1557" s="2" t="s">
        <v>88</v>
      </c>
      <c r="I1557" s="4">
        <v>0.4</v>
      </c>
      <c r="J1557" s="5">
        <v>710000000</v>
      </c>
      <c r="K1557" s="5" t="s">
        <v>89</v>
      </c>
      <c r="L1557" s="2" t="s">
        <v>754</v>
      </c>
      <c r="M1557" s="6" t="s">
        <v>91</v>
      </c>
      <c r="N1557" s="7" t="s">
        <v>92</v>
      </c>
      <c r="O1557" s="7" t="s">
        <v>93</v>
      </c>
      <c r="P1557" s="3" t="s">
        <v>94</v>
      </c>
      <c r="Q1557" s="8" t="s">
        <v>117</v>
      </c>
      <c r="R1557" s="7" t="s">
        <v>118</v>
      </c>
      <c r="S1557" s="9">
        <v>1</v>
      </c>
      <c r="T1557" s="9">
        <v>3357</v>
      </c>
      <c r="U1557" s="9">
        <v>0</v>
      </c>
      <c r="V1557" s="9">
        <f t="shared" si="1104"/>
        <v>0</v>
      </c>
      <c r="W1557" s="7" t="s">
        <v>97</v>
      </c>
      <c r="X1557" s="2">
        <v>2016</v>
      </c>
      <c r="Y1557" s="2" t="s">
        <v>7793</v>
      </c>
    </row>
    <row r="1558" spans="1:25" s="11" customFormat="1" ht="89.25" customHeight="1" outlineLevel="1" x14ac:dyDescent="0.25">
      <c r="A1558" s="1"/>
      <c r="B1558" s="2" t="s">
        <v>8156</v>
      </c>
      <c r="C1558" s="3" t="s">
        <v>83</v>
      </c>
      <c r="D1558" s="19" t="s">
        <v>3030</v>
      </c>
      <c r="E1558" s="19" t="s">
        <v>3031</v>
      </c>
      <c r="F1558" s="19" t="s">
        <v>3032</v>
      </c>
      <c r="G1558" s="19" t="s">
        <v>3033</v>
      </c>
      <c r="H1558" s="2" t="s">
        <v>88</v>
      </c>
      <c r="I1558" s="4">
        <v>0</v>
      </c>
      <c r="J1558" s="5">
        <v>710000000</v>
      </c>
      <c r="K1558" s="5" t="s">
        <v>89</v>
      </c>
      <c r="L1558" s="2" t="s">
        <v>754</v>
      </c>
      <c r="M1558" s="6" t="s">
        <v>91</v>
      </c>
      <c r="N1558" s="7" t="s">
        <v>92</v>
      </c>
      <c r="O1558" s="7" t="s">
        <v>93</v>
      </c>
      <c r="P1558" s="3" t="s">
        <v>673</v>
      </c>
      <c r="Q1558" s="8" t="s">
        <v>117</v>
      </c>
      <c r="R1558" s="7" t="s">
        <v>118</v>
      </c>
      <c r="S1558" s="9">
        <v>1</v>
      </c>
      <c r="T1558" s="9">
        <v>3357</v>
      </c>
      <c r="U1558" s="9">
        <f t="shared" ref="U1558" si="1185">T1558*S1558</f>
        <v>3357</v>
      </c>
      <c r="V1558" s="9">
        <f t="shared" ref="V1558" si="1186">U1558*1.12</f>
        <v>3759.84</v>
      </c>
      <c r="W1558" s="7"/>
      <c r="X1558" s="2">
        <v>2016</v>
      </c>
      <c r="Y1558" s="2"/>
    </row>
    <row r="1559" spans="1:25" s="11" customFormat="1" ht="89.25" customHeight="1" outlineLevel="1" x14ac:dyDescent="0.25">
      <c r="A1559" s="1"/>
      <c r="B1559" s="2" t="s">
        <v>6281</v>
      </c>
      <c r="C1559" s="3" t="s">
        <v>83</v>
      </c>
      <c r="D1559" s="19" t="s">
        <v>3034</v>
      </c>
      <c r="E1559" s="19" t="s">
        <v>2717</v>
      </c>
      <c r="F1559" s="19" t="s">
        <v>3035</v>
      </c>
      <c r="G1559" s="19"/>
      <c r="H1559" s="2" t="s">
        <v>88</v>
      </c>
      <c r="I1559" s="4">
        <v>0.4</v>
      </c>
      <c r="J1559" s="5">
        <v>710000000</v>
      </c>
      <c r="K1559" s="5" t="s">
        <v>89</v>
      </c>
      <c r="L1559" s="2" t="s">
        <v>754</v>
      </c>
      <c r="M1559" s="6" t="s">
        <v>91</v>
      </c>
      <c r="N1559" s="7" t="s">
        <v>92</v>
      </c>
      <c r="O1559" s="7" t="s">
        <v>93</v>
      </c>
      <c r="P1559" s="3" t="s">
        <v>94</v>
      </c>
      <c r="Q1559" s="8" t="s">
        <v>117</v>
      </c>
      <c r="R1559" s="7" t="s">
        <v>118</v>
      </c>
      <c r="S1559" s="9">
        <v>9</v>
      </c>
      <c r="T1559" s="9">
        <v>7673</v>
      </c>
      <c r="U1559" s="9">
        <v>0</v>
      </c>
      <c r="V1559" s="9">
        <f t="shared" si="1104"/>
        <v>0</v>
      </c>
      <c r="W1559" s="7" t="s">
        <v>97</v>
      </c>
      <c r="X1559" s="2">
        <v>2016</v>
      </c>
      <c r="Y1559" s="2" t="s">
        <v>7793</v>
      </c>
    </row>
    <row r="1560" spans="1:25" s="11" customFormat="1" ht="89.25" customHeight="1" outlineLevel="1" x14ac:dyDescent="0.25">
      <c r="A1560" s="1"/>
      <c r="B1560" s="2" t="s">
        <v>8157</v>
      </c>
      <c r="C1560" s="3" t="s">
        <v>83</v>
      </c>
      <c r="D1560" s="19" t="s">
        <v>3034</v>
      </c>
      <c r="E1560" s="19" t="s">
        <v>2717</v>
      </c>
      <c r="F1560" s="19" t="s">
        <v>3035</v>
      </c>
      <c r="G1560" s="19"/>
      <c r="H1560" s="2" t="s">
        <v>88</v>
      </c>
      <c r="I1560" s="4">
        <v>0</v>
      </c>
      <c r="J1560" s="5">
        <v>710000000</v>
      </c>
      <c r="K1560" s="5" t="s">
        <v>89</v>
      </c>
      <c r="L1560" s="2" t="s">
        <v>754</v>
      </c>
      <c r="M1560" s="6" t="s">
        <v>91</v>
      </c>
      <c r="N1560" s="7" t="s">
        <v>92</v>
      </c>
      <c r="O1560" s="7" t="s">
        <v>93</v>
      </c>
      <c r="P1560" s="3" t="s">
        <v>673</v>
      </c>
      <c r="Q1560" s="8" t="s">
        <v>117</v>
      </c>
      <c r="R1560" s="7" t="s">
        <v>118</v>
      </c>
      <c r="S1560" s="9">
        <v>9</v>
      </c>
      <c r="T1560" s="9">
        <v>7673</v>
      </c>
      <c r="U1560" s="9">
        <f t="shared" ref="U1560" si="1187">T1560*S1560</f>
        <v>69057</v>
      </c>
      <c r="V1560" s="9">
        <f t="shared" ref="V1560" si="1188">U1560*1.12</f>
        <v>77343.840000000011</v>
      </c>
      <c r="W1560" s="7"/>
      <c r="X1560" s="2">
        <v>2016</v>
      </c>
      <c r="Y1560" s="2"/>
    </row>
    <row r="1561" spans="1:25" s="11" customFormat="1" ht="89.25" customHeight="1" outlineLevel="1" x14ac:dyDescent="0.25">
      <c r="A1561" s="1"/>
      <c r="B1561" s="2" t="s">
        <v>6282</v>
      </c>
      <c r="C1561" s="3" t="s">
        <v>83</v>
      </c>
      <c r="D1561" s="19" t="s">
        <v>2716</v>
      </c>
      <c r="E1561" s="19" t="s">
        <v>2717</v>
      </c>
      <c r="F1561" s="19" t="s">
        <v>2718</v>
      </c>
      <c r="G1561" s="19"/>
      <c r="H1561" s="2" t="s">
        <v>88</v>
      </c>
      <c r="I1561" s="4">
        <v>0.4</v>
      </c>
      <c r="J1561" s="5">
        <v>710000000</v>
      </c>
      <c r="K1561" s="5" t="s">
        <v>89</v>
      </c>
      <c r="L1561" s="2" t="s">
        <v>754</v>
      </c>
      <c r="M1561" s="19" t="s">
        <v>2682</v>
      </c>
      <c r="N1561" s="7" t="s">
        <v>92</v>
      </c>
      <c r="O1561" s="7" t="s">
        <v>93</v>
      </c>
      <c r="P1561" s="3" t="s">
        <v>94</v>
      </c>
      <c r="Q1561" s="8" t="s">
        <v>117</v>
      </c>
      <c r="R1561" s="7" t="s">
        <v>118</v>
      </c>
      <c r="S1561" s="9">
        <v>100</v>
      </c>
      <c r="T1561" s="9">
        <v>445</v>
      </c>
      <c r="U1561" s="9">
        <v>0</v>
      </c>
      <c r="V1561" s="9">
        <f t="shared" si="1104"/>
        <v>0</v>
      </c>
      <c r="W1561" s="7" t="s">
        <v>97</v>
      </c>
      <c r="X1561" s="2">
        <v>2016</v>
      </c>
      <c r="Y1561" s="2" t="s">
        <v>7793</v>
      </c>
    </row>
    <row r="1562" spans="1:25" s="11" customFormat="1" ht="89.25" customHeight="1" outlineLevel="1" x14ac:dyDescent="0.25">
      <c r="A1562" s="1"/>
      <c r="B1562" s="2" t="s">
        <v>8158</v>
      </c>
      <c r="C1562" s="3" t="s">
        <v>83</v>
      </c>
      <c r="D1562" s="19" t="s">
        <v>2716</v>
      </c>
      <c r="E1562" s="19" t="s">
        <v>2717</v>
      </c>
      <c r="F1562" s="19" t="s">
        <v>2718</v>
      </c>
      <c r="G1562" s="19"/>
      <c r="H1562" s="2" t="s">
        <v>88</v>
      </c>
      <c r="I1562" s="4">
        <v>0</v>
      </c>
      <c r="J1562" s="5">
        <v>710000000</v>
      </c>
      <c r="K1562" s="5" t="s">
        <v>89</v>
      </c>
      <c r="L1562" s="2" t="s">
        <v>754</v>
      </c>
      <c r="M1562" s="19" t="s">
        <v>2682</v>
      </c>
      <c r="N1562" s="7" t="s">
        <v>92</v>
      </c>
      <c r="O1562" s="7" t="s">
        <v>93</v>
      </c>
      <c r="P1562" s="3" t="s">
        <v>673</v>
      </c>
      <c r="Q1562" s="8" t="s">
        <v>117</v>
      </c>
      <c r="R1562" s="7" t="s">
        <v>118</v>
      </c>
      <c r="S1562" s="9">
        <v>100</v>
      </c>
      <c r="T1562" s="9">
        <v>445</v>
      </c>
      <c r="U1562" s="9">
        <f t="shared" ref="U1562" si="1189">T1562*S1562</f>
        <v>44500</v>
      </c>
      <c r="V1562" s="9">
        <f t="shared" ref="V1562" si="1190">U1562*1.12</f>
        <v>49840.000000000007</v>
      </c>
      <c r="W1562" s="7"/>
      <c r="X1562" s="2">
        <v>2016</v>
      </c>
      <c r="Y1562" s="2"/>
    </row>
    <row r="1563" spans="1:25" s="11" customFormat="1" ht="89.25" customHeight="1" outlineLevel="1" x14ac:dyDescent="0.25">
      <c r="A1563" s="1"/>
      <c r="B1563" s="2" t="s">
        <v>6283</v>
      </c>
      <c r="C1563" s="3" t="s">
        <v>83</v>
      </c>
      <c r="D1563" s="19" t="s">
        <v>2723</v>
      </c>
      <c r="E1563" s="19" t="s">
        <v>2717</v>
      </c>
      <c r="F1563" s="19" t="s">
        <v>2724</v>
      </c>
      <c r="G1563" s="19"/>
      <c r="H1563" s="2" t="s">
        <v>88</v>
      </c>
      <c r="I1563" s="4">
        <v>0.4</v>
      </c>
      <c r="J1563" s="5">
        <v>710000000</v>
      </c>
      <c r="K1563" s="5" t="s">
        <v>89</v>
      </c>
      <c r="L1563" s="2" t="s">
        <v>754</v>
      </c>
      <c r="M1563" s="19" t="s">
        <v>2682</v>
      </c>
      <c r="N1563" s="7" t="s">
        <v>92</v>
      </c>
      <c r="O1563" s="7" t="s">
        <v>93</v>
      </c>
      <c r="P1563" s="3" t="s">
        <v>94</v>
      </c>
      <c r="Q1563" s="8" t="s">
        <v>117</v>
      </c>
      <c r="R1563" s="7" t="s">
        <v>118</v>
      </c>
      <c r="S1563" s="9">
        <v>100</v>
      </c>
      <c r="T1563" s="9">
        <v>405</v>
      </c>
      <c r="U1563" s="9">
        <v>0</v>
      </c>
      <c r="V1563" s="9">
        <f t="shared" si="1104"/>
        <v>0</v>
      </c>
      <c r="W1563" s="7" t="s">
        <v>97</v>
      </c>
      <c r="X1563" s="2">
        <v>2016</v>
      </c>
      <c r="Y1563" s="2" t="s">
        <v>7793</v>
      </c>
    </row>
    <row r="1564" spans="1:25" s="11" customFormat="1" ht="89.25" customHeight="1" outlineLevel="1" x14ac:dyDescent="0.25">
      <c r="A1564" s="1"/>
      <c r="B1564" s="2" t="s">
        <v>8159</v>
      </c>
      <c r="C1564" s="3" t="s">
        <v>83</v>
      </c>
      <c r="D1564" s="19" t="s">
        <v>2723</v>
      </c>
      <c r="E1564" s="19" t="s">
        <v>2717</v>
      </c>
      <c r="F1564" s="19" t="s">
        <v>2724</v>
      </c>
      <c r="G1564" s="19"/>
      <c r="H1564" s="2" t="s">
        <v>88</v>
      </c>
      <c r="I1564" s="4">
        <v>0</v>
      </c>
      <c r="J1564" s="5">
        <v>710000000</v>
      </c>
      <c r="K1564" s="5" t="s">
        <v>89</v>
      </c>
      <c r="L1564" s="2" t="s">
        <v>754</v>
      </c>
      <c r="M1564" s="19" t="s">
        <v>2682</v>
      </c>
      <c r="N1564" s="7" t="s">
        <v>92</v>
      </c>
      <c r="O1564" s="7" t="s">
        <v>93</v>
      </c>
      <c r="P1564" s="3" t="s">
        <v>673</v>
      </c>
      <c r="Q1564" s="8" t="s">
        <v>117</v>
      </c>
      <c r="R1564" s="7" t="s">
        <v>118</v>
      </c>
      <c r="S1564" s="9">
        <v>100</v>
      </c>
      <c r="T1564" s="9">
        <v>405</v>
      </c>
      <c r="U1564" s="9">
        <f t="shared" ref="U1564" si="1191">T1564*S1564</f>
        <v>40500</v>
      </c>
      <c r="V1564" s="9">
        <f t="shared" ref="V1564" si="1192">U1564*1.12</f>
        <v>45360.000000000007</v>
      </c>
      <c r="W1564" s="7"/>
      <c r="X1564" s="2">
        <v>2016</v>
      </c>
      <c r="Y1564" s="2"/>
    </row>
    <row r="1565" spans="1:25" s="11" customFormat="1" ht="204" customHeight="1" outlineLevel="1" x14ac:dyDescent="0.25">
      <c r="A1565" s="1"/>
      <c r="B1565" s="2" t="s">
        <v>6284</v>
      </c>
      <c r="C1565" s="3" t="s">
        <v>83</v>
      </c>
      <c r="D1565" s="19" t="s">
        <v>3036</v>
      </c>
      <c r="E1565" s="19" t="s">
        <v>2763</v>
      </c>
      <c r="F1565" s="19" t="s">
        <v>3037</v>
      </c>
      <c r="G1565" s="19" t="s">
        <v>3038</v>
      </c>
      <c r="H1565" s="2" t="s">
        <v>88</v>
      </c>
      <c r="I1565" s="4">
        <v>0.4</v>
      </c>
      <c r="J1565" s="5">
        <v>710000000</v>
      </c>
      <c r="K1565" s="5" t="s">
        <v>89</v>
      </c>
      <c r="L1565" s="2" t="s">
        <v>754</v>
      </c>
      <c r="M1565" s="19" t="s">
        <v>2682</v>
      </c>
      <c r="N1565" s="7" t="s">
        <v>92</v>
      </c>
      <c r="O1565" s="7" t="s">
        <v>93</v>
      </c>
      <c r="P1565" s="3" t="s">
        <v>94</v>
      </c>
      <c r="Q1565" s="8" t="s">
        <v>117</v>
      </c>
      <c r="R1565" s="7" t="s">
        <v>118</v>
      </c>
      <c r="S1565" s="9">
        <v>20</v>
      </c>
      <c r="T1565" s="9">
        <v>12000</v>
      </c>
      <c r="U1565" s="9">
        <v>0</v>
      </c>
      <c r="V1565" s="9">
        <f t="shared" si="1104"/>
        <v>0</v>
      </c>
      <c r="W1565" s="7" t="s">
        <v>97</v>
      </c>
      <c r="X1565" s="2">
        <v>2016</v>
      </c>
      <c r="Y1565" s="2" t="s">
        <v>7793</v>
      </c>
    </row>
    <row r="1566" spans="1:25" s="11" customFormat="1" ht="204" customHeight="1" outlineLevel="1" x14ac:dyDescent="0.25">
      <c r="A1566" s="1"/>
      <c r="B1566" s="2" t="s">
        <v>8160</v>
      </c>
      <c r="C1566" s="3" t="s">
        <v>83</v>
      </c>
      <c r="D1566" s="19" t="s">
        <v>3036</v>
      </c>
      <c r="E1566" s="19" t="s">
        <v>2763</v>
      </c>
      <c r="F1566" s="19" t="s">
        <v>3037</v>
      </c>
      <c r="G1566" s="19" t="s">
        <v>3038</v>
      </c>
      <c r="H1566" s="2" t="s">
        <v>88</v>
      </c>
      <c r="I1566" s="4">
        <v>0</v>
      </c>
      <c r="J1566" s="5">
        <v>710000000</v>
      </c>
      <c r="K1566" s="5" t="s">
        <v>89</v>
      </c>
      <c r="L1566" s="2" t="s">
        <v>754</v>
      </c>
      <c r="M1566" s="19" t="s">
        <v>2682</v>
      </c>
      <c r="N1566" s="7" t="s">
        <v>92</v>
      </c>
      <c r="O1566" s="7" t="s">
        <v>93</v>
      </c>
      <c r="P1566" s="3" t="s">
        <v>673</v>
      </c>
      <c r="Q1566" s="8" t="s">
        <v>117</v>
      </c>
      <c r="R1566" s="7" t="s">
        <v>118</v>
      </c>
      <c r="S1566" s="9">
        <v>20</v>
      </c>
      <c r="T1566" s="9">
        <v>12000</v>
      </c>
      <c r="U1566" s="9">
        <f t="shared" ref="U1566" si="1193">T1566*S1566</f>
        <v>240000</v>
      </c>
      <c r="V1566" s="9">
        <f t="shared" ref="V1566" si="1194">U1566*1.12</f>
        <v>268800</v>
      </c>
      <c r="W1566" s="7"/>
      <c r="X1566" s="2">
        <v>2016</v>
      </c>
      <c r="Y1566" s="2"/>
    </row>
    <row r="1567" spans="1:25" s="11" customFormat="1" ht="89.25" customHeight="1" outlineLevel="1" x14ac:dyDescent="0.25">
      <c r="A1567" s="1"/>
      <c r="B1567" s="2" t="s">
        <v>6285</v>
      </c>
      <c r="C1567" s="3" t="s">
        <v>83</v>
      </c>
      <c r="D1567" s="19" t="s">
        <v>2891</v>
      </c>
      <c r="E1567" s="19" t="s">
        <v>2892</v>
      </c>
      <c r="F1567" s="19" t="s">
        <v>2893</v>
      </c>
      <c r="G1567" s="19" t="s">
        <v>3039</v>
      </c>
      <c r="H1567" s="2" t="s">
        <v>88</v>
      </c>
      <c r="I1567" s="4">
        <v>0.4</v>
      </c>
      <c r="J1567" s="5">
        <v>710000000</v>
      </c>
      <c r="K1567" s="5" t="s">
        <v>89</v>
      </c>
      <c r="L1567" s="2" t="s">
        <v>754</v>
      </c>
      <c r="M1567" s="6" t="s">
        <v>682</v>
      </c>
      <c r="N1567" s="7" t="s">
        <v>92</v>
      </c>
      <c r="O1567" s="7" t="s">
        <v>93</v>
      </c>
      <c r="P1567" s="3" t="s">
        <v>94</v>
      </c>
      <c r="Q1567" s="8" t="s">
        <v>2439</v>
      </c>
      <c r="R1567" s="7" t="s">
        <v>2440</v>
      </c>
      <c r="S1567" s="9">
        <v>30</v>
      </c>
      <c r="T1567" s="9">
        <v>138.84</v>
      </c>
      <c r="U1567" s="9">
        <v>0</v>
      </c>
      <c r="V1567" s="9">
        <f t="shared" si="1104"/>
        <v>0</v>
      </c>
      <c r="W1567" s="7" t="s">
        <v>97</v>
      </c>
      <c r="X1567" s="2">
        <v>2016</v>
      </c>
      <c r="Y1567" s="2" t="s">
        <v>7793</v>
      </c>
    </row>
    <row r="1568" spans="1:25" s="11" customFormat="1" ht="89.25" customHeight="1" outlineLevel="1" x14ac:dyDescent="0.25">
      <c r="A1568" s="1"/>
      <c r="B1568" s="2" t="s">
        <v>8161</v>
      </c>
      <c r="C1568" s="3" t="s">
        <v>83</v>
      </c>
      <c r="D1568" s="19" t="s">
        <v>2891</v>
      </c>
      <c r="E1568" s="19" t="s">
        <v>2892</v>
      </c>
      <c r="F1568" s="19" t="s">
        <v>2893</v>
      </c>
      <c r="G1568" s="19" t="s">
        <v>3039</v>
      </c>
      <c r="H1568" s="2" t="s">
        <v>88</v>
      </c>
      <c r="I1568" s="4">
        <v>0</v>
      </c>
      <c r="J1568" s="5">
        <v>710000000</v>
      </c>
      <c r="K1568" s="5" t="s">
        <v>89</v>
      </c>
      <c r="L1568" s="2" t="s">
        <v>754</v>
      </c>
      <c r="M1568" s="6" t="s">
        <v>682</v>
      </c>
      <c r="N1568" s="7" t="s">
        <v>92</v>
      </c>
      <c r="O1568" s="7" t="s">
        <v>93</v>
      </c>
      <c r="P1568" s="3" t="s">
        <v>673</v>
      </c>
      <c r="Q1568" s="8" t="s">
        <v>2439</v>
      </c>
      <c r="R1568" s="7" t="s">
        <v>2440</v>
      </c>
      <c r="S1568" s="9">
        <v>30</v>
      </c>
      <c r="T1568" s="9">
        <v>138.84</v>
      </c>
      <c r="U1568" s="9">
        <f t="shared" ref="U1568" si="1195">T1568*S1568</f>
        <v>4165.2</v>
      </c>
      <c r="V1568" s="9">
        <f t="shared" ref="V1568" si="1196">U1568*1.12</f>
        <v>4665.0240000000003</v>
      </c>
      <c r="W1568" s="7"/>
      <c r="X1568" s="2">
        <v>2016</v>
      </c>
      <c r="Y1568" s="2"/>
    </row>
    <row r="1569" spans="1:25" s="11" customFormat="1" ht="89.25" customHeight="1" outlineLevel="1" x14ac:dyDescent="0.25">
      <c r="A1569" s="1"/>
      <c r="B1569" s="2" t="s">
        <v>6286</v>
      </c>
      <c r="C1569" s="3" t="s">
        <v>83</v>
      </c>
      <c r="D1569" s="19" t="s">
        <v>2891</v>
      </c>
      <c r="E1569" s="19" t="s">
        <v>2892</v>
      </c>
      <c r="F1569" s="19" t="s">
        <v>2893</v>
      </c>
      <c r="G1569" s="19" t="s">
        <v>3040</v>
      </c>
      <c r="H1569" s="2" t="s">
        <v>88</v>
      </c>
      <c r="I1569" s="4">
        <v>0.4</v>
      </c>
      <c r="J1569" s="5">
        <v>710000000</v>
      </c>
      <c r="K1569" s="5" t="s">
        <v>89</v>
      </c>
      <c r="L1569" s="2" t="s">
        <v>754</v>
      </c>
      <c r="M1569" s="6" t="s">
        <v>682</v>
      </c>
      <c r="N1569" s="7" t="s">
        <v>92</v>
      </c>
      <c r="O1569" s="7" t="s">
        <v>93</v>
      </c>
      <c r="P1569" s="3" t="s">
        <v>94</v>
      </c>
      <c r="Q1569" s="8" t="s">
        <v>2439</v>
      </c>
      <c r="R1569" s="7" t="s">
        <v>2440</v>
      </c>
      <c r="S1569" s="9">
        <v>35</v>
      </c>
      <c r="T1569" s="9">
        <v>100.45</v>
      </c>
      <c r="U1569" s="9">
        <v>0</v>
      </c>
      <c r="V1569" s="9">
        <f t="shared" si="1104"/>
        <v>0</v>
      </c>
      <c r="W1569" s="7" t="s">
        <v>97</v>
      </c>
      <c r="X1569" s="2">
        <v>2016</v>
      </c>
      <c r="Y1569" s="2" t="s">
        <v>7793</v>
      </c>
    </row>
    <row r="1570" spans="1:25" s="11" customFormat="1" ht="89.25" customHeight="1" outlineLevel="1" x14ac:dyDescent="0.25">
      <c r="A1570" s="1"/>
      <c r="B1570" s="2" t="s">
        <v>8162</v>
      </c>
      <c r="C1570" s="3" t="s">
        <v>83</v>
      </c>
      <c r="D1570" s="19" t="s">
        <v>2891</v>
      </c>
      <c r="E1570" s="19" t="s">
        <v>2892</v>
      </c>
      <c r="F1570" s="19" t="s">
        <v>2893</v>
      </c>
      <c r="G1570" s="19" t="s">
        <v>3040</v>
      </c>
      <c r="H1570" s="2" t="s">
        <v>88</v>
      </c>
      <c r="I1570" s="4">
        <v>0</v>
      </c>
      <c r="J1570" s="5">
        <v>710000000</v>
      </c>
      <c r="K1570" s="5" t="s">
        <v>89</v>
      </c>
      <c r="L1570" s="2" t="s">
        <v>754</v>
      </c>
      <c r="M1570" s="6" t="s">
        <v>682</v>
      </c>
      <c r="N1570" s="7" t="s">
        <v>92</v>
      </c>
      <c r="O1570" s="7" t="s">
        <v>93</v>
      </c>
      <c r="P1570" s="3" t="s">
        <v>673</v>
      </c>
      <c r="Q1570" s="8" t="s">
        <v>2439</v>
      </c>
      <c r="R1570" s="7" t="s">
        <v>2440</v>
      </c>
      <c r="S1570" s="9">
        <v>35</v>
      </c>
      <c r="T1570" s="9">
        <v>100.45</v>
      </c>
      <c r="U1570" s="9">
        <f t="shared" ref="U1570" si="1197">T1570*S1570</f>
        <v>3515.75</v>
      </c>
      <c r="V1570" s="9">
        <f t="shared" ref="V1570" si="1198">U1570*1.12</f>
        <v>3937.6400000000003</v>
      </c>
      <c r="W1570" s="7"/>
      <c r="X1570" s="2">
        <v>2016</v>
      </c>
      <c r="Y1570" s="2"/>
    </row>
    <row r="1571" spans="1:25" s="11" customFormat="1" ht="89.25" customHeight="1" outlineLevel="1" x14ac:dyDescent="0.25">
      <c r="A1571" s="1"/>
      <c r="B1571" s="2" t="s">
        <v>6287</v>
      </c>
      <c r="C1571" s="3" t="s">
        <v>83</v>
      </c>
      <c r="D1571" s="19" t="s">
        <v>2891</v>
      </c>
      <c r="E1571" s="19" t="s">
        <v>2892</v>
      </c>
      <c r="F1571" s="19" t="s">
        <v>2893</v>
      </c>
      <c r="G1571" s="19" t="s">
        <v>3041</v>
      </c>
      <c r="H1571" s="2" t="s">
        <v>88</v>
      </c>
      <c r="I1571" s="4">
        <v>0.4</v>
      </c>
      <c r="J1571" s="5">
        <v>710000000</v>
      </c>
      <c r="K1571" s="5" t="s">
        <v>89</v>
      </c>
      <c r="L1571" s="2" t="s">
        <v>754</v>
      </c>
      <c r="M1571" s="6" t="s">
        <v>682</v>
      </c>
      <c r="N1571" s="7" t="s">
        <v>92</v>
      </c>
      <c r="O1571" s="7" t="s">
        <v>93</v>
      </c>
      <c r="P1571" s="3" t="s">
        <v>94</v>
      </c>
      <c r="Q1571" s="8" t="s">
        <v>2439</v>
      </c>
      <c r="R1571" s="7" t="s">
        <v>2440</v>
      </c>
      <c r="S1571" s="9">
        <v>50</v>
      </c>
      <c r="T1571" s="9">
        <v>94.2</v>
      </c>
      <c r="U1571" s="9">
        <v>0</v>
      </c>
      <c r="V1571" s="9">
        <f t="shared" si="1104"/>
        <v>0</v>
      </c>
      <c r="W1571" s="7" t="s">
        <v>97</v>
      </c>
      <c r="X1571" s="2">
        <v>2016</v>
      </c>
      <c r="Y1571" s="2" t="s">
        <v>7793</v>
      </c>
    </row>
    <row r="1572" spans="1:25" s="11" customFormat="1" ht="89.25" customHeight="1" outlineLevel="1" x14ac:dyDescent="0.25">
      <c r="A1572" s="1"/>
      <c r="B1572" s="2" t="s">
        <v>8163</v>
      </c>
      <c r="C1572" s="3" t="s">
        <v>83</v>
      </c>
      <c r="D1572" s="19" t="s">
        <v>2891</v>
      </c>
      <c r="E1572" s="19" t="s">
        <v>2892</v>
      </c>
      <c r="F1572" s="19" t="s">
        <v>2893</v>
      </c>
      <c r="G1572" s="19" t="s">
        <v>3041</v>
      </c>
      <c r="H1572" s="2" t="s">
        <v>88</v>
      </c>
      <c r="I1572" s="4">
        <v>0</v>
      </c>
      <c r="J1572" s="5">
        <v>710000000</v>
      </c>
      <c r="K1572" s="5" t="s">
        <v>89</v>
      </c>
      <c r="L1572" s="2" t="s">
        <v>754</v>
      </c>
      <c r="M1572" s="6" t="s">
        <v>682</v>
      </c>
      <c r="N1572" s="7" t="s">
        <v>92</v>
      </c>
      <c r="O1572" s="7" t="s">
        <v>93</v>
      </c>
      <c r="P1572" s="3" t="s">
        <v>673</v>
      </c>
      <c r="Q1572" s="8" t="s">
        <v>2439</v>
      </c>
      <c r="R1572" s="7" t="s">
        <v>2440</v>
      </c>
      <c r="S1572" s="9">
        <v>50</v>
      </c>
      <c r="T1572" s="9">
        <v>94.2</v>
      </c>
      <c r="U1572" s="9">
        <f t="shared" ref="U1572" si="1199">T1572*S1572</f>
        <v>4710</v>
      </c>
      <c r="V1572" s="9">
        <f t="shared" ref="V1572" si="1200">U1572*1.12</f>
        <v>5275.2000000000007</v>
      </c>
      <c r="W1572" s="7"/>
      <c r="X1572" s="2">
        <v>2016</v>
      </c>
      <c r="Y1572" s="2"/>
    </row>
    <row r="1573" spans="1:25" s="11" customFormat="1" ht="89.25" customHeight="1" outlineLevel="1" x14ac:dyDescent="0.25">
      <c r="A1573" s="1"/>
      <c r="B1573" s="2" t="s">
        <v>6288</v>
      </c>
      <c r="C1573" s="3" t="s">
        <v>83</v>
      </c>
      <c r="D1573" s="19" t="s">
        <v>2891</v>
      </c>
      <c r="E1573" s="19" t="s">
        <v>2892</v>
      </c>
      <c r="F1573" s="19" t="s">
        <v>2893</v>
      </c>
      <c r="G1573" s="19" t="s">
        <v>3042</v>
      </c>
      <c r="H1573" s="2" t="s">
        <v>88</v>
      </c>
      <c r="I1573" s="4">
        <v>0.4</v>
      </c>
      <c r="J1573" s="5">
        <v>710000000</v>
      </c>
      <c r="K1573" s="5" t="s">
        <v>89</v>
      </c>
      <c r="L1573" s="2" t="s">
        <v>754</v>
      </c>
      <c r="M1573" s="6" t="s">
        <v>682</v>
      </c>
      <c r="N1573" s="7" t="s">
        <v>92</v>
      </c>
      <c r="O1573" s="7" t="s">
        <v>93</v>
      </c>
      <c r="P1573" s="3" t="s">
        <v>94</v>
      </c>
      <c r="Q1573" s="8" t="s">
        <v>2439</v>
      </c>
      <c r="R1573" s="7" t="s">
        <v>2440</v>
      </c>
      <c r="S1573" s="9">
        <v>50</v>
      </c>
      <c r="T1573" s="9">
        <v>141.52000000000001</v>
      </c>
      <c r="U1573" s="9">
        <v>0</v>
      </c>
      <c r="V1573" s="9">
        <f t="shared" si="1104"/>
        <v>0</v>
      </c>
      <c r="W1573" s="7" t="s">
        <v>97</v>
      </c>
      <c r="X1573" s="2">
        <v>2016</v>
      </c>
      <c r="Y1573" s="2" t="s">
        <v>7793</v>
      </c>
    </row>
    <row r="1574" spans="1:25" s="11" customFormat="1" ht="89.25" customHeight="1" outlineLevel="1" x14ac:dyDescent="0.25">
      <c r="A1574" s="1"/>
      <c r="B1574" s="2" t="s">
        <v>8164</v>
      </c>
      <c r="C1574" s="3" t="s">
        <v>83</v>
      </c>
      <c r="D1574" s="19" t="s">
        <v>2891</v>
      </c>
      <c r="E1574" s="19" t="s">
        <v>2892</v>
      </c>
      <c r="F1574" s="19" t="s">
        <v>2893</v>
      </c>
      <c r="G1574" s="19" t="s">
        <v>3042</v>
      </c>
      <c r="H1574" s="2" t="s">
        <v>88</v>
      </c>
      <c r="I1574" s="4">
        <v>0</v>
      </c>
      <c r="J1574" s="5">
        <v>710000000</v>
      </c>
      <c r="K1574" s="5" t="s">
        <v>89</v>
      </c>
      <c r="L1574" s="2" t="s">
        <v>754</v>
      </c>
      <c r="M1574" s="6" t="s">
        <v>682</v>
      </c>
      <c r="N1574" s="7" t="s">
        <v>92</v>
      </c>
      <c r="O1574" s="7" t="s">
        <v>93</v>
      </c>
      <c r="P1574" s="3" t="s">
        <v>673</v>
      </c>
      <c r="Q1574" s="8" t="s">
        <v>2439</v>
      </c>
      <c r="R1574" s="7" t="s">
        <v>2440</v>
      </c>
      <c r="S1574" s="9">
        <v>50</v>
      </c>
      <c r="T1574" s="9">
        <v>141.52000000000001</v>
      </c>
      <c r="U1574" s="9">
        <f t="shared" ref="U1574" si="1201">T1574*S1574</f>
        <v>7076.0000000000009</v>
      </c>
      <c r="V1574" s="9">
        <f t="shared" ref="V1574" si="1202">U1574*1.12</f>
        <v>7925.1200000000017</v>
      </c>
      <c r="W1574" s="7"/>
      <c r="X1574" s="2">
        <v>2016</v>
      </c>
      <c r="Y1574" s="2"/>
    </row>
    <row r="1575" spans="1:25" s="11" customFormat="1" ht="89.25" customHeight="1" outlineLevel="1" x14ac:dyDescent="0.25">
      <c r="A1575" s="1"/>
      <c r="B1575" s="2" t="s">
        <v>6289</v>
      </c>
      <c r="C1575" s="3" t="s">
        <v>83</v>
      </c>
      <c r="D1575" s="19" t="s">
        <v>3043</v>
      </c>
      <c r="E1575" s="19" t="s">
        <v>2702</v>
      </c>
      <c r="F1575" s="19" t="s">
        <v>3044</v>
      </c>
      <c r="G1575" s="19"/>
      <c r="H1575" s="2" t="s">
        <v>88</v>
      </c>
      <c r="I1575" s="4">
        <v>0.4</v>
      </c>
      <c r="J1575" s="5">
        <v>710000000</v>
      </c>
      <c r="K1575" s="5" t="s">
        <v>89</v>
      </c>
      <c r="L1575" s="2" t="s">
        <v>754</v>
      </c>
      <c r="M1575" s="6" t="s">
        <v>682</v>
      </c>
      <c r="N1575" s="7" t="s">
        <v>92</v>
      </c>
      <c r="O1575" s="7" t="s">
        <v>93</v>
      </c>
      <c r="P1575" s="3" t="s">
        <v>94</v>
      </c>
      <c r="Q1575" s="8" t="s">
        <v>117</v>
      </c>
      <c r="R1575" s="7" t="s">
        <v>118</v>
      </c>
      <c r="S1575" s="9">
        <v>150</v>
      </c>
      <c r="T1575" s="9">
        <v>57.15</v>
      </c>
      <c r="U1575" s="9">
        <v>0</v>
      </c>
      <c r="V1575" s="9">
        <f t="shared" si="1104"/>
        <v>0</v>
      </c>
      <c r="W1575" s="7" t="s">
        <v>97</v>
      </c>
      <c r="X1575" s="2">
        <v>2016</v>
      </c>
      <c r="Y1575" s="2" t="s">
        <v>7793</v>
      </c>
    </row>
    <row r="1576" spans="1:25" s="11" customFormat="1" ht="89.25" customHeight="1" outlineLevel="1" x14ac:dyDescent="0.25">
      <c r="A1576" s="1"/>
      <c r="B1576" s="2" t="s">
        <v>8165</v>
      </c>
      <c r="C1576" s="3" t="s">
        <v>83</v>
      </c>
      <c r="D1576" s="19" t="s">
        <v>3043</v>
      </c>
      <c r="E1576" s="19" t="s">
        <v>2702</v>
      </c>
      <c r="F1576" s="19" t="s">
        <v>3044</v>
      </c>
      <c r="G1576" s="19"/>
      <c r="H1576" s="2" t="s">
        <v>88</v>
      </c>
      <c r="I1576" s="4">
        <v>0</v>
      </c>
      <c r="J1576" s="5">
        <v>710000000</v>
      </c>
      <c r="K1576" s="5" t="s">
        <v>89</v>
      </c>
      <c r="L1576" s="2" t="s">
        <v>754</v>
      </c>
      <c r="M1576" s="6" t="s">
        <v>682</v>
      </c>
      <c r="N1576" s="7" t="s">
        <v>92</v>
      </c>
      <c r="O1576" s="7" t="s">
        <v>93</v>
      </c>
      <c r="P1576" s="3" t="s">
        <v>673</v>
      </c>
      <c r="Q1576" s="8" t="s">
        <v>117</v>
      </c>
      <c r="R1576" s="7" t="s">
        <v>118</v>
      </c>
      <c r="S1576" s="9">
        <v>150</v>
      </c>
      <c r="T1576" s="9">
        <v>57.15</v>
      </c>
      <c r="U1576" s="9">
        <v>0</v>
      </c>
      <c r="V1576" s="9">
        <f t="shared" ref="V1576" si="1203">U1576*1.12</f>
        <v>0</v>
      </c>
      <c r="W1576" s="7"/>
      <c r="X1576" s="2">
        <v>2016</v>
      </c>
      <c r="Y1576" s="2" t="s">
        <v>7460</v>
      </c>
    </row>
    <row r="1577" spans="1:25" s="11" customFormat="1" ht="89.25" customHeight="1" outlineLevel="1" x14ac:dyDescent="0.25">
      <c r="A1577" s="1"/>
      <c r="B1577" s="2" t="s">
        <v>6290</v>
      </c>
      <c r="C1577" s="3" t="s">
        <v>83</v>
      </c>
      <c r="D1577" s="19" t="s">
        <v>2716</v>
      </c>
      <c r="E1577" s="19" t="s">
        <v>2717</v>
      </c>
      <c r="F1577" s="19" t="s">
        <v>2718</v>
      </c>
      <c r="G1577" s="19"/>
      <c r="H1577" s="2" t="s">
        <v>88</v>
      </c>
      <c r="I1577" s="4">
        <v>0.4</v>
      </c>
      <c r="J1577" s="5">
        <v>710000000</v>
      </c>
      <c r="K1577" s="5" t="s">
        <v>89</v>
      </c>
      <c r="L1577" s="2" t="s">
        <v>754</v>
      </c>
      <c r="M1577" s="6" t="s">
        <v>682</v>
      </c>
      <c r="N1577" s="7" t="s">
        <v>92</v>
      </c>
      <c r="O1577" s="7" t="s">
        <v>93</v>
      </c>
      <c r="P1577" s="3" t="s">
        <v>94</v>
      </c>
      <c r="Q1577" s="8" t="s">
        <v>117</v>
      </c>
      <c r="R1577" s="7" t="s">
        <v>118</v>
      </c>
      <c r="S1577" s="9">
        <v>1000</v>
      </c>
      <c r="T1577" s="9">
        <v>419.64</v>
      </c>
      <c r="U1577" s="9">
        <v>0</v>
      </c>
      <c r="V1577" s="9">
        <f t="shared" si="1104"/>
        <v>0</v>
      </c>
      <c r="W1577" s="7" t="s">
        <v>97</v>
      </c>
      <c r="X1577" s="2">
        <v>2016</v>
      </c>
      <c r="Y1577" s="2" t="s">
        <v>7793</v>
      </c>
    </row>
    <row r="1578" spans="1:25" s="11" customFormat="1" ht="89.25" customHeight="1" outlineLevel="1" x14ac:dyDescent="0.25">
      <c r="A1578" s="1"/>
      <c r="B1578" s="2" t="s">
        <v>8166</v>
      </c>
      <c r="C1578" s="3" t="s">
        <v>83</v>
      </c>
      <c r="D1578" s="19" t="s">
        <v>2716</v>
      </c>
      <c r="E1578" s="19" t="s">
        <v>2717</v>
      </c>
      <c r="F1578" s="19" t="s">
        <v>2718</v>
      </c>
      <c r="G1578" s="19"/>
      <c r="H1578" s="2" t="s">
        <v>88</v>
      </c>
      <c r="I1578" s="4">
        <v>0</v>
      </c>
      <c r="J1578" s="5">
        <v>710000000</v>
      </c>
      <c r="K1578" s="5" t="s">
        <v>89</v>
      </c>
      <c r="L1578" s="2" t="s">
        <v>754</v>
      </c>
      <c r="M1578" s="6" t="s">
        <v>682</v>
      </c>
      <c r="N1578" s="7" t="s">
        <v>92</v>
      </c>
      <c r="O1578" s="7" t="s">
        <v>93</v>
      </c>
      <c r="P1578" s="3" t="s">
        <v>673</v>
      </c>
      <c r="Q1578" s="8" t="s">
        <v>117</v>
      </c>
      <c r="R1578" s="7" t="s">
        <v>118</v>
      </c>
      <c r="S1578" s="9">
        <v>1000</v>
      </c>
      <c r="T1578" s="9">
        <v>419.64</v>
      </c>
      <c r="U1578" s="9">
        <f t="shared" ref="U1578" si="1204">T1578*S1578</f>
        <v>419640</v>
      </c>
      <c r="V1578" s="9">
        <f t="shared" ref="V1578" si="1205">U1578*1.12</f>
        <v>469996.80000000005</v>
      </c>
      <c r="W1578" s="7"/>
      <c r="X1578" s="2">
        <v>2016</v>
      </c>
      <c r="Y1578" s="2"/>
    </row>
    <row r="1579" spans="1:25" s="11" customFormat="1" ht="89.25" customHeight="1" outlineLevel="1" x14ac:dyDescent="0.25">
      <c r="A1579" s="1"/>
      <c r="B1579" s="2" t="s">
        <v>6291</v>
      </c>
      <c r="C1579" s="3" t="s">
        <v>83</v>
      </c>
      <c r="D1579" s="19" t="s">
        <v>2726</v>
      </c>
      <c r="E1579" s="19" t="s">
        <v>2706</v>
      </c>
      <c r="F1579" s="19" t="s">
        <v>2727</v>
      </c>
      <c r="G1579" s="19"/>
      <c r="H1579" s="2" t="s">
        <v>88</v>
      </c>
      <c r="I1579" s="4">
        <v>0.4</v>
      </c>
      <c r="J1579" s="5">
        <v>710000000</v>
      </c>
      <c r="K1579" s="5" t="s">
        <v>89</v>
      </c>
      <c r="L1579" s="2" t="s">
        <v>754</v>
      </c>
      <c r="M1579" s="6" t="s">
        <v>682</v>
      </c>
      <c r="N1579" s="7" t="s">
        <v>92</v>
      </c>
      <c r="O1579" s="7" t="s">
        <v>93</v>
      </c>
      <c r="P1579" s="3" t="s">
        <v>94</v>
      </c>
      <c r="Q1579" s="8" t="s">
        <v>117</v>
      </c>
      <c r="R1579" s="7" t="s">
        <v>118</v>
      </c>
      <c r="S1579" s="9">
        <v>8</v>
      </c>
      <c r="T1579" s="9">
        <v>2061.61</v>
      </c>
      <c r="U1579" s="9">
        <v>0</v>
      </c>
      <c r="V1579" s="9">
        <f t="shared" si="1104"/>
        <v>0</v>
      </c>
      <c r="W1579" s="7" t="s">
        <v>97</v>
      </c>
      <c r="X1579" s="2">
        <v>2016</v>
      </c>
      <c r="Y1579" s="2" t="s">
        <v>7793</v>
      </c>
    </row>
    <row r="1580" spans="1:25" s="11" customFormat="1" ht="89.25" customHeight="1" outlineLevel="1" x14ac:dyDescent="0.25">
      <c r="A1580" s="1"/>
      <c r="B1580" s="2" t="s">
        <v>8167</v>
      </c>
      <c r="C1580" s="3" t="s">
        <v>83</v>
      </c>
      <c r="D1580" s="19" t="s">
        <v>2726</v>
      </c>
      <c r="E1580" s="19" t="s">
        <v>2706</v>
      </c>
      <c r="F1580" s="19" t="s">
        <v>2727</v>
      </c>
      <c r="G1580" s="19"/>
      <c r="H1580" s="2" t="s">
        <v>88</v>
      </c>
      <c r="I1580" s="4">
        <v>0</v>
      </c>
      <c r="J1580" s="5">
        <v>710000000</v>
      </c>
      <c r="K1580" s="5" t="s">
        <v>89</v>
      </c>
      <c r="L1580" s="2" t="s">
        <v>754</v>
      </c>
      <c r="M1580" s="6" t="s">
        <v>682</v>
      </c>
      <c r="N1580" s="7" t="s">
        <v>92</v>
      </c>
      <c r="O1580" s="7" t="s">
        <v>93</v>
      </c>
      <c r="P1580" s="3" t="s">
        <v>673</v>
      </c>
      <c r="Q1580" s="8" t="s">
        <v>117</v>
      </c>
      <c r="R1580" s="7" t="s">
        <v>118</v>
      </c>
      <c r="S1580" s="9">
        <v>8</v>
      </c>
      <c r="T1580" s="9">
        <v>2061.61</v>
      </c>
      <c r="U1580" s="9">
        <f t="shared" ref="U1580" si="1206">T1580*S1580</f>
        <v>16492.88</v>
      </c>
      <c r="V1580" s="9">
        <f t="shared" ref="V1580" si="1207">U1580*1.12</f>
        <v>18472.025600000004</v>
      </c>
      <c r="W1580" s="7"/>
      <c r="X1580" s="2">
        <v>2016</v>
      </c>
      <c r="Y1580" s="2"/>
    </row>
    <row r="1581" spans="1:25" s="11" customFormat="1" ht="89.25" customHeight="1" outlineLevel="1" x14ac:dyDescent="0.25">
      <c r="A1581" s="1"/>
      <c r="B1581" s="2" t="s">
        <v>6292</v>
      </c>
      <c r="C1581" s="3" t="s">
        <v>83</v>
      </c>
      <c r="D1581" s="19" t="s">
        <v>2729</v>
      </c>
      <c r="E1581" s="19" t="s">
        <v>2717</v>
      </c>
      <c r="F1581" s="19" t="s">
        <v>2730</v>
      </c>
      <c r="G1581" s="19"/>
      <c r="H1581" s="2" t="s">
        <v>88</v>
      </c>
      <c r="I1581" s="4">
        <v>0.4</v>
      </c>
      <c r="J1581" s="5">
        <v>710000000</v>
      </c>
      <c r="K1581" s="5" t="s">
        <v>89</v>
      </c>
      <c r="L1581" s="2" t="s">
        <v>754</v>
      </c>
      <c r="M1581" s="6" t="s">
        <v>682</v>
      </c>
      <c r="N1581" s="7" t="s">
        <v>92</v>
      </c>
      <c r="O1581" s="7" t="s">
        <v>93</v>
      </c>
      <c r="P1581" s="3" t="s">
        <v>94</v>
      </c>
      <c r="Q1581" s="8" t="s">
        <v>117</v>
      </c>
      <c r="R1581" s="7" t="s">
        <v>118</v>
      </c>
      <c r="S1581" s="9">
        <v>200</v>
      </c>
      <c r="T1581" s="9">
        <v>291.07</v>
      </c>
      <c r="U1581" s="9">
        <v>0</v>
      </c>
      <c r="V1581" s="9">
        <f t="shared" si="1104"/>
        <v>0</v>
      </c>
      <c r="W1581" s="7" t="s">
        <v>97</v>
      </c>
      <c r="X1581" s="2">
        <v>2016</v>
      </c>
      <c r="Y1581" s="2" t="s">
        <v>7793</v>
      </c>
    </row>
    <row r="1582" spans="1:25" s="11" customFormat="1" ht="89.25" customHeight="1" outlineLevel="1" x14ac:dyDescent="0.25">
      <c r="A1582" s="1"/>
      <c r="B1582" s="2" t="s">
        <v>8168</v>
      </c>
      <c r="C1582" s="3" t="s">
        <v>83</v>
      </c>
      <c r="D1582" s="19" t="s">
        <v>2729</v>
      </c>
      <c r="E1582" s="19" t="s">
        <v>2717</v>
      </c>
      <c r="F1582" s="19" t="s">
        <v>2730</v>
      </c>
      <c r="G1582" s="19"/>
      <c r="H1582" s="2" t="s">
        <v>88</v>
      </c>
      <c r="I1582" s="4">
        <v>0</v>
      </c>
      <c r="J1582" s="5">
        <v>710000000</v>
      </c>
      <c r="K1582" s="5" t="s">
        <v>89</v>
      </c>
      <c r="L1582" s="2" t="s">
        <v>754</v>
      </c>
      <c r="M1582" s="6" t="s">
        <v>682</v>
      </c>
      <c r="N1582" s="7" t="s">
        <v>92</v>
      </c>
      <c r="O1582" s="7" t="s">
        <v>93</v>
      </c>
      <c r="P1582" s="3" t="s">
        <v>673</v>
      </c>
      <c r="Q1582" s="8" t="s">
        <v>117</v>
      </c>
      <c r="R1582" s="7" t="s">
        <v>118</v>
      </c>
      <c r="S1582" s="9">
        <v>200</v>
      </c>
      <c r="T1582" s="9">
        <v>291.07</v>
      </c>
      <c r="U1582" s="9">
        <f t="shared" ref="U1582" si="1208">T1582*S1582</f>
        <v>58214</v>
      </c>
      <c r="V1582" s="9">
        <f t="shared" ref="V1582" si="1209">U1582*1.12</f>
        <v>65199.680000000008</v>
      </c>
      <c r="W1582" s="7"/>
      <c r="X1582" s="2">
        <v>2016</v>
      </c>
      <c r="Y1582" s="2"/>
    </row>
    <row r="1583" spans="1:25" s="11" customFormat="1" ht="89.25" customHeight="1" outlineLevel="1" x14ac:dyDescent="0.25">
      <c r="A1583" s="1"/>
      <c r="B1583" s="2" t="s">
        <v>6293</v>
      </c>
      <c r="C1583" s="3" t="s">
        <v>83</v>
      </c>
      <c r="D1583" s="19" t="s">
        <v>2731</v>
      </c>
      <c r="E1583" s="19" t="s">
        <v>965</v>
      </c>
      <c r="F1583" s="19" t="s">
        <v>2732</v>
      </c>
      <c r="G1583" s="3" t="s">
        <v>3045</v>
      </c>
      <c r="H1583" s="2" t="s">
        <v>88</v>
      </c>
      <c r="I1583" s="4">
        <v>0.4</v>
      </c>
      <c r="J1583" s="5">
        <v>710000000</v>
      </c>
      <c r="K1583" s="5" t="s">
        <v>89</v>
      </c>
      <c r="L1583" s="2" t="s">
        <v>754</v>
      </c>
      <c r="M1583" s="6" t="s">
        <v>682</v>
      </c>
      <c r="N1583" s="7" t="s">
        <v>92</v>
      </c>
      <c r="O1583" s="7" t="s">
        <v>93</v>
      </c>
      <c r="P1583" s="3" t="s">
        <v>94</v>
      </c>
      <c r="Q1583" s="8">
        <v>796</v>
      </c>
      <c r="R1583" s="7" t="s">
        <v>118</v>
      </c>
      <c r="S1583" s="9">
        <v>1000</v>
      </c>
      <c r="T1583" s="9">
        <v>55.36</v>
      </c>
      <c r="U1583" s="9">
        <v>0</v>
      </c>
      <c r="V1583" s="9">
        <f t="shared" si="1104"/>
        <v>0</v>
      </c>
      <c r="W1583" s="7" t="s">
        <v>97</v>
      </c>
      <c r="X1583" s="2">
        <v>2016</v>
      </c>
      <c r="Y1583" s="2" t="s">
        <v>7793</v>
      </c>
    </row>
    <row r="1584" spans="1:25" s="11" customFormat="1" ht="89.25" customHeight="1" outlineLevel="1" x14ac:dyDescent="0.25">
      <c r="A1584" s="1"/>
      <c r="B1584" s="2" t="s">
        <v>8169</v>
      </c>
      <c r="C1584" s="3" t="s">
        <v>83</v>
      </c>
      <c r="D1584" s="19" t="s">
        <v>2731</v>
      </c>
      <c r="E1584" s="19" t="s">
        <v>965</v>
      </c>
      <c r="F1584" s="19" t="s">
        <v>2732</v>
      </c>
      <c r="G1584" s="3" t="s">
        <v>3045</v>
      </c>
      <c r="H1584" s="2" t="s">
        <v>88</v>
      </c>
      <c r="I1584" s="4">
        <v>0</v>
      </c>
      <c r="J1584" s="5">
        <v>710000000</v>
      </c>
      <c r="K1584" s="5" t="s">
        <v>89</v>
      </c>
      <c r="L1584" s="2" t="s">
        <v>754</v>
      </c>
      <c r="M1584" s="6" t="s">
        <v>682</v>
      </c>
      <c r="N1584" s="7" t="s">
        <v>92</v>
      </c>
      <c r="O1584" s="7" t="s">
        <v>93</v>
      </c>
      <c r="P1584" s="3" t="s">
        <v>673</v>
      </c>
      <c r="Q1584" s="8">
        <v>796</v>
      </c>
      <c r="R1584" s="7" t="s">
        <v>118</v>
      </c>
      <c r="S1584" s="9">
        <v>1000</v>
      </c>
      <c r="T1584" s="9">
        <v>55.36</v>
      </c>
      <c r="U1584" s="9">
        <f t="shared" ref="U1584" si="1210">T1584*S1584</f>
        <v>55360</v>
      </c>
      <c r="V1584" s="9">
        <f t="shared" ref="V1584" si="1211">U1584*1.12</f>
        <v>62003.200000000004</v>
      </c>
      <c r="W1584" s="7"/>
      <c r="X1584" s="2">
        <v>2016</v>
      </c>
      <c r="Y1584" s="2"/>
    </row>
    <row r="1585" spans="1:25" s="11" customFormat="1" ht="89.25" customHeight="1" outlineLevel="1" x14ac:dyDescent="0.25">
      <c r="A1585" s="1"/>
      <c r="B1585" s="2" t="s">
        <v>6294</v>
      </c>
      <c r="C1585" s="3" t="s">
        <v>83</v>
      </c>
      <c r="D1585" s="19" t="s">
        <v>2731</v>
      </c>
      <c r="E1585" s="19" t="s">
        <v>965</v>
      </c>
      <c r="F1585" s="19" t="s">
        <v>2732</v>
      </c>
      <c r="G1585" s="3" t="s">
        <v>3046</v>
      </c>
      <c r="H1585" s="2" t="s">
        <v>88</v>
      </c>
      <c r="I1585" s="4">
        <v>0.4</v>
      </c>
      <c r="J1585" s="5">
        <v>710000000</v>
      </c>
      <c r="K1585" s="5" t="s">
        <v>89</v>
      </c>
      <c r="L1585" s="2" t="s">
        <v>754</v>
      </c>
      <c r="M1585" s="6" t="s">
        <v>682</v>
      </c>
      <c r="N1585" s="7" t="s">
        <v>92</v>
      </c>
      <c r="O1585" s="7" t="s">
        <v>93</v>
      </c>
      <c r="P1585" s="3" t="s">
        <v>94</v>
      </c>
      <c r="Q1585" s="8">
        <v>796</v>
      </c>
      <c r="R1585" s="7" t="s">
        <v>118</v>
      </c>
      <c r="S1585" s="9">
        <v>1000</v>
      </c>
      <c r="T1585" s="9">
        <v>58.93</v>
      </c>
      <c r="U1585" s="9">
        <v>0</v>
      </c>
      <c r="V1585" s="9">
        <f t="shared" si="1104"/>
        <v>0</v>
      </c>
      <c r="W1585" s="7" t="s">
        <v>97</v>
      </c>
      <c r="X1585" s="2">
        <v>2016</v>
      </c>
      <c r="Y1585" s="2" t="s">
        <v>7793</v>
      </c>
    </row>
    <row r="1586" spans="1:25" s="11" customFormat="1" ht="89.25" customHeight="1" outlineLevel="1" x14ac:dyDescent="0.25">
      <c r="A1586" s="1"/>
      <c r="B1586" s="2" t="s">
        <v>8170</v>
      </c>
      <c r="C1586" s="3" t="s">
        <v>83</v>
      </c>
      <c r="D1586" s="19" t="s">
        <v>2731</v>
      </c>
      <c r="E1586" s="19" t="s">
        <v>965</v>
      </c>
      <c r="F1586" s="19" t="s">
        <v>2732</v>
      </c>
      <c r="G1586" s="3" t="s">
        <v>3046</v>
      </c>
      <c r="H1586" s="2" t="s">
        <v>88</v>
      </c>
      <c r="I1586" s="4">
        <v>0</v>
      </c>
      <c r="J1586" s="5">
        <v>710000000</v>
      </c>
      <c r="K1586" s="5" t="s">
        <v>89</v>
      </c>
      <c r="L1586" s="2" t="s">
        <v>754</v>
      </c>
      <c r="M1586" s="6" t="s">
        <v>682</v>
      </c>
      <c r="N1586" s="7" t="s">
        <v>92</v>
      </c>
      <c r="O1586" s="7" t="s">
        <v>93</v>
      </c>
      <c r="P1586" s="3" t="s">
        <v>673</v>
      </c>
      <c r="Q1586" s="8">
        <v>796</v>
      </c>
      <c r="R1586" s="7" t="s">
        <v>118</v>
      </c>
      <c r="S1586" s="9">
        <v>1000</v>
      </c>
      <c r="T1586" s="9">
        <v>58.93</v>
      </c>
      <c r="U1586" s="9">
        <f t="shared" ref="U1586" si="1212">T1586*S1586</f>
        <v>58930</v>
      </c>
      <c r="V1586" s="9">
        <f t="shared" ref="V1586" si="1213">U1586*1.12</f>
        <v>66001.600000000006</v>
      </c>
      <c r="W1586" s="7"/>
      <c r="X1586" s="2">
        <v>2016</v>
      </c>
      <c r="Y1586" s="2"/>
    </row>
    <row r="1587" spans="1:25" s="11" customFormat="1" ht="89.25" customHeight="1" outlineLevel="1" x14ac:dyDescent="0.25">
      <c r="A1587" s="1"/>
      <c r="B1587" s="2" t="s">
        <v>6295</v>
      </c>
      <c r="C1587" s="19" t="s">
        <v>83</v>
      </c>
      <c r="D1587" s="19" t="s">
        <v>2749</v>
      </c>
      <c r="E1587" s="19" t="s">
        <v>2717</v>
      </c>
      <c r="F1587" s="19" t="s">
        <v>2750</v>
      </c>
      <c r="G1587" s="19" t="s">
        <v>3047</v>
      </c>
      <c r="H1587" s="2" t="s">
        <v>88</v>
      </c>
      <c r="I1587" s="4">
        <v>0.4</v>
      </c>
      <c r="J1587" s="5">
        <v>710000000</v>
      </c>
      <c r="K1587" s="5" t="s">
        <v>89</v>
      </c>
      <c r="L1587" s="2" t="s">
        <v>754</v>
      </c>
      <c r="M1587" s="6" t="s">
        <v>682</v>
      </c>
      <c r="N1587" s="7" t="s">
        <v>92</v>
      </c>
      <c r="O1587" s="7" t="s">
        <v>93</v>
      </c>
      <c r="P1587" s="3" t="s">
        <v>94</v>
      </c>
      <c r="Q1587" s="8">
        <v>796</v>
      </c>
      <c r="R1587" s="7" t="s">
        <v>118</v>
      </c>
      <c r="S1587" s="9">
        <v>40</v>
      </c>
      <c r="T1587" s="9">
        <v>137.94999999999999</v>
      </c>
      <c r="U1587" s="9">
        <v>0</v>
      </c>
      <c r="V1587" s="9">
        <f t="shared" si="1104"/>
        <v>0</v>
      </c>
      <c r="W1587" s="7" t="s">
        <v>97</v>
      </c>
      <c r="X1587" s="2">
        <v>2016</v>
      </c>
      <c r="Y1587" s="2" t="s">
        <v>7793</v>
      </c>
    </row>
    <row r="1588" spans="1:25" s="11" customFormat="1" ht="89.25" customHeight="1" outlineLevel="1" x14ac:dyDescent="0.25">
      <c r="A1588" s="1"/>
      <c r="B1588" s="2" t="s">
        <v>8171</v>
      </c>
      <c r="C1588" s="19" t="s">
        <v>83</v>
      </c>
      <c r="D1588" s="19" t="s">
        <v>2749</v>
      </c>
      <c r="E1588" s="19" t="s">
        <v>2717</v>
      </c>
      <c r="F1588" s="19" t="s">
        <v>2750</v>
      </c>
      <c r="G1588" s="19" t="s">
        <v>3047</v>
      </c>
      <c r="H1588" s="2" t="s">
        <v>88</v>
      </c>
      <c r="I1588" s="4">
        <v>0</v>
      </c>
      <c r="J1588" s="5">
        <v>710000000</v>
      </c>
      <c r="K1588" s="5" t="s">
        <v>89</v>
      </c>
      <c r="L1588" s="2" t="s">
        <v>754</v>
      </c>
      <c r="M1588" s="6" t="s">
        <v>682</v>
      </c>
      <c r="N1588" s="7" t="s">
        <v>92</v>
      </c>
      <c r="O1588" s="7" t="s">
        <v>93</v>
      </c>
      <c r="P1588" s="3" t="s">
        <v>673</v>
      </c>
      <c r="Q1588" s="8">
        <v>796</v>
      </c>
      <c r="R1588" s="7" t="s">
        <v>118</v>
      </c>
      <c r="S1588" s="9">
        <v>40</v>
      </c>
      <c r="T1588" s="9">
        <v>137.94999999999999</v>
      </c>
      <c r="U1588" s="9">
        <f t="shared" ref="U1588" si="1214">T1588*S1588</f>
        <v>5518</v>
      </c>
      <c r="V1588" s="9">
        <f t="shared" ref="V1588" si="1215">U1588*1.12</f>
        <v>6180.1600000000008</v>
      </c>
      <c r="W1588" s="7"/>
      <c r="X1588" s="2">
        <v>2016</v>
      </c>
      <c r="Y1588" s="2"/>
    </row>
    <row r="1589" spans="1:25" s="11" customFormat="1" ht="89.25" customHeight="1" outlineLevel="1" x14ac:dyDescent="0.25">
      <c r="A1589" s="1"/>
      <c r="B1589" s="2" t="s">
        <v>6296</v>
      </c>
      <c r="C1589" s="3" t="s">
        <v>83</v>
      </c>
      <c r="D1589" s="19" t="s">
        <v>2756</v>
      </c>
      <c r="E1589" s="19" t="s">
        <v>2757</v>
      </c>
      <c r="F1589" s="19" t="s">
        <v>2758</v>
      </c>
      <c r="G1589" s="19" t="s">
        <v>2759</v>
      </c>
      <c r="H1589" s="2" t="s">
        <v>88</v>
      </c>
      <c r="I1589" s="4">
        <v>0.4</v>
      </c>
      <c r="J1589" s="5">
        <v>710000000</v>
      </c>
      <c r="K1589" s="5" t="s">
        <v>89</v>
      </c>
      <c r="L1589" s="2" t="s">
        <v>754</v>
      </c>
      <c r="M1589" s="6" t="s">
        <v>682</v>
      </c>
      <c r="N1589" s="7" t="s">
        <v>92</v>
      </c>
      <c r="O1589" s="7" t="s">
        <v>93</v>
      </c>
      <c r="P1589" s="3" t="s">
        <v>94</v>
      </c>
      <c r="Q1589" s="8">
        <v>796</v>
      </c>
      <c r="R1589" s="7" t="s">
        <v>118</v>
      </c>
      <c r="S1589" s="9">
        <v>20</v>
      </c>
      <c r="T1589" s="9">
        <v>881.25</v>
      </c>
      <c r="U1589" s="9">
        <v>0</v>
      </c>
      <c r="V1589" s="9">
        <f t="shared" si="1104"/>
        <v>0</v>
      </c>
      <c r="W1589" s="7" t="s">
        <v>97</v>
      </c>
      <c r="X1589" s="2">
        <v>2016</v>
      </c>
      <c r="Y1589" s="2" t="s">
        <v>7793</v>
      </c>
    </row>
    <row r="1590" spans="1:25" s="11" customFormat="1" ht="89.25" customHeight="1" outlineLevel="1" x14ac:dyDescent="0.25">
      <c r="A1590" s="1"/>
      <c r="B1590" s="2" t="s">
        <v>8172</v>
      </c>
      <c r="C1590" s="3" t="s">
        <v>83</v>
      </c>
      <c r="D1590" s="19" t="s">
        <v>2756</v>
      </c>
      <c r="E1590" s="19" t="s">
        <v>2757</v>
      </c>
      <c r="F1590" s="19" t="s">
        <v>2758</v>
      </c>
      <c r="G1590" s="19" t="s">
        <v>2759</v>
      </c>
      <c r="H1590" s="2" t="s">
        <v>88</v>
      </c>
      <c r="I1590" s="4">
        <v>0</v>
      </c>
      <c r="J1590" s="5">
        <v>710000000</v>
      </c>
      <c r="K1590" s="5" t="s">
        <v>89</v>
      </c>
      <c r="L1590" s="2" t="s">
        <v>754</v>
      </c>
      <c r="M1590" s="6" t="s">
        <v>682</v>
      </c>
      <c r="N1590" s="7" t="s">
        <v>92</v>
      </c>
      <c r="O1590" s="7" t="s">
        <v>93</v>
      </c>
      <c r="P1590" s="3" t="s">
        <v>673</v>
      </c>
      <c r="Q1590" s="8">
        <v>796</v>
      </c>
      <c r="R1590" s="7" t="s">
        <v>118</v>
      </c>
      <c r="S1590" s="9">
        <v>20</v>
      </c>
      <c r="T1590" s="9">
        <v>881.25</v>
      </c>
      <c r="U1590" s="9">
        <f t="shared" ref="U1590" si="1216">T1590*S1590</f>
        <v>17625</v>
      </c>
      <c r="V1590" s="9">
        <f t="shared" ref="V1590" si="1217">U1590*1.12</f>
        <v>19740.000000000004</v>
      </c>
      <c r="W1590" s="7"/>
      <c r="X1590" s="2">
        <v>2016</v>
      </c>
      <c r="Y1590" s="2"/>
    </row>
    <row r="1591" spans="1:25" s="11" customFormat="1" ht="89.25" customHeight="1" outlineLevel="1" x14ac:dyDescent="0.25">
      <c r="A1591" s="1"/>
      <c r="B1591" s="2" t="s">
        <v>6297</v>
      </c>
      <c r="C1591" s="3" t="s">
        <v>83</v>
      </c>
      <c r="D1591" s="19" t="s">
        <v>2756</v>
      </c>
      <c r="E1591" s="19" t="s">
        <v>2757</v>
      </c>
      <c r="F1591" s="19" t="s">
        <v>2758</v>
      </c>
      <c r="G1591" s="19" t="s">
        <v>2761</v>
      </c>
      <c r="H1591" s="2" t="s">
        <v>88</v>
      </c>
      <c r="I1591" s="4">
        <v>0.4</v>
      </c>
      <c r="J1591" s="5">
        <v>710000000</v>
      </c>
      <c r="K1591" s="5" t="s">
        <v>89</v>
      </c>
      <c r="L1591" s="2" t="s">
        <v>754</v>
      </c>
      <c r="M1591" s="6" t="s">
        <v>682</v>
      </c>
      <c r="N1591" s="7" t="s">
        <v>92</v>
      </c>
      <c r="O1591" s="7" t="s">
        <v>93</v>
      </c>
      <c r="P1591" s="3" t="s">
        <v>94</v>
      </c>
      <c r="Q1591" s="8">
        <v>796</v>
      </c>
      <c r="R1591" s="7" t="s">
        <v>118</v>
      </c>
      <c r="S1591" s="9">
        <v>20</v>
      </c>
      <c r="T1591" s="9">
        <v>764.28</v>
      </c>
      <c r="U1591" s="9">
        <v>0</v>
      </c>
      <c r="V1591" s="9">
        <f t="shared" si="1104"/>
        <v>0</v>
      </c>
      <c r="W1591" s="7" t="s">
        <v>97</v>
      </c>
      <c r="X1591" s="2">
        <v>2016</v>
      </c>
      <c r="Y1591" s="2" t="s">
        <v>7793</v>
      </c>
    </row>
    <row r="1592" spans="1:25" s="11" customFormat="1" ht="89.25" customHeight="1" outlineLevel="1" x14ac:dyDescent="0.25">
      <c r="A1592" s="1"/>
      <c r="B1592" s="2" t="s">
        <v>8173</v>
      </c>
      <c r="C1592" s="3" t="s">
        <v>83</v>
      </c>
      <c r="D1592" s="19" t="s">
        <v>2756</v>
      </c>
      <c r="E1592" s="19" t="s">
        <v>2757</v>
      </c>
      <c r="F1592" s="19" t="s">
        <v>2758</v>
      </c>
      <c r="G1592" s="19" t="s">
        <v>2761</v>
      </c>
      <c r="H1592" s="2" t="s">
        <v>88</v>
      </c>
      <c r="I1592" s="4">
        <v>0</v>
      </c>
      <c r="J1592" s="5">
        <v>710000000</v>
      </c>
      <c r="K1592" s="5" t="s">
        <v>89</v>
      </c>
      <c r="L1592" s="2" t="s">
        <v>754</v>
      </c>
      <c r="M1592" s="6" t="s">
        <v>682</v>
      </c>
      <c r="N1592" s="7" t="s">
        <v>92</v>
      </c>
      <c r="O1592" s="7" t="s">
        <v>93</v>
      </c>
      <c r="P1592" s="3" t="s">
        <v>673</v>
      </c>
      <c r="Q1592" s="8">
        <v>796</v>
      </c>
      <c r="R1592" s="7" t="s">
        <v>118</v>
      </c>
      <c r="S1592" s="9">
        <v>20</v>
      </c>
      <c r="T1592" s="9">
        <v>764.28</v>
      </c>
      <c r="U1592" s="9">
        <f t="shared" ref="U1592" si="1218">T1592*S1592</f>
        <v>15285.599999999999</v>
      </c>
      <c r="V1592" s="9">
        <f t="shared" ref="V1592" si="1219">U1592*1.12</f>
        <v>17119.871999999999</v>
      </c>
      <c r="W1592" s="7"/>
      <c r="X1592" s="2">
        <v>2016</v>
      </c>
      <c r="Y1592" s="2"/>
    </row>
    <row r="1593" spans="1:25" s="11" customFormat="1" ht="89.25" customHeight="1" outlineLevel="1" x14ac:dyDescent="0.25">
      <c r="A1593" s="1"/>
      <c r="B1593" s="2" t="s">
        <v>6298</v>
      </c>
      <c r="C1593" s="3" t="s">
        <v>83</v>
      </c>
      <c r="D1593" s="19" t="s">
        <v>2770</v>
      </c>
      <c r="E1593" s="19" t="s">
        <v>2763</v>
      </c>
      <c r="F1593" s="19" t="s">
        <v>2771</v>
      </c>
      <c r="G1593" s="19" t="s">
        <v>3048</v>
      </c>
      <c r="H1593" s="2" t="s">
        <v>88</v>
      </c>
      <c r="I1593" s="4">
        <v>0.4</v>
      </c>
      <c r="J1593" s="5">
        <v>710000000</v>
      </c>
      <c r="K1593" s="5" t="s">
        <v>89</v>
      </c>
      <c r="L1593" s="2" t="s">
        <v>754</v>
      </c>
      <c r="M1593" s="6" t="s">
        <v>682</v>
      </c>
      <c r="N1593" s="7" t="s">
        <v>92</v>
      </c>
      <c r="O1593" s="7" t="s">
        <v>93</v>
      </c>
      <c r="P1593" s="3" t="s">
        <v>94</v>
      </c>
      <c r="Q1593" s="8">
        <v>796</v>
      </c>
      <c r="R1593" s="7" t="s">
        <v>118</v>
      </c>
      <c r="S1593" s="9">
        <v>15</v>
      </c>
      <c r="T1593" s="9">
        <v>6202.68</v>
      </c>
      <c r="U1593" s="9">
        <v>0</v>
      </c>
      <c r="V1593" s="9">
        <f t="shared" si="1104"/>
        <v>0</v>
      </c>
      <c r="W1593" s="7" t="s">
        <v>97</v>
      </c>
      <c r="X1593" s="2">
        <v>2016</v>
      </c>
      <c r="Y1593" s="2" t="s">
        <v>7793</v>
      </c>
    </row>
    <row r="1594" spans="1:25" s="11" customFormat="1" ht="89.25" customHeight="1" outlineLevel="1" x14ac:dyDescent="0.25">
      <c r="A1594" s="1"/>
      <c r="B1594" s="2" t="s">
        <v>8174</v>
      </c>
      <c r="C1594" s="3" t="s">
        <v>83</v>
      </c>
      <c r="D1594" s="19" t="s">
        <v>2770</v>
      </c>
      <c r="E1594" s="19" t="s">
        <v>2763</v>
      </c>
      <c r="F1594" s="19" t="s">
        <v>2771</v>
      </c>
      <c r="G1594" s="19" t="s">
        <v>3048</v>
      </c>
      <c r="H1594" s="2" t="s">
        <v>88</v>
      </c>
      <c r="I1594" s="4">
        <v>0</v>
      </c>
      <c r="J1594" s="5">
        <v>710000000</v>
      </c>
      <c r="K1594" s="5" t="s">
        <v>89</v>
      </c>
      <c r="L1594" s="2" t="s">
        <v>754</v>
      </c>
      <c r="M1594" s="6" t="s">
        <v>682</v>
      </c>
      <c r="N1594" s="7" t="s">
        <v>92</v>
      </c>
      <c r="O1594" s="7" t="s">
        <v>93</v>
      </c>
      <c r="P1594" s="3" t="s">
        <v>673</v>
      </c>
      <c r="Q1594" s="8">
        <v>796</v>
      </c>
      <c r="R1594" s="7" t="s">
        <v>118</v>
      </c>
      <c r="S1594" s="9">
        <v>15</v>
      </c>
      <c r="T1594" s="9">
        <v>6202.68</v>
      </c>
      <c r="U1594" s="9">
        <f t="shared" ref="U1594" si="1220">T1594*S1594</f>
        <v>93040.200000000012</v>
      </c>
      <c r="V1594" s="9">
        <f t="shared" ref="V1594" si="1221">U1594*1.12</f>
        <v>104205.02400000002</v>
      </c>
      <c r="W1594" s="7"/>
      <c r="X1594" s="2">
        <v>2016</v>
      </c>
      <c r="Y1594" s="2"/>
    </row>
    <row r="1595" spans="1:25" s="11" customFormat="1" ht="89.25" customHeight="1" outlineLevel="1" x14ac:dyDescent="0.25">
      <c r="A1595" s="1"/>
      <c r="B1595" s="2" t="s">
        <v>6299</v>
      </c>
      <c r="C1595" s="3" t="s">
        <v>83</v>
      </c>
      <c r="D1595" s="19" t="s">
        <v>2770</v>
      </c>
      <c r="E1595" s="19" t="s">
        <v>2763</v>
      </c>
      <c r="F1595" s="19" t="s">
        <v>2771</v>
      </c>
      <c r="G1595" s="19" t="s">
        <v>3049</v>
      </c>
      <c r="H1595" s="2" t="s">
        <v>88</v>
      </c>
      <c r="I1595" s="4">
        <v>0.4</v>
      </c>
      <c r="J1595" s="5">
        <v>710000000</v>
      </c>
      <c r="K1595" s="5" t="s">
        <v>89</v>
      </c>
      <c r="L1595" s="2" t="s">
        <v>754</v>
      </c>
      <c r="M1595" s="6" t="s">
        <v>682</v>
      </c>
      <c r="N1595" s="7" t="s">
        <v>92</v>
      </c>
      <c r="O1595" s="7" t="s">
        <v>93</v>
      </c>
      <c r="P1595" s="3" t="s">
        <v>94</v>
      </c>
      <c r="Q1595" s="8">
        <v>796</v>
      </c>
      <c r="R1595" s="7" t="s">
        <v>118</v>
      </c>
      <c r="S1595" s="9">
        <v>10</v>
      </c>
      <c r="T1595" s="9">
        <v>5600.44</v>
      </c>
      <c r="U1595" s="9">
        <v>0</v>
      </c>
      <c r="V1595" s="9">
        <f t="shared" si="1104"/>
        <v>0</v>
      </c>
      <c r="W1595" s="7" t="s">
        <v>97</v>
      </c>
      <c r="X1595" s="2">
        <v>2016</v>
      </c>
      <c r="Y1595" s="2" t="s">
        <v>7793</v>
      </c>
    </row>
    <row r="1596" spans="1:25" s="11" customFormat="1" ht="89.25" customHeight="1" outlineLevel="1" x14ac:dyDescent="0.25">
      <c r="A1596" s="1"/>
      <c r="B1596" s="2" t="s">
        <v>8175</v>
      </c>
      <c r="C1596" s="3" t="s">
        <v>83</v>
      </c>
      <c r="D1596" s="19" t="s">
        <v>2770</v>
      </c>
      <c r="E1596" s="19" t="s">
        <v>2763</v>
      </c>
      <c r="F1596" s="19" t="s">
        <v>2771</v>
      </c>
      <c r="G1596" s="19" t="s">
        <v>3049</v>
      </c>
      <c r="H1596" s="2" t="s">
        <v>88</v>
      </c>
      <c r="I1596" s="4">
        <v>0</v>
      </c>
      <c r="J1596" s="5">
        <v>710000000</v>
      </c>
      <c r="K1596" s="5" t="s">
        <v>89</v>
      </c>
      <c r="L1596" s="2" t="s">
        <v>754</v>
      </c>
      <c r="M1596" s="6" t="s">
        <v>682</v>
      </c>
      <c r="N1596" s="7" t="s">
        <v>92</v>
      </c>
      <c r="O1596" s="7" t="s">
        <v>93</v>
      </c>
      <c r="P1596" s="3" t="s">
        <v>673</v>
      </c>
      <c r="Q1596" s="8">
        <v>796</v>
      </c>
      <c r="R1596" s="7" t="s">
        <v>118</v>
      </c>
      <c r="S1596" s="9">
        <v>10</v>
      </c>
      <c r="T1596" s="9">
        <v>5600.44</v>
      </c>
      <c r="U1596" s="9">
        <f t="shared" ref="U1596" si="1222">T1596*S1596</f>
        <v>56004.399999999994</v>
      </c>
      <c r="V1596" s="9">
        <f t="shared" ref="V1596" si="1223">U1596*1.12</f>
        <v>62724.928</v>
      </c>
      <c r="W1596" s="7"/>
      <c r="X1596" s="2">
        <v>2016</v>
      </c>
      <c r="Y1596" s="2"/>
    </row>
    <row r="1597" spans="1:25" s="11" customFormat="1" ht="89.25" customHeight="1" outlineLevel="1" x14ac:dyDescent="0.25">
      <c r="A1597" s="1"/>
      <c r="B1597" s="2" t="s">
        <v>6300</v>
      </c>
      <c r="C1597" s="3" t="s">
        <v>83</v>
      </c>
      <c r="D1597" s="19" t="s">
        <v>2778</v>
      </c>
      <c r="E1597" s="19" t="s">
        <v>2763</v>
      </c>
      <c r="F1597" s="19" t="s">
        <v>2779</v>
      </c>
      <c r="G1597" s="19" t="s">
        <v>2780</v>
      </c>
      <c r="H1597" s="2" t="s">
        <v>88</v>
      </c>
      <c r="I1597" s="4">
        <v>0.4</v>
      </c>
      <c r="J1597" s="5">
        <v>710000000</v>
      </c>
      <c r="K1597" s="5" t="s">
        <v>89</v>
      </c>
      <c r="L1597" s="2" t="s">
        <v>754</v>
      </c>
      <c r="M1597" s="6" t="s">
        <v>682</v>
      </c>
      <c r="N1597" s="7" t="s">
        <v>92</v>
      </c>
      <c r="O1597" s="7" t="s">
        <v>93</v>
      </c>
      <c r="P1597" s="3" t="s">
        <v>94</v>
      </c>
      <c r="Q1597" s="8">
        <v>796</v>
      </c>
      <c r="R1597" s="7" t="s">
        <v>118</v>
      </c>
      <c r="S1597" s="9">
        <v>5</v>
      </c>
      <c r="T1597" s="9">
        <v>628.13</v>
      </c>
      <c r="U1597" s="9">
        <v>0</v>
      </c>
      <c r="V1597" s="9">
        <f t="shared" si="1104"/>
        <v>0</v>
      </c>
      <c r="W1597" s="7" t="s">
        <v>97</v>
      </c>
      <c r="X1597" s="2">
        <v>2016</v>
      </c>
      <c r="Y1597" s="2" t="s">
        <v>7793</v>
      </c>
    </row>
    <row r="1598" spans="1:25" s="11" customFormat="1" ht="89.25" customHeight="1" outlineLevel="1" x14ac:dyDescent="0.25">
      <c r="A1598" s="1"/>
      <c r="B1598" s="2" t="s">
        <v>8176</v>
      </c>
      <c r="C1598" s="3" t="s">
        <v>83</v>
      </c>
      <c r="D1598" s="19" t="s">
        <v>2778</v>
      </c>
      <c r="E1598" s="19" t="s">
        <v>2763</v>
      </c>
      <c r="F1598" s="19" t="s">
        <v>2779</v>
      </c>
      <c r="G1598" s="19" t="s">
        <v>2780</v>
      </c>
      <c r="H1598" s="2" t="s">
        <v>88</v>
      </c>
      <c r="I1598" s="4">
        <v>0</v>
      </c>
      <c r="J1598" s="5">
        <v>710000000</v>
      </c>
      <c r="K1598" s="5" t="s">
        <v>89</v>
      </c>
      <c r="L1598" s="2" t="s">
        <v>754</v>
      </c>
      <c r="M1598" s="6" t="s">
        <v>682</v>
      </c>
      <c r="N1598" s="7" t="s">
        <v>92</v>
      </c>
      <c r="O1598" s="7" t="s">
        <v>93</v>
      </c>
      <c r="P1598" s="3" t="s">
        <v>673</v>
      </c>
      <c r="Q1598" s="8">
        <v>796</v>
      </c>
      <c r="R1598" s="7" t="s">
        <v>118</v>
      </c>
      <c r="S1598" s="9">
        <v>5</v>
      </c>
      <c r="T1598" s="9">
        <v>628.13</v>
      </c>
      <c r="U1598" s="9">
        <f t="shared" ref="U1598" si="1224">T1598*S1598</f>
        <v>3140.65</v>
      </c>
      <c r="V1598" s="9">
        <f t="shared" ref="V1598" si="1225">U1598*1.12</f>
        <v>3517.5280000000002</v>
      </c>
      <c r="W1598" s="7"/>
      <c r="X1598" s="2">
        <v>2016</v>
      </c>
      <c r="Y1598" s="2"/>
    </row>
    <row r="1599" spans="1:25" s="11" customFormat="1" ht="89.25" customHeight="1" outlineLevel="1" x14ac:dyDescent="0.25">
      <c r="A1599" s="1"/>
      <c r="B1599" s="2" t="s">
        <v>6301</v>
      </c>
      <c r="C1599" s="3" t="s">
        <v>83</v>
      </c>
      <c r="D1599" s="19" t="s">
        <v>3050</v>
      </c>
      <c r="E1599" s="19" t="s">
        <v>3051</v>
      </c>
      <c r="F1599" s="19" t="s">
        <v>3052</v>
      </c>
      <c r="G1599" s="19"/>
      <c r="H1599" s="2" t="s">
        <v>88</v>
      </c>
      <c r="I1599" s="4">
        <v>0.4</v>
      </c>
      <c r="J1599" s="5">
        <v>710000000</v>
      </c>
      <c r="K1599" s="5" t="s">
        <v>89</v>
      </c>
      <c r="L1599" s="2" t="s">
        <v>754</v>
      </c>
      <c r="M1599" s="6" t="s">
        <v>682</v>
      </c>
      <c r="N1599" s="7" t="s">
        <v>92</v>
      </c>
      <c r="O1599" s="7" t="s">
        <v>93</v>
      </c>
      <c r="P1599" s="3" t="s">
        <v>94</v>
      </c>
      <c r="Q1599" s="8">
        <v>796</v>
      </c>
      <c r="R1599" s="7" t="s">
        <v>118</v>
      </c>
      <c r="S1599" s="9">
        <f>20+20</f>
        <v>40</v>
      </c>
      <c r="T1599" s="9">
        <v>242.86</v>
      </c>
      <c r="U1599" s="9">
        <v>0</v>
      </c>
      <c r="V1599" s="9">
        <f t="shared" si="1104"/>
        <v>0</v>
      </c>
      <c r="W1599" s="7" t="s">
        <v>97</v>
      </c>
      <c r="X1599" s="2">
        <v>2016</v>
      </c>
      <c r="Y1599" s="2" t="s">
        <v>7793</v>
      </c>
    </row>
    <row r="1600" spans="1:25" s="11" customFormat="1" ht="89.25" customHeight="1" outlineLevel="1" x14ac:dyDescent="0.25">
      <c r="A1600" s="1"/>
      <c r="B1600" s="2" t="s">
        <v>8177</v>
      </c>
      <c r="C1600" s="3" t="s">
        <v>83</v>
      </c>
      <c r="D1600" s="19" t="s">
        <v>3050</v>
      </c>
      <c r="E1600" s="19" t="s">
        <v>3051</v>
      </c>
      <c r="F1600" s="19" t="s">
        <v>3052</v>
      </c>
      <c r="G1600" s="19"/>
      <c r="H1600" s="2" t="s">
        <v>88</v>
      </c>
      <c r="I1600" s="4">
        <v>0</v>
      </c>
      <c r="J1600" s="5">
        <v>710000000</v>
      </c>
      <c r="K1600" s="5" t="s">
        <v>89</v>
      </c>
      <c r="L1600" s="2" t="s">
        <v>754</v>
      </c>
      <c r="M1600" s="6" t="s">
        <v>682</v>
      </c>
      <c r="N1600" s="7" t="s">
        <v>92</v>
      </c>
      <c r="O1600" s="7" t="s">
        <v>93</v>
      </c>
      <c r="P1600" s="3" t="s">
        <v>673</v>
      </c>
      <c r="Q1600" s="8">
        <v>796</v>
      </c>
      <c r="R1600" s="7" t="s">
        <v>118</v>
      </c>
      <c r="S1600" s="9">
        <f>20+20</f>
        <v>40</v>
      </c>
      <c r="T1600" s="9">
        <v>242.86</v>
      </c>
      <c r="U1600" s="9">
        <f t="shared" ref="U1600" si="1226">T1600*S1600</f>
        <v>9714.4000000000015</v>
      </c>
      <c r="V1600" s="9">
        <f t="shared" ref="V1600" si="1227">U1600*1.12</f>
        <v>10880.128000000002</v>
      </c>
      <c r="W1600" s="7"/>
      <c r="X1600" s="2">
        <v>2016</v>
      </c>
      <c r="Y1600" s="2"/>
    </row>
    <row r="1601" spans="1:25" s="11" customFormat="1" ht="89.25" customHeight="1" outlineLevel="1" x14ac:dyDescent="0.25">
      <c r="A1601" s="1"/>
      <c r="B1601" s="2" t="s">
        <v>6302</v>
      </c>
      <c r="C1601" s="3" t="s">
        <v>83</v>
      </c>
      <c r="D1601" s="19" t="s">
        <v>2795</v>
      </c>
      <c r="E1601" s="19" t="s">
        <v>2796</v>
      </c>
      <c r="F1601" s="19" t="s">
        <v>2797</v>
      </c>
      <c r="G1601" s="19" t="s">
        <v>3053</v>
      </c>
      <c r="H1601" s="2" t="s">
        <v>88</v>
      </c>
      <c r="I1601" s="4">
        <v>0.4</v>
      </c>
      <c r="J1601" s="5">
        <v>710000000</v>
      </c>
      <c r="K1601" s="5" t="s">
        <v>89</v>
      </c>
      <c r="L1601" s="2" t="s">
        <v>754</v>
      </c>
      <c r="M1601" s="6" t="s">
        <v>682</v>
      </c>
      <c r="N1601" s="7" t="s">
        <v>92</v>
      </c>
      <c r="O1601" s="7" t="s">
        <v>93</v>
      </c>
      <c r="P1601" s="3" t="s">
        <v>94</v>
      </c>
      <c r="Q1601" s="8">
        <v>796</v>
      </c>
      <c r="R1601" s="7" t="s">
        <v>118</v>
      </c>
      <c r="S1601" s="9">
        <f>20+20</f>
        <v>40</v>
      </c>
      <c r="T1601" s="9">
        <v>344.64</v>
      </c>
      <c r="U1601" s="9">
        <v>0</v>
      </c>
      <c r="V1601" s="9">
        <f t="shared" ref="V1601:V1729" si="1228">U1601*1.12</f>
        <v>0</v>
      </c>
      <c r="W1601" s="7" t="s">
        <v>97</v>
      </c>
      <c r="X1601" s="2">
        <v>2016</v>
      </c>
      <c r="Y1601" s="2" t="s">
        <v>7793</v>
      </c>
    </row>
    <row r="1602" spans="1:25" s="11" customFormat="1" ht="89.25" customHeight="1" outlineLevel="1" x14ac:dyDescent="0.25">
      <c r="A1602" s="1"/>
      <c r="B1602" s="2" t="s">
        <v>8178</v>
      </c>
      <c r="C1602" s="3" t="s">
        <v>83</v>
      </c>
      <c r="D1602" s="19" t="s">
        <v>2795</v>
      </c>
      <c r="E1602" s="19" t="s">
        <v>2796</v>
      </c>
      <c r="F1602" s="19" t="s">
        <v>2797</v>
      </c>
      <c r="G1602" s="19" t="s">
        <v>3053</v>
      </c>
      <c r="H1602" s="2" t="s">
        <v>88</v>
      </c>
      <c r="I1602" s="4">
        <v>0</v>
      </c>
      <c r="J1602" s="5">
        <v>710000000</v>
      </c>
      <c r="K1602" s="5" t="s">
        <v>89</v>
      </c>
      <c r="L1602" s="2" t="s">
        <v>754</v>
      </c>
      <c r="M1602" s="6" t="s">
        <v>682</v>
      </c>
      <c r="N1602" s="7" t="s">
        <v>92</v>
      </c>
      <c r="O1602" s="7" t="s">
        <v>93</v>
      </c>
      <c r="P1602" s="3" t="s">
        <v>673</v>
      </c>
      <c r="Q1602" s="8">
        <v>796</v>
      </c>
      <c r="R1602" s="7" t="s">
        <v>118</v>
      </c>
      <c r="S1602" s="9">
        <f>20+20</f>
        <v>40</v>
      </c>
      <c r="T1602" s="9">
        <v>344.64</v>
      </c>
      <c r="U1602" s="9">
        <f t="shared" ref="U1602" si="1229">T1602*S1602</f>
        <v>13785.599999999999</v>
      </c>
      <c r="V1602" s="9">
        <f t="shared" ref="V1602" si="1230">U1602*1.12</f>
        <v>15439.871999999999</v>
      </c>
      <c r="W1602" s="7"/>
      <c r="X1602" s="2">
        <v>2016</v>
      </c>
      <c r="Y1602" s="2"/>
    </row>
    <row r="1603" spans="1:25" s="11" customFormat="1" ht="89.25" customHeight="1" outlineLevel="1" x14ac:dyDescent="0.25">
      <c r="A1603" s="1"/>
      <c r="B1603" s="2" t="s">
        <v>6303</v>
      </c>
      <c r="C1603" s="3" t="s">
        <v>83</v>
      </c>
      <c r="D1603" s="19" t="s">
        <v>2795</v>
      </c>
      <c r="E1603" s="19" t="s">
        <v>2796</v>
      </c>
      <c r="F1603" s="19" t="s">
        <v>2797</v>
      </c>
      <c r="G1603" s="19" t="s">
        <v>3054</v>
      </c>
      <c r="H1603" s="2" t="s">
        <v>88</v>
      </c>
      <c r="I1603" s="4">
        <v>0.4</v>
      </c>
      <c r="J1603" s="5">
        <v>710000000</v>
      </c>
      <c r="K1603" s="5" t="s">
        <v>89</v>
      </c>
      <c r="L1603" s="2" t="s">
        <v>754</v>
      </c>
      <c r="M1603" s="6" t="s">
        <v>682</v>
      </c>
      <c r="N1603" s="7" t="s">
        <v>92</v>
      </c>
      <c r="O1603" s="7" t="s">
        <v>93</v>
      </c>
      <c r="P1603" s="3" t="s">
        <v>94</v>
      </c>
      <c r="Q1603" s="8">
        <v>796</v>
      </c>
      <c r="R1603" s="7" t="s">
        <v>118</v>
      </c>
      <c r="S1603" s="9">
        <v>20</v>
      </c>
      <c r="T1603" s="9">
        <v>242.86</v>
      </c>
      <c r="U1603" s="9">
        <v>0</v>
      </c>
      <c r="V1603" s="9">
        <f t="shared" si="1228"/>
        <v>0</v>
      </c>
      <c r="W1603" s="7" t="s">
        <v>97</v>
      </c>
      <c r="X1603" s="2">
        <v>2016</v>
      </c>
      <c r="Y1603" s="2" t="s">
        <v>7793</v>
      </c>
    </row>
    <row r="1604" spans="1:25" s="11" customFormat="1" ht="89.25" customHeight="1" outlineLevel="1" x14ac:dyDescent="0.25">
      <c r="A1604" s="1"/>
      <c r="B1604" s="2" t="s">
        <v>8179</v>
      </c>
      <c r="C1604" s="3" t="s">
        <v>83</v>
      </c>
      <c r="D1604" s="19" t="s">
        <v>2795</v>
      </c>
      <c r="E1604" s="19" t="s">
        <v>2796</v>
      </c>
      <c r="F1604" s="19" t="s">
        <v>2797</v>
      </c>
      <c r="G1604" s="19" t="s">
        <v>3054</v>
      </c>
      <c r="H1604" s="2" t="s">
        <v>88</v>
      </c>
      <c r="I1604" s="4">
        <v>0</v>
      </c>
      <c r="J1604" s="5">
        <v>710000000</v>
      </c>
      <c r="K1604" s="5" t="s">
        <v>89</v>
      </c>
      <c r="L1604" s="2" t="s">
        <v>754</v>
      </c>
      <c r="M1604" s="6" t="s">
        <v>682</v>
      </c>
      <c r="N1604" s="7" t="s">
        <v>92</v>
      </c>
      <c r="O1604" s="7" t="s">
        <v>93</v>
      </c>
      <c r="P1604" s="3" t="s">
        <v>673</v>
      </c>
      <c r="Q1604" s="8">
        <v>796</v>
      </c>
      <c r="R1604" s="7" t="s">
        <v>118</v>
      </c>
      <c r="S1604" s="9">
        <v>20</v>
      </c>
      <c r="T1604" s="9">
        <v>242.86</v>
      </c>
      <c r="U1604" s="9">
        <f t="shared" ref="U1604" si="1231">T1604*S1604</f>
        <v>4857.2000000000007</v>
      </c>
      <c r="V1604" s="9">
        <f t="shared" ref="V1604" si="1232">U1604*1.12</f>
        <v>5440.0640000000012</v>
      </c>
      <c r="W1604" s="7"/>
      <c r="X1604" s="2">
        <v>2016</v>
      </c>
      <c r="Y1604" s="2"/>
    </row>
    <row r="1605" spans="1:25" s="11" customFormat="1" ht="89.25" customHeight="1" outlineLevel="1" x14ac:dyDescent="0.25">
      <c r="A1605" s="1"/>
      <c r="B1605" s="2" t="s">
        <v>6304</v>
      </c>
      <c r="C1605" s="3" t="s">
        <v>83</v>
      </c>
      <c r="D1605" s="19" t="s">
        <v>2809</v>
      </c>
      <c r="E1605" s="19" t="s">
        <v>2803</v>
      </c>
      <c r="F1605" s="19" t="s">
        <v>2810</v>
      </c>
      <c r="G1605" s="19"/>
      <c r="H1605" s="2" t="s">
        <v>88</v>
      </c>
      <c r="I1605" s="4">
        <v>0.4</v>
      </c>
      <c r="J1605" s="5">
        <v>710000000</v>
      </c>
      <c r="K1605" s="5" t="s">
        <v>89</v>
      </c>
      <c r="L1605" s="2" t="s">
        <v>754</v>
      </c>
      <c r="M1605" s="6" t="s">
        <v>682</v>
      </c>
      <c r="N1605" s="7" t="s">
        <v>92</v>
      </c>
      <c r="O1605" s="7" t="s">
        <v>93</v>
      </c>
      <c r="P1605" s="3" t="s">
        <v>94</v>
      </c>
      <c r="Q1605" s="8" t="s">
        <v>2439</v>
      </c>
      <c r="R1605" s="7" t="s">
        <v>2440</v>
      </c>
      <c r="S1605" s="9">
        <v>80</v>
      </c>
      <c r="T1605" s="9">
        <v>148.66</v>
      </c>
      <c r="U1605" s="9">
        <v>0</v>
      </c>
      <c r="V1605" s="9">
        <f t="shared" si="1228"/>
        <v>0</v>
      </c>
      <c r="W1605" s="7" t="s">
        <v>97</v>
      </c>
      <c r="X1605" s="2">
        <v>2016</v>
      </c>
      <c r="Y1605" s="2" t="s">
        <v>7793</v>
      </c>
    </row>
    <row r="1606" spans="1:25" s="11" customFormat="1" ht="89.25" customHeight="1" outlineLevel="1" x14ac:dyDescent="0.25">
      <c r="A1606" s="1"/>
      <c r="B1606" s="2" t="s">
        <v>8180</v>
      </c>
      <c r="C1606" s="3" t="s">
        <v>83</v>
      </c>
      <c r="D1606" s="19" t="s">
        <v>2809</v>
      </c>
      <c r="E1606" s="19" t="s">
        <v>2803</v>
      </c>
      <c r="F1606" s="19" t="s">
        <v>2810</v>
      </c>
      <c r="G1606" s="19"/>
      <c r="H1606" s="2" t="s">
        <v>88</v>
      </c>
      <c r="I1606" s="4">
        <v>0</v>
      </c>
      <c r="J1606" s="5">
        <v>710000000</v>
      </c>
      <c r="K1606" s="5" t="s">
        <v>89</v>
      </c>
      <c r="L1606" s="2" t="s">
        <v>754</v>
      </c>
      <c r="M1606" s="6" t="s">
        <v>682</v>
      </c>
      <c r="N1606" s="7" t="s">
        <v>92</v>
      </c>
      <c r="O1606" s="7" t="s">
        <v>93</v>
      </c>
      <c r="P1606" s="3" t="s">
        <v>673</v>
      </c>
      <c r="Q1606" s="8" t="s">
        <v>2439</v>
      </c>
      <c r="R1606" s="7" t="s">
        <v>2440</v>
      </c>
      <c r="S1606" s="9">
        <v>80</v>
      </c>
      <c r="T1606" s="9">
        <v>148.66</v>
      </c>
      <c r="U1606" s="9">
        <f t="shared" ref="U1606" si="1233">T1606*S1606</f>
        <v>11892.8</v>
      </c>
      <c r="V1606" s="9">
        <f t="shared" ref="V1606" si="1234">U1606*1.12</f>
        <v>13319.936</v>
      </c>
      <c r="W1606" s="7"/>
      <c r="X1606" s="2">
        <v>2016</v>
      </c>
      <c r="Y1606" s="2"/>
    </row>
    <row r="1607" spans="1:25" s="11" customFormat="1" ht="89.25" customHeight="1" outlineLevel="1" x14ac:dyDescent="0.25">
      <c r="A1607" s="1"/>
      <c r="B1607" s="2" t="s">
        <v>6305</v>
      </c>
      <c r="C1607" s="3" t="s">
        <v>83</v>
      </c>
      <c r="D1607" s="19" t="s">
        <v>2802</v>
      </c>
      <c r="E1607" s="19" t="s">
        <v>2803</v>
      </c>
      <c r="F1607" s="19" t="s">
        <v>2804</v>
      </c>
      <c r="G1607" s="19"/>
      <c r="H1607" s="2" t="s">
        <v>88</v>
      </c>
      <c r="I1607" s="4">
        <v>0.4</v>
      </c>
      <c r="J1607" s="5">
        <v>710000000</v>
      </c>
      <c r="K1607" s="5" t="s">
        <v>89</v>
      </c>
      <c r="L1607" s="2" t="s">
        <v>754</v>
      </c>
      <c r="M1607" s="6" t="s">
        <v>682</v>
      </c>
      <c r="N1607" s="7" t="s">
        <v>92</v>
      </c>
      <c r="O1607" s="7" t="s">
        <v>93</v>
      </c>
      <c r="P1607" s="3" t="s">
        <v>94</v>
      </c>
      <c r="Q1607" s="8" t="s">
        <v>2439</v>
      </c>
      <c r="R1607" s="7" t="s">
        <v>2440</v>
      </c>
      <c r="S1607" s="9">
        <v>132</v>
      </c>
      <c r="T1607" s="9">
        <v>233.93</v>
      </c>
      <c r="U1607" s="9">
        <v>0</v>
      </c>
      <c r="V1607" s="9">
        <f t="shared" si="1228"/>
        <v>0</v>
      </c>
      <c r="W1607" s="7" t="s">
        <v>97</v>
      </c>
      <c r="X1607" s="2">
        <v>2016</v>
      </c>
      <c r="Y1607" s="2" t="s">
        <v>7793</v>
      </c>
    </row>
    <row r="1608" spans="1:25" s="11" customFormat="1" ht="89.25" customHeight="1" outlineLevel="1" x14ac:dyDescent="0.25">
      <c r="A1608" s="1"/>
      <c r="B1608" s="2" t="s">
        <v>8181</v>
      </c>
      <c r="C1608" s="3" t="s">
        <v>83</v>
      </c>
      <c r="D1608" s="19" t="s">
        <v>2802</v>
      </c>
      <c r="E1608" s="19" t="s">
        <v>2803</v>
      </c>
      <c r="F1608" s="19" t="s">
        <v>2804</v>
      </c>
      <c r="G1608" s="19"/>
      <c r="H1608" s="2" t="s">
        <v>88</v>
      </c>
      <c r="I1608" s="4">
        <v>0</v>
      </c>
      <c r="J1608" s="5">
        <v>710000000</v>
      </c>
      <c r="K1608" s="5" t="s">
        <v>89</v>
      </c>
      <c r="L1608" s="2" t="s">
        <v>754</v>
      </c>
      <c r="M1608" s="6" t="s">
        <v>682</v>
      </c>
      <c r="N1608" s="7" t="s">
        <v>92</v>
      </c>
      <c r="O1608" s="7" t="s">
        <v>93</v>
      </c>
      <c r="P1608" s="3" t="s">
        <v>673</v>
      </c>
      <c r="Q1608" s="8" t="s">
        <v>2439</v>
      </c>
      <c r="R1608" s="7" t="s">
        <v>2440</v>
      </c>
      <c r="S1608" s="9">
        <v>132</v>
      </c>
      <c r="T1608" s="9">
        <v>233.93</v>
      </c>
      <c r="U1608" s="9">
        <f t="shared" ref="U1608" si="1235">T1608*S1608</f>
        <v>30878.760000000002</v>
      </c>
      <c r="V1608" s="9">
        <f t="shared" ref="V1608" si="1236">U1608*1.12</f>
        <v>34584.211200000005</v>
      </c>
      <c r="W1608" s="7"/>
      <c r="X1608" s="2">
        <v>2016</v>
      </c>
      <c r="Y1608" s="2"/>
    </row>
    <row r="1609" spans="1:25" s="11" customFormat="1" ht="89.25" customHeight="1" outlineLevel="1" x14ac:dyDescent="0.25">
      <c r="A1609" s="1"/>
      <c r="B1609" s="2" t="s">
        <v>6306</v>
      </c>
      <c r="C1609" s="3" t="s">
        <v>83</v>
      </c>
      <c r="D1609" s="19" t="s">
        <v>2807</v>
      </c>
      <c r="E1609" s="19" t="s">
        <v>2803</v>
      </c>
      <c r="F1609" s="19" t="s">
        <v>2808</v>
      </c>
      <c r="G1609" s="19"/>
      <c r="H1609" s="2" t="s">
        <v>88</v>
      </c>
      <c r="I1609" s="4">
        <v>0.4</v>
      </c>
      <c r="J1609" s="5">
        <v>710000000</v>
      </c>
      <c r="K1609" s="5" t="s">
        <v>89</v>
      </c>
      <c r="L1609" s="2" t="s">
        <v>754</v>
      </c>
      <c r="M1609" s="6" t="s">
        <v>682</v>
      </c>
      <c r="N1609" s="7" t="s">
        <v>92</v>
      </c>
      <c r="O1609" s="7" t="s">
        <v>93</v>
      </c>
      <c r="P1609" s="3" t="s">
        <v>94</v>
      </c>
      <c r="Q1609" s="8" t="s">
        <v>2439</v>
      </c>
      <c r="R1609" s="7" t="s">
        <v>2440</v>
      </c>
      <c r="S1609" s="9">
        <v>20</v>
      </c>
      <c r="T1609" s="9">
        <v>141.52000000000001</v>
      </c>
      <c r="U1609" s="9">
        <v>0</v>
      </c>
      <c r="V1609" s="9">
        <f t="shared" si="1228"/>
        <v>0</v>
      </c>
      <c r="W1609" s="7" t="s">
        <v>97</v>
      </c>
      <c r="X1609" s="2">
        <v>2016</v>
      </c>
      <c r="Y1609" s="2" t="s">
        <v>7793</v>
      </c>
    </row>
    <row r="1610" spans="1:25" s="11" customFormat="1" ht="89.25" customHeight="1" outlineLevel="1" x14ac:dyDescent="0.25">
      <c r="A1610" s="1"/>
      <c r="B1610" s="2" t="s">
        <v>8182</v>
      </c>
      <c r="C1610" s="3" t="s">
        <v>83</v>
      </c>
      <c r="D1610" s="19" t="s">
        <v>2807</v>
      </c>
      <c r="E1610" s="19" t="s">
        <v>2803</v>
      </c>
      <c r="F1610" s="19" t="s">
        <v>2808</v>
      </c>
      <c r="G1610" s="19"/>
      <c r="H1610" s="2" t="s">
        <v>88</v>
      </c>
      <c r="I1610" s="4">
        <v>0</v>
      </c>
      <c r="J1610" s="5">
        <v>710000000</v>
      </c>
      <c r="K1610" s="5" t="s">
        <v>89</v>
      </c>
      <c r="L1610" s="2" t="s">
        <v>754</v>
      </c>
      <c r="M1610" s="6" t="s">
        <v>682</v>
      </c>
      <c r="N1610" s="7" t="s">
        <v>92</v>
      </c>
      <c r="O1610" s="7" t="s">
        <v>93</v>
      </c>
      <c r="P1610" s="3" t="s">
        <v>673</v>
      </c>
      <c r="Q1610" s="8" t="s">
        <v>2439</v>
      </c>
      <c r="R1610" s="7" t="s">
        <v>2440</v>
      </c>
      <c r="S1610" s="9">
        <v>20</v>
      </c>
      <c r="T1610" s="9">
        <v>141.52000000000001</v>
      </c>
      <c r="U1610" s="9">
        <f t="shared" ref="U1610" si="1237">T1610*S1610</f>
        <v>2830.4</v>
      </c>
      <c r="V1610" s="9">
        <f t="shared" ref="V1610" si="1238">U1610*1.12</f>
        <v>3170.0480000000002</v>
      </c>
      <c r="W1610" s="7"/>
      <c r="X1610" s="2">
        <v>2016</v>
      </c>
      <c r="Y1610" s="2"/>
    </row>
    <row r="1611" spans="1:25" s="11" customFormat="1" ht="89.25" customHeight="1" outlineLevel="1" x14ac:dyDescent="0.25">
      <c r="A1611" s="1"/>
      <c r="B1611" s="2" t="s">
        <v>6307</v>
      </c>
      <c r="C1611" s="3" t="s">
        <v>83</v>
      </c>
      <c r="D1611" s="19" t="s">
        <v>2811</v>
      </c>
      <c r="E1611" s="19" t="s">
        <v>2803</v>
      </c>
      <c r="F1611" s="19" t="s">
        <v>2812</v>
      </c>
      <c r="G1611" s="19"/>
      <c r="H1611" s="2" t="s">
        <v>88</v>
      </c>
      <c r="I1611" s="4">
        <v>0.4</v>
      </c>
      <c r="J1611" s="5">
        <v>710000000</v>
      </c>
      <c r="K1611" s="5" t="s">
        <v>89</v>
      </c>
      <c r="L1611" s="2" t="s">
        <v>754</v>
      </c>
      <c r="M1611" s="6" t="s">
        <v>682</v>
      </c>
      <c r="N1611" s="7" t="s">
        <v>92</v>
      </c>
      <c r="O1611" s="7" t="s">
        <v>93</v>
      </c>
      <c r="P1611" s="3" t="s">
        <v>94</v>
      </c>
      <c r="Q1611" s="8" t="s">
        <v>2439</v>
      </c>
      <c r="R1611" s="7" t="s">
        <v>2440</v>
      </c>
      <c r="S1611" s="9">
        <v>50</v>
      </c>
      <c r="T1611" s="9">
        <v>1510.72</v>
      </c>
      <c r="U1611" s="9">
        <v>0</v>
      </c>
      <c r="V1611" s="9">
        <f t="shared" si="1228"/>
        <v>0</v>
      </c>
      <c r="W1611" s="7" t="s">
        <v>97</v>
      </c>
      <c r="X1611" s="2">
        <v>2016</v>
      </c>
      <c r="Y1611" s="2" t="s">
        <v>7793</v>
      </c>
    </row>
    <row r="1612" spans="1:25" s="11" customFormat="1" ht="89.25" customHeight="1" outlineLevel="1" x14ac:dyDescent="0.25">
      <c r="A1612" s="1"/>
      <c r="B1612" s="2" t="s">
        <v>8183</v>
      </c>
      <c r="C1612" s="3" t="s">
        <v>83</v>
      </c>
      <c r="D1612" s="19" t="s">
        <v>2811</v>
      </c>
      <c r="E1612" s="19" t="s">
        <v>2803</v>
      </c>
      <c r="F1612" s="19" t="s">
        <v>2812</v>
      </c>
      <c r="G1612" s="19"/>
      <c r="H1612" s="2" t="s">
        <v>88</v>
      </c>
      <c r="I1612" s="4">
        <v>0</v>
      </c>
      <c r="J1612" s="5">
        <v>710000000</v>
      </c>
      <c r="K1612" s="5" t="s">
        <v>89</v>
      </c>
      <c r="L1612" s="2" t="s">
        <v>754</v>
      </c>
      <c r="M1612" s="6" t="s">
        <v>682</v>
      </c>
      <c r="N1612" s="7" t="s">
        <v>92</v>
      </c>
      <c r="O1612" s="7" t="s">
        <v>93</v>
      </c>
      <c r="P1612" s="3" t="s">
        <v>673</v>
      </c>
      <c r="Q1612" s="8" t="s">
        <v>2439</v>
      </c>
      <c r="R1612" s="7" t="s">
        <v>2440</v>
      </c>
      <c r="S1612" s="9">
        <v>50</v>
      </c>
      <c r="T1612" s="9">
        <v>1510.72</v>
      </c>
      <c r="U1612" s="9">
        <f t="shared" ref="U1612" si="1239">T1612*S1612</f>
        <v>75536</v>
      </c>
      <c r="V1612" s="9">
        <f t="shared" ref="V1612" si="1240">U1612*1.12</f>
        <v>84600.320000000007</v>
      </c>
      <c r="W1612" s="7"/>
      <c r="X1612" s="2">
        <v>2016</v>
      </c>
      <c r="Y1612" s="2"/>
    </row>
    <row r="1613" spans="1:25" s="11" customFormat="1" ht="89.25" customHeight="1" outlineLevel="1" x14ac:dyDescent="0.25">
      <c r="A1613" s="1"/>
      <c r="B1613" s="2" t="s">
        <v>6308</v>
      </c>
      <c r="C1613" s="3" t="s">
        <v>83</v>
      </c>
      <c r="D1613" s="19" t="s">
        <v>2832</v>
      </c>
      <c r="E1613" s="19" t="s">
        <v>2800</v>
      </c>
      <c r="F1613" s="19" t="s">
        <v>2833</v>
      </c>
      <c r="G1613" s="19" t="s">
        <v>3055</v>
      </c>
      <c r="H1613" s="2" t="s">
        <v>88</v>
      </c>
      <c r="I1613" s="4">
        <v>0.4</v>
      </c>
      <c r="J1613" s="5">
        <v>710000000</v>
      </c>
      <c r="K1613" s="5" t="s">
        <v>89</v>
      </c>
      <c r="L1613" s="2" t="s">
        <v>754</v>
      </c>
      <c r="M1613" s="6" t="s">
        <v>682</v>
      </c>
      <c r="N1613" s="7" t="s">
        <v>92</v>
      </c>
      <c r="O1613" s="7" t="s">
        <v>93</v>
      </c>
      <c r="P1613" s="3" t="s">
        <v>94</v>
      </c>
      <c r="Q1613" s="8">
        <v>796</v>
      </c>
      <c r="R1613" s="7" t="s">
        <v>118</v>
      </c>
      <c r="S1613" s="9">
        <v>5</v>
      </c>
      <c r="T1613" s="9">
        <v>175.89</v>
      </c>
      <c r="U1613" s="9">
        <v>0</v>
      </c>
      <c r="V1613" s="9">
        <f t="shared" si="1228"/>
        <v>0</v>
      </c>
      <c r="W1613" s="7" t="s">
        <v>97</v>
      </c>
      <c r="X1613" s="2">
        <v>2016</v>
      </c>
      <c r="Y1613" s="2" t="s">
        <v>7793</v>
      </c>
    </row>
    <row r="1614" spans="1:25" s="11" customFormat="1" ht="89.25" customHeight="1" outlineLevel="1" x14ac:dyDescent="0.25">
      <c r="A1614" s="1"/>
      <c r="B1614" s="2" t="s">
        <v>8184</v>
      </c>
      <c r="C1614" s="3" t="s">
        <v>83</v>
      </c>
      <c r="D1614" s="19" t="s">
        <v>2832</v>
      </c>
      <c r="E1614" s="19" t="s">
        <v>2800</v>
      </c>
      <c r="F1614" s="19" t="s">
        <v>2833</v>
      </c>
      <c r="G1614" s="19" t="s">
        <v>3055</v>
      </c>
      <c r="H1614" s="2" t="s">
        <v>88</v>
      </c>
      <c r="I1614" s="4">
        <v>0</v>
      </c>
      <c r="J1614" s="5">
        <v>710000000</v>
      </c>
      <c r="K1614" s="5" t="s">
        <v>89</v>
      </c>
      <c r="L1614" s="2" t="s">
        <v>754</v>
      </c>
      <c r="M1614" s="6" t="s">
        <v>682</v>
      </c>
      <c r="N1614" s="7" t="s">
        <v>92</v>
      </c>
      <c r="O1614" s="7" t="s">
        <v>93</v>
      </c>
      <c r="P1614" s="3" t="s">
        <v>673</v>
      </c>
      <c r="Q1614" s="8">
        <v>796</v>
      </c>
      <c r="R1614" s="7" t="s">
        <v>118</v>
      </c>
      <c r="S1614" s="9">
        <v>5</v>
      </c>
      <c r="T1614" s="9">
        <v>175.89</v>
      </c>
      <c r="U1614" s="9">
        <f t="shared" ref="U1614" si="1241">T1614*S1614</f>
        <v>879.44999999999993</v>
      </c>
      <c r="V1614" s="9">
        <f t="shared" ref="V1614" si="1242">U1614*1.12</f>
        <v>984.98400000000004</v>
      </c>
      <c r="W1614" s="7"/>
      <c r="X1614" s="2">
        <v>2016</v>
      </c>
      <c r="Y1614" s="2"/>
    </row>
    <row r="1615" spans="1:25" s="11" customFormat="1" ht="89.25" customHeight="1" outlineLevel="1" x14ac:dyDescent="0.25">
      <c r="A1615" s="1"/>
      <c r="B1615" s="2" t="s">
        <v>6309</v>
      </c>
      <c r="C1615" s="3" t="s">
        <v>83</v>
      </c>
      <c r="D1615" s="19" t="s">
        <v>2832</v>
      </c>
      <c r="E1615" s="19" t="s">
        <v>2800</v>
      </c>
      <c r="F1615" s="19" t="s">
        <v>2833</v>
      </c>
      <c r="G1615" s="19" t="s">
        <v>3022</v>
      </c>
      <c r="H1615" s="2" t="s">
        <v>88</v>
      </c>
      <c r="I1615" s="4">
        <v>0.4</v>
      </c>
      <c r="J1615" s="5">
        <v>710000000</v>
      </c>
      <c r="K1615" s="5" t="s">
        <v>89</v>
      </c>
      <c r="L1615" s="2" t="s">
        <v>754</v>
      </c>
      <c r="M1615" s="6" t="s">
        <v>682</v>
      </c>
      <c r="N1615" s="7" t="s">
        <v>92</v>
      </c>
      <c r="O1615" s="7" t="s">
        <v>93</v>
      </c>
      <c r="P1615" s="3" t="s">
        <v>94</v>
      </c>
      <c r="Q1615" s="8">
        <v>796</v>
      </c>
      <c r="R1615" s="7" t="s">
        <v>118</v>
      </c>
      <c r="S1615" s="9">
        <f t="shared" ref="S1615:S1622" si="1243">5+5</f>
        <v>10</v>
      </c>
      <c r="T1615" s="9">
        <v>187.5</v>
      </c>
      <c r="U1615" s="9">
        <v>0</v>
      </c>
      <c r="V1615" s="9">
        <f t="shared" si="1228"/>
        <v>0</v>
      </c>
      <c r="W1615" s="7" t="s">
        <v>97</v>
      </c>
      <c r="X1615" s="2">
        <v>2016</v>
      </c>
      <c r="Y1615" s="2" t="s">
        <v>7793</v>
      </c>
    </row>
    <row r="1616" spans="1:25" s="11" customFormat="1" ht="89.25" customHeight="1" outlineLevel="1" x14ac:dyDescent="0.25">
      <c r="A1616" s="1"/>
      <c r="B1616" s="2" t="s">
        <v>8185</v>
      </c>
      <c r="C1616" s="3" t="s">
        <v>83</v>
      </c>
      <c r="D1616" s="19" t="s">
        <v>2832</v>
      </c>
      <c r="E1616" s="19" t="s">
        <v>2800</v>
      </c>
      <c r="F1616" s="19" t="s">
        <v>2833</v>
      </c>
      <c r="G1616" s="19" t="s">
        <v>3022</v>
      </c>
      <c r="H1616" s="2" t="s">
        <v>88</v>
      </c>
      <c r="I1616" s="4">
        <v>0</v>
      </c>
      <c r="J1616" s="5">
        <v>710000000</v>
      </c>
      <c r="K1616" s="5" t="s">
        <v>89</v>
      </c>
      <c r="L1616" s="2" t="s">
        <v>754</v>
      </c>
      <c r="M1616" s="6" t="s">
        <v>682</v>
      </c>
      <c r="N1616" s="7" t="s">
        <v>92</v>
      </c>
      <c r="O1616" s="7" t="s">
        <v>93</v>
      </c>
      <c r="P1616" s="3" t="s">
        <v>673</v>
      </c>
      <c r="Q1616" s="8">
        <v>796</v>
      </c>
      <c r="R1616" s="7" t="s">
        <v>118</v>
      </c>
      <c r="S1616" s="9">
        <f t="shared" si="1243"/>
        <v>10</v>
      </c>
      <c r="T1616" s="9">
        <v>187.5</v>
      </c>
      <c r="U1616" s="9">
        <f t="shared" ref="U1616" si="1244">T1616*S1616</f>
        <v>1875</v>
      </c>
      <c r="V1616" s="9">
        <f t="shared" ref="V1616" si="1245">U1616*1.12</f>
        <v>2100</v>
      </c>
      <c r="W1616" s="7"/>
      <c r="X1616" s="2">
        <v>2016</v>
      </c>
      <c r="Y1616" s="2"/>
    </row>
    <row r="1617" spans="1:25" s="11" customFormat="1" ht="89.25" customHeight="1" outlineLevel="1" x14ac:dyDescent="0.25">
      <c r="A1617" s="1"/>
      <c r="B1617" s="2" t="s">
        <v>6310</v>
      </c>
      <c r="C1617" s="3" t="s">
        <v>83</v>
      </c>
      <c r="D1617" s="19" t="s">
        <v>2832</v>
      </c>
      <c r="E1617" s="19" t="s">
        <v>2800</v>
      </c>
      <c r="F1617" s="19" t="s">
        <v>2833</v>
      </c>
      <c r="G1617" s="19" t="s">
        <v>3020</v>
      </c>
      <c r="H1617" s="2" t="s">
        <v>88</v>
      </c>
      <c r="I1617" s="4">
        <v>0.4</v>
      </c>
      <c r="J1617" s="5">
        <v>710000000</v>
      </c>
      <c r="K1617" s="5" t="s">
        <v>89</v>
      </c>
      <c r="L1617" s="2" t="s">
        <v>754</v>
      </c>
      <c r="M1617" s="6" t="s">
        <v>682</v>
      </c>
      <c r="N1617" s="7" t="s">
        <v>92</v>
      </c>
      <c r="O1617" s="7" t="s">
        <v>93</v>
      </c>
      <c r="P1617" s="3" t="s">
        <v>94</v>
      </c>
      <c r="Q1617" s="8">
        <v>796</v>
      </c>
      <c r="R1617" s="7" t="s">
        <v>118</v>
      </c>
      <c r="S1617" s="9">
        <f t="shared" si="1243"/>
        <v>10</v>
      </c>
      <c r="T1617" s="9">
        <v>187.5</v>
      </c>
      <c r="U1617" s="9">
        <v>0</v>
      </c>
      <c r="V1617" s="9">
        <f t="shared" si="1228"/>
        <v>0</v>
      </c>
      <c r="W1617" s="7" t="s">
        <v>97</v>
      </c>
      <c r="X1617" s="2">
        <v>2016</v>
      </c>
      <c r="Y1617" s="2" t="s">
        <v>7793</v>
      </c>
    </row>
    <row r="1618" spans="1:25" s="11" customFormat="1" ht="89.25" customHeight="1" outlineLevel="1" x14ac:dyDescent="0.25">
      <c r="A1618" s="1"/>
      <c r="B1618" s="2" t="s">
        <v>8186</v>
      </c>
      <c r="C1618" s="3" t="s">
        <v>83</v>
      </c>
      <c r="D1618" s="19" t="s">
        <v>2832</v>
      </c>
      <c r="E1618" s="19" t="s">
        <v>2800</v>
      </c>
      <c r="F1618" s="19" t="s">
        <v>2833</v>
      </c>
      <c r="G1618" s="19" t="s">
        <v>3020</v>
      </c>
      <c r="H1618" s="2" t="s">
        <v>88</v>
      </c>
      <c r="I1618" s="4">
        <v>0</v>
      </c>
      <c r="J1618" s="5">
        <v>710000000</v>
      </c>
      <c r="K1618" s="5" t="s">
        <v>89</v>
      </c>
      <c r="L1618" s="2" t="s">
        <v>754</v>
      </c>
      <c r="M1618" s="6" t="s">
        <v>682</v>
      </c>
      <c r="N1618" s="7" t="s">
        <v>92</v>
      </c>
      <c r="O1618" s="7" t="s">
        <v>93</v>
      </c>
      <c r="P1618" s="3" t="s">
        <v>673</v>
      </c>
      <c r="Q1618" s="8">
        <v>796</v>
      </c>
      <c r="R1618" s="7" t="s">
        <v>118</v>
      </c>
      <c r="S1618" s="9">
        <f t="shared" si="1243"/>
        <v>10</v>
      </c>
      <c r="T1618" s="9">
        <v>187.5</v>
      </c>
      <c r="U1618" s="9">
        <f t="shared" ref="U1618" si="1246">T1618*S1618</f>
        <v>1875</v>
      </c>
      <c r="V1618" s="9">
        <f t="shared" ref="V1618" si="1247">U1618*1.12</f>
        <v>2100</v>
      </c>
      <c r="W1618" s="7"/>
      <c r="X1618" s="2">
        <v>2016</v>
      </c>
      <c r="Y1618" s="2"/>
    </row>
    <row r="1619" spans="1:25" s="11" customFormat="1" ht="89.25" customHeight="1" outlineLevel="1" x14ac:dyDescent="0.25">
      <c r="A1619" s="1"/>
      <c r="B1619" s="2" t="s">
        <v>6311</v>
      </c>
      <c r="C1619" s="3" t="s">
        <v>83</v>
      </c>
      <c r="D1619" s="19" t="s">
        <v>2832</v>
      </c>
      <c r="E1619" s="19" t="s">
        <v>2800</v>
      </c>
      <c r="F1619" s="19" t="s">
        <v>2833</v>
      </c>
      <c r="G1619" s="19" t="s">
        <v>3023</v>
      </c>
      <c r="H1619" s="2" t="s">
        <v>88</v>
      </c>
      <c r="I1619" s="4">
        <v>0.4</v>
      </c>
      <c r="J1619" s="5">
        <v>710000000</v>
      </c>
      <c r="K1619" s="5" t="s">
        <v>89</v>
      </c>
      <c r="L1619" s="2" t="s">
        <v>754</v>
      </c>
      <c r="M1619" s="6" t="s">
        <v>682</v>
      </c>
      <c r="N1619" s="7" t="s">
        <v>92</v>
      </c>
      <c r="O1619" s="7" t="s">
        <v>93</v>
      </c>
      <c r="P1619" s="3" t="s">
        <v>94</v>
      </c>
      <c r="Q1619" s="8">
        <v>796</v>
      </c>
      <c r="R1619" s="7" t="s">
        <v>118</v>
      </c>
      <c r="S1619" s="9">
        <f t="shared" si="1243"/>
        <v>10</v>
      </c>
      <c r="T1619" s="9">
        <v>191.97</v>
      </c>
      <c r="U1619" s="9">
        <v>0</v>
      </c>
      <c r="V1619" s="9">
        <f t="shared" si="1228"/>
        <v>0</v>
      </c>
      <c r="W1619" s="7" t="s">
        <v>97</v>
      </c>
      <c r="X1619" s="2">
        <v>2016</v>
      </c>
      <c r="Y1619" s="2" t="s">
        <v>7793</v>
      </c>
    </row>
    <row r="1620" spans="1:25" s="11" customFormat="1" ht="89.25" customHeight="1" outlineLevel="1" x14ac:dyDescent="0.25">
      <c r="A1620" s="1"/>
      <c r="B1620" s="2" t="s">
        <v>8187</v>
      </c>
      <c r="C1620" s="3" t="s">
        <v>83</v>
      </c>
      <c r="D1620" s="19" t="s">
        <v>2832</v>
      </c>
      <c r="E1620" s="19" t="s">
        <v>2800</v>
      </c>
      <c r="F1620" s="19" t="s">
        <v>2833</v>
      </c>
      <c r="G1620" s="19" t="s">
        <v>3023</v>
      </c>
      <c r="H1620" s="2" t="s">
        <v>88</v>
      </c>
      <c r="I1620" s="4">
        <v>0</v>
      </c>
      <c r="J1620" s="5">
        <v>710000000</v>
      </c>
      <c r="K1620" s="5" t="s">
        <v>89</v>
      </c>
      <c r="L1620" s="2" t="s">
        <v>754</v>
      </c>
      <c r="M1620" s="6" t="s">
        <v>682</v>
      </c>
      <c r="N1620" s="7" t="s">
        <v>92</v>
      </c>
      <c r="O1620" s="7" t="s">
        <v>93</v>
      </c>
      <c r="P1620" s="3" t="s">
        <v>673</v>
      </c>
      <c r="Q1620" s="8">
        <v>796</v>
      </c>
      <c r="R1620" s="7" t="s">
        <v>118</v>
      </c>
      <c r="S1620" s="9">
        <f t="shared" si="1243"/>
        <v>10</v>
      </c>
      <c r="T1620" s="9">
        <v>191.97</v>
      </c>
      <c r="U1620" s="9">
        <f t="shared" ref="U1620" si="1248">T1620*S1620</f>
        <v>1919.7</v>
      </c>
      <c r="V1620" s="9">
        <f t="shared" ref="V1620" si="1249">U1620*1.12</f>
        <v>2150.0640000000003</v>
      </c>
      <c r="W1620" s="7"/>
      <c r="X1620" s="2">
        <v>2016</v>
      </c>
      <c r="Y1620" s="2"/>
    </row>
    <row r="1621" spans="1:25" s="11" customFormat="1" ht="89.25" customHeight="1" outlineLevel="1" x14ac:dyDescent="0.25">
      <c r="A1621" s="1"/>
      <c r="B1621" s="2" t="s">
        <v>6312</v>
      </c>
      <c r="C1621" s="3" t="s">
        <v>83</v>
      </c>
      <c r="D1621" s="19" t="s">
        <v>2832</v>
      </c>
      <c r="E1621" s="19" t="s">
        <v>2800</v>
      </c>
      <c r="F1621" s="19" t="s">
        <v>2833</v>
      </c>
      <c r="G1621" s="19" t="s">
        <v>3056</v>
      </c>
      <c r="H1621" s="2" t="s">
        <v>88</v>
      </c>
      <c r="I1621" s="4">
        <v>0.4</v>
      </c>
      <c r="J1621" s="5">
        <v>710000000</v>
      </c>
      <c r="K1621" s="5" t="s">
        <v>89</v>
      </c>
      <c r="L1621" s="2" t="s">
        <v>754</v>
      </c>
      <c r="M1621" s="6" t="s">
        <v>682</v>
      </c>
      <c r="N1621" s="7" t="s">
        <v>92</v>
      </c>
      <c r="O1621" s="7" t="s">
        <v>93</v>
      </c>
      <c r="P1621" s="3" t="s">
        <v>94</v>
      </c>
      <c r="Q1621" s="8">
        <v>796</v>
      </c>
      <c r="R1621" s="7" t="s">
        <v>118</v>
      </c>
      <c r="S1621" s="9">
        <f t="shared" si="1243"/>
        <v>10</v>
      </c>
      <c r="T1621" s="9">
        <v>253.12</v>
      </c>
      <c r="U1621" s="9">
        <v>0</v>
      </c>
      <c r="V1621" s="9">
        <f t="shared" si="1228"/>
        <v>0</v>
      </c>
      <c r="W1621" s="7" t="s">
        <v>97</v>
      </c>
      <c r="X1621" s="2">
        <v>2016</v>
      </c>
      <c r="Y1621" s="2" t="s">
        <v>7793</v>
      </c>
    </row>
    <row r="1622" spans="1:25" s="11" customFormat="1" ht="89.25" customHeight="1" outlineLevel="1" x14ac:dyDescent="0.25">
      <c r="A1622" s="1"/>
      <c r="B1622" s="2" t="s">
        <v>8188</v>
      </c>
      <c r="C1622" s="3" t="s">
        <v>83</v>
      </c>
      <c r="D1622" s="19" t="s">
        <v>2832</v>
      </c>
      <c r="E1622" s="19" t="s">
        <v>2800</v>
      </c>
      <c r="F1622" s="19" t="s">
        <v>2833</v>
      </c>
      <c r="G1622" s="19" t="s">
        <v>3056</v>
      </c>
      <c r="H1622" s="2" t="s">
        <v>88</v>
      </c>
      <c r="I1622" s="4">
        <v>0</v>
      </c>
      <c r="J1622" s="5">
        <v>710000000</v>
      </c>
      <c r="K1622" s="5" t="s">
        <v>89</v>
      </c>
      <c r="L1622" s="2" t="s">
        <v>754</v>
      </c>
      <c r="M1622" s="6" t="s">
        <v>682</v>
      </c>
      <c r="N1622" s="7" t="s">
        <v>92</v>
      </c>
      <c r="O1622" s="7" t="s">
        <v>93</v>
      </c>
      <c r="P1622" s="3" t="s">
        <v>673</v>
      </c>
      <c r="Q1622" s="8">
        <v>796</v>
      </c>
      <c r="R1622" s="7" t="s">
        <v>118</v>
      </c>
      <c r="S1622" s="9">
        <f t="shared" si="1243"/>
        <v>10</v>
      </c>
      <c r="T1622" s="9">
        <v>253.12</v>
      </c>
      <c r="U1622" s="9">
        <f t="shared" ref="U1622" si="1250">T1622*S1622</f>
        <v>2531.1999999999998</v>
      </c>
      <c r="V1622" s="9">
        <f t="shared" ref="V1622" si="1251">U1622*1.12</f>
        <v>2834.944</v>
      </c>
      <c r="W1622" s="7"/>
      <c r="X1622" s="2">
        <v>2016</v>
      </c>
      <c r="Y1622" s="2"/>
    </row>
    <row r="1623" spans="1:25" s="11" customFormat="1" ht="89.25" customHeight="1" outlineLevel="1" x14ac:dyDescent="0.25">
      <c r="A1623" s="1"/>
      <c r="B1623" s="2" t="s">
        <v>6313</v>
      </c>
      <c r="C1623" s="3" t="s">
        <v>83</v>
      </c>
      <c r="D1623" s="19" t="s">
        <v>3057</v>
      </c>
      <c r="E1623" s="19" t="s">
        <v>2455</v>
      </c>
      <c r="F1623" s="19" t="s">
        <v>3058</v>
      </c>
      <c r="G1623" s="19"/>
      <c r="H1623" s="2" t="s">
        <v>88</v>
      </c>
      <c r="I1623" s="4">
        <v>0.4</v>
      </c>
      <c r="J1623" s="5">
        <v>710000000</v>
      </c>
      <c r="K1623" s="5" t="s">
        <v>89</v>
      </c>
      <c r="L1623" s="2" t="s">
        <v>754</v>
      </c>
      <c r="M1623" s="6" t="s">
        <v>682</v>
      </c>
      <c r="N1623" s="7" t="s">
        <v>92</v>
      </c>
      <c r="O1623" s="7" t="s">
        <v>93</v>
      </c>
      <c r="P1623" s="3" t="s">
        <v>94</v>
      </c>
      <c r="Q1623" s="8" t="s">
        <v>2458</v>
      </c>
      <c r="R1623" s="7" t="s">
        <v>2459</v>
      </c>
      <c r="S1623" s="9">
        <v>1</v>
      </c>
      <c r="T1623" s="9">
        <v>1812.5</v>
      </c>
      <c r="U1623" s="9">
        <v>0</v>
      </c>
      <c r="V1623" s="9">
        <f t="shared" si="1228"/>
        <v>0</v>
      </c>
      <c r="W1623" s="7" t="s">
        <v>97</v>
      </c>
      <c r="X1623" s="2">
        <v>2016</v>
      </c>
      <c r="Y1623" s="2" t="s">
        <v>7793</v>
      </c>
    </row>
    <row r="1624" spans="1:25" s="11" customFormat="1" ht="89.25" customHeight="1" outlineLevel="1" x14ac:dyDescent="0.25">
      <c r="A1624" s="1"/>
      <c r="B1624" s="2" t="s">
        <v>8189</v>
      </c>
      <c r="C1624" s="3" t="s">
        <v>83</v>
      </c>
      <c r="D1624" s="19" t="s">
        <v>3057</v>
      </c>
      <c r="E1624" s="19" t="s">
        <v>2455</v>
      </c>
      <c r="F1624" s="19" t="s">
        <v>3058</v>
      </c>
      <c r="G1624" s="19"/>
      <c r="H1624" s="2" t="s">
        <v>88</v>
      </c>
      <c r="I1624" s="4">
        <v>0</v>
      </c>
      <c r="J1624" s="5">
        <v>710000000</v>
      </c>
      <c r="K1624" s="5" t="s">
        <v>89</v>
      </c>
      <c r="L1624" s="2" t="s">
        <v>754</v>
      </c>
      <c r="M1624" s="6" t="s">
        <v>682</v>
      </c>
      <c r="N1624" s="7" t="s">
        <v>92</v>
      </c>
      <c r="O1624" s="7" t="s">
        <v>93</v>
      </c>
      <c r="P1624" s="3" t="s">
        <v>673</v>
      </c>
      <c r="Q1624" s="8" t="s">
        <v>2458</v>
      </c>
      <c r="R1624" s="7" t="s">
        <v>2459</v>
      </c>
      <c r="S1624" s="9">
        <v>1</v>
      </c>
      <c r="T1624" s="9">
        <v>1812.5</v>
      </c>
      <c r="U1624" s="9">
        <f t="shared" ref="U1624" si="1252">T1624*S1624</f>
        <v>1812.5</v>
      </c>
      <c r="V1624" s="9">
        <f t="shared" ref="V1624" si="1253">U1624*1.12</f>
        <v>2030.0000000000002</v>
      </c>
      <c r="W1624" s="7"/>
      <c r="X1624" s="2">
        <v>2016</v>
      </c>
      <c r="Y1624" s="2"/>
    </row>
    <row r="1625" spans="1:25" s="11" customFormat="1" ht="89.25" customHeight="1" outlineLevel="1" x14ac:dyDescent="0.25">
      <c r="A1625" s="1"/>
      <c r="B1625" s="2" t="s">
        <v>6314</v>
      </c>
      <c r="C1625" s="3" t="s">
        <v>83</v>
      </c>
      <c r="D1625" s="19" t="s">
        <v>2989</v>
      </c>
      <c r="E1625" s="19" t="s">
        <v>2990</v>
      </c>
      <c r="F1625" s="19" t="s">
        <v>2991</v>
      </c>
      <c r="G1625" s="19"/>
      <c r="H1625" s="2" t="s">
        <v>88</v>
      </c>
      <c r="I1625" s="4">
        <v>0.4</v>
      </c>
      <c r="J1625" s="5">
        <v>710000000</v>
      </c>
      <c r="K1625" s="5" t="s">
        <v>89</v>
      </c>
      <c r="L1625" s="2" t="s">
        <v>754</v>
      </c>
      <c r="M1625" s="6" t="s">
        <v>682</v>
      </c>
      <c r="N1625" s="7" t="s">
        <v>92</v>
      </c>
      <c r="O1625" s="7" t="s">
        <v>93</v>
      </c>
      <c r="P1625" s="3" t="s">
        <v>94</v>
      </c>
      <c r="Q1625" s="8">
        <v>796</v>
      </c>
      <c r="R1625" s="7" t="s">
        <v>118</v>
      </c>
      <c r="S1625" s="9">
        <v>1</v>
      </c>
      <c r="T1625" s="9">
        <v>2602.23</v>
      </c>
      <c r="U1625" s="9">
        <v>0</v>
      </c>
      <c r="V1625" s="9">
        <f t="shared" si="1228"/>
        <v>0</v>
      </c>
      <c r="W1625" s="7" t="s">
        <v>97</v>
      </c>
      <c r="X1625" s="2">
        <v>2016</v>
      </c>
      <c r="Y1625" s="2" t="s">
        <v>7793</v>
      </c>
    </row>
    <row r="1626" spans="1:25" s="11" customFormat="1" ht="89.25" customHeight="1" outlineLevel="1" x14ac:dyDescent="0.25">
      <c r="A1626" s="1"/>
      <c r="B1626" s="2" t="s">
        <v>8190</v>
      </c>
      <c r="C1626" s="3" t="s">
        <v>83</v>
      </c>
      <c r="D1626" s="19" t="s">
        <v>2989</v>
      </c>
      <c r="E1626" s="19" t="s">
        <v>2990</v>
      </c>
      <c r="F1626" s="19" t="s">
        <v>2991</v>
      </c>
      <c r="G1626" s="19"/>
      <c r="H1626" s="2" t="s">
        <v>88</v>
      </c>
      <c r="I1626" s="4">
        <v>0</v>
      </c>
      <c r="J1626" s="5">
        <v>710000000</v>
      </c>
      <c r="K1626" s="5" t="s">
        <v>89</v>
      </c>
      <c r="L1626" s="2" t="s">
        <v>754</v>
      </c>
      <c r="M1626" s="6" t="s">
        <v>682</v>
      </c>
      <c r="N1626" s="7" t="s">
        <v>92</v>
      </c>
      <c r="O1626" s="7" t="s">
        <v>93</v>
      </c>
      <c r="P1626" s="3" t="s">
        <v>673</v>
      </c>
      <c r="Q1626" s="8">
        <v>796</v>
      </c>
      <c r="R1626" s="7" t="s">
        <v>118</v>
      </c>
      <c r="S1626" s="9">
        <v>1</v>
      </c>
      <c r="T1626" s="9">
        <v>2602.23</v>
      </c>
      <c r="U1626" s="9">
        <f t="shared" ref="U1626" si="1254">T1626*S1626</f>
        <v>2602.23</v>
      </c>
      <c r="V1626" s="9">
        <f t="shared" ref="V1626" si="1255">U1626*1.12</f>
        <v>2914.4976000000001</v>
      </c>
      <c r="W1626" s="7"/>
      <c r="X1626" s="2">
        <v>2016</v>
      </c>
      <c r="Y1626" s="2"/>
    </row>
    <row r="1627" spans="1:25" s="11" customFormat="1" ht="89.25" customHeight="1" outlineLevel="1" x14ac:dyDescent="0.25">
      <c r="A1627" s="1"/>
      <c r="B1627" s="2" t="s">
        <v>6315</v>
      </c>
      <c r="C1627" s="3" t="s">
        <v>83</v>
      </c>
      <c r="D1627" s="19" t="s">
        <v>3059</v>
      </c>
      <c r="E1627" s="19" t="s">
        <v>2702</v>
      </c>
      <c r="F1627" s="19" t="s">
        <v>3060</v>
      </c>
      <c r="G1627" s="19"/>
      <c r="H1627" s="2" t="s">
        <v>88</v>
      </c>
      <c r="I1627" s="4">
        <v>0.4</v>
      </c>
      <c r="J1627" s="5">
        <v>710000000</v>
      </c>
      <c r="K1627" s="5" t="s">
        <v>89</v>
      </c>
      <c r="L1627" s="2" t="s">
        <v>754</v>
      </c>
      <c r="M1627" s="6" t="s">
        <v>682</v>
      </c>
      <c r="N1627" s="7" t="s">
        <v>92</v>
      </c>
      <c r="O1627" s="7" t="s">
        <v>93</v>
      </c>
      <c r="P1627" s="3" t="s">
        <v>94</v>
      </c>
      <c r="Q1627" s="8">
        <v>796</v>
      </c>
      <c r="R1627" s="7" t="s">
        <v>118</v>
      </c>
      <c r="S1627" s="9">
        <v>10</v>
      </c>
      <c r="T1627" s="9">
        <v>231.25</v>
      </c>
      <c r="U1627" s="9">
        <v>0</v>
      </c>
      <c r="V1627" s="9">
        <f t="shared" si="1228"/>
        <v>0</v>
      </c>
      <c r="W1627" s="7" t="s">
        <v>97</v>
      </c>
      <c r="X1627" s="2">
        <v>2016</v>
      </c>
      <c r="Y1627" s="2" t="s">
        <v>7793</v>
      </c>
    </row>
    <row r="1628" spans="1:25" s="11" customFormat="1" ht="89.25" customHeight="1" outlineLevel="1" x14ac:dyDescent="0.25">
      <c r="A1628" s="1"/>
      <c r="B1628" s="2" t="s">
        <v>8191</v>
      </c>
      <c r="C1628" s="3" t="s">
        <v>83</v>
      </c>
      <c r="D1628" s="19" t="s">
        <v>3059</v>
      </c>
      <c r="E1628" s="19" t="s">
        <v>2702</v>
      </c>
      <c r="F1628" s="19" t="s">
        <v>3060</v>
      </c>
      <c r="G1628" s="19"/>
      <c r="H1628" s="2" t="s">
        <v>88</v>
      </c>
      <c r="I1628" s="4">
        <v>0</v>
      </c>
      <c r="J1628" s="5">
        <v>710000000</v>
      </c>
      <c r="K1628" s="5" t="s">
        <v>89</v>
      </c>
      <c r="L1628" s="2" t="s">
        <v>754</v>
      </c>
      <c r="M1628" s="6" t="s">
        <v>682</v>
      </c>
      <c r="N1628" s="7" t="s">
        <v>92</v>
      </c>
      <c r="O1628" s="7" t="s">
        <v>93</v>
      </c>
      <c r="P1628" s="3" t="s">
        <v>673</v>
      </c>
      <c r="Q1628" s="8">
        <v>796</v>
      </c>
      <c r="R1628" s="7" t="s">
        <v>118</v>
      </c>
      <c r="S1628" s="9">
        <v>10</v>
      </c>
      <c r="T1628" s="9">
        <v>231.25</v>
      </c>
      <c r="U1628" s="9">
        <v>0</v>
      </c>
      <c r="V1628" s="9">
        <f t="shared" ref="V1628" si="1256">U1628*1.12</f>
        <v>0</v>
      </c>
      <c r="W1628" s="7"/>
      <c r="X1628" s="2">
        <v>2016</v>
      </c>
      <c r="Y1628" s="2" t="s">
        <v>7460</v>
      </c>
    </row>
    <row r="1629" spans="1:25" s="11" customFormat="1" ht="89.25" customHeight="1" outlineLevel="1" x14ac:dyDescent="0.25">
      <c r="A1629" s="1"/>
      <c r="B1629" s="2" t="s">
        <v>6316</v>
      </c>
      <c r="C1629" s="3" t="s">
        <v>83</v>
      </c>
      <c r="D1629" s="19" t="s">
        <v>3061</v>
      </c>
      <c r="E1629" s="19" t="s">
        <v>2874</v>
      </c>
      <c r="F1629" s="19" t="s">
        <v>3062</v>
      </c>
      <c r="G1629" s="19" t="s">
        <v>3063</v>
      </c>
      <c r="H1629" s="2" t="s">
        <v>88</v>
      </c>
      <c r="I1629" s="4">
        <v>0.4</v>
      </c>
      <c r="J1629" s="5">
        <v>710000000</v>
      </c>
      <c r="K1629" s="5" t="s">
        <v>89</v>
      </c>
      <c r="L1629" s="2" t="s">
        <v>754</v>
      </c>
      <c r="M1629" s="6" t="s">
        <v>682</v>
      </c>
      <c r="N1629" s="7" t="s">
        <v>92</v>
      </c>
      <c r="O1629" s="7" t="s">
        <v>93</v>
      </c>
      <c r="P1629" s="3" t="s">
        <v>94</v>
      </c>
      <c r="Q1629" s="8">
        <v>796</v>
      </c>
      <c r="R1629" s="7" t="s">
        <v>118</v>
      </c>
      <c r="S1629" s="9">
        <v>1</v>
      </c>
      <c r="T1629" s="9">
        <v>4686.6099999999997</v>
      </c>
      <c r="U1629" s="9">
        <v>0</v>
      </c>
      <c r="V1629" s="9">
        <f t="shared" si="1228"/>
        <v>0</v>
      </c>
      <c r="W1629" s="7" t="s">
        <v>97</v>
      </c>
      <c r="X1629" s="2">
        <v>2016</v>
      </c>
      <c r="Y1629" s="2" t="s">
        <v>7793</v>
      </c>
    </row>
    <row r="1630" spans="1:25" s="11" customFormat="1" ht="89.25" customHeight="1" outlineLevel="1" x14ac:dyDescent="0.25">
      <c r="A1630" s="1"/>
      <c r="B1630" s="2" t="s">
        <v>8192</v>
      </c>
      <c r="C1630" s="3" t="s">
        <v>83</v>
      </c>
      <c r="D1630" s="19" t="s">
        <v>3061</v>
      </c>
      <c r="E1630" s="19" t="s">
        <v>2874</v>
      </c>
      <c r="F1630" s="19" t="s">
        <v>3062</v>
      </c>
      <c r="G1630" s="19" t="s">
        <v>3063</v>
      </c>
      <c r="H1630" s="2" t="s">
        <v>88</v>
      </c>
      <c r="I1630" s="4">
        <v>0</v>
      </c>
      <c r="J1630" s="5">
        <v>710000000</v>
      </c>
      <c r="K1630" s="5" t="s">
        <v>89</v>
      </c>
      <c r="L1630" s="2" t="s">
        <v>754</v>
      </c>
      <c r="M1630" s="6" t="s">
        <v>682</v>
      </c>
      <c r="N1630" s="7" t="s">
        <v>92</v>
      </c>
      <c r="O1630" s="7" t="s">
        <v>93</v>
      </c>
      <c r="P1630" s="3" t="s">
        <v>673</v>
      </c>
      <c r="Q1630" s="8">
        <v>796</v>
      </c>
      <c r="R1630" s="7" t="s">
        <v>118</v>
      </c>
      <c r="S1630" s="9">
        <v>1</v>
      </c>
      <c r="T1630" s="9">
        <v>4686.6099999999997</v>
      </c>
      <c r="U1630" s="9">
        <f t="shared" ref="U1630" si="1257">T1630*S1630</f>
        <v>4686.6099999999997</v>
      </c>
      <c r="V1630" s="9">
        <f t="shared" ref="V1630" si="1258">U1630*1.12</f>
        <v>5249.0032000000001</v>
      </c>
      <c r="W1630" s="7"/>
      <c r="X1630" s="2">
        <v>2016</v>
      </c>
      <c r="Y1630" s="2"/>
    </row>
    <row r="1631" spans="1:25" s="11" customFormat="1" ht="89.25" customHeight="1" outlineLevel="1" x14ac:dyDescent="0.25">
      <c r="A1631" s="1"/>
      <c r="B1631" s="2" t="s">
        <v>6317</v>
      </c>
      <c r="C1631" s="3" t="s">
        <v>83</v>
      </c>
      <c r="D1631" s="19" t="s">
        <v>3061</v>
      </c>
      <c r="E1631" s="19" t="s">
        <v>2874</v>
      </c>
      <c r="F1631" s="19" t="s">
        <v>3062</v>
      </c>
      <c r="G1631" s="19" t="s">
        <v>3064</v>
      </c>
      <c r="H1631" s="2" t="s">
        <v>88</v>
      </c>
      <c r="I1631" s="4">
        <v>0.4</v>
      </c>
      <c r="J1631" s="5">
        <v>710000000</v>
      </c>
      <c r="K1631" s="5" t="s">
        <v>89</v>
      </c>
      <c r="L1631" s="2" t="s">
        <v>754</v>
      </c>
      <c r="M1631" s="6" t="s">
        <v>682</v>
      </c>
      <c r="N1631" s="7" t="s">
        <v>92</v>
      </c>
      <c r="O1631" s="7" t="s">
        <v>93</v>
      </c>
      <c r="P1631" s="3" t="s">
        <v>94</v>
      </c>
      <c r="Q1631" s="8">
        <v>796</v>
      </c>
      <c r="R1631" s="7" t="s">
        <v>118</v>
      </c>
      <c r="S1631" s="9">
        <v>2</v>
      </c>
      <c r="T1631" s="9">
        <v>5203.57</v>
      </c>
      <c r="U1631" s="9">
        <v>0</v>
      </c>
      <c r="V1631" s="9">
        <f t="shared" si="1228"/>
        <v>0</v>
      </c>
      <c r="W1631" s="7" t="s">
        <v>97</v>
      </c>
      <c r="X1631" s="2">
        <v>2016</v>
      </c>
      <c r="Y1631" s="2" t="s">
        <v>7793</v>
      </c>
    </row>
    <row r="1632" spans="1:25" s="11" customFormat="1" ht="89.25" customHeight="1" outlineLevel="1" x14ac:dyDescent="0.25">
      <c r="A1632" s="1"/>
      <c r="B1632" s="2" t="s">
        <v>8193</v>
      </c>
      <c r="C1632" s="3" t="s">
        <v>83</v>
      </c>
      <c r="D1632" s="19" t="s">
        <v>3061</v>
      </c>
      <c r="E1632" s="19" t="s">
        <v>2874</v>
      </c>
      <c r="F1632" s="19" t="s">
        <v>3062</v>
      </c>
      <c r="G1632" s="19" t="s">
        <v>3064</v>
      </c>
      <c r="H1632" s="2" t="s">
        <v>88</v>
      </c>
      <c r="I1632" s="4">
        <v>0</v>
      </c>
      <c r="J1632" s="5">
        <v>710000000</v>
      </c>
      <c r="K1632" s="5" t="s">
        <v>89</v>
      </c>
      <c r="L1632" s="2" t="s">
        <v>754</v>
      </c>
      <c r="M1632" s="6" t="s">
        <v>682</v>
      </c>
      <c r="N1632" s="7" t="s">
        <v>92</v>
      </c>
      <c r="O1632" s="7" t="s">
        <v>93</v>
      </c>
      <c r="P1632" s="3" t="s">
        <v>673</v>
      </c>
      <c r="Q1632" s="8">
        <v>796</v>
      </c>
      <c r="R1632" s="7" t="s">
        <v>118</v>
      </c>
      <c r="S1632" s="9">
        <v>2</v>
      </c>
      <c r="T1632" s="9">
        <v>5203.57</v>
      </c>
      <c r="U1632" s="9">
        <f t="shared" ref="U1632" si="1259">T1632*S1632</f>
        <v>10407.14</v>
      </c>
      <c r="V1632" s="9">
        <f t="shared" ref="V1632" si="1260">U1632*1.12</f>
        <v>11655.996800000001</v>
      </c>
      <c r="W1632" s="7"/>
      <c r="X1632" s="2">
        <v>2016</v>
      </c>
      <c r="Y1632" s="2"/>
    </row>
    <row r="1633" spans="1:25" s="11" customFormat="1" ht="89.25" customHeight="1" outlineLevel="1" x14ac:dyDescent="0.25">
      <c r="A1633" s="1"/>
      <c r="B1633" s="2" t="s">
        <v>6318</v>
      </c>
      <c r="C1633" s="3" t="s">
        <v>83</v>
      </c>
      <c r="D1633" s="19" t="s">
        <v>2823</v>
      </c>
      <c r="E1633" s="19" t="s">
        <v>2800</v>
      </c>
      <c r="F1633" s="19" t="s">
        <v>2824</v>
      </c>
      <c r="G1633" s="19" t="s">
        <v>2825</v>
      </c>
      <c r="H1633" s="2" t="s">
        <v>88</v>
      </c>
      <c r="I1633" s="4">
        <v>0.4</v>
      </c>
      <c r="J1633" s="5">
        <v>710000000</v>
      </c>
      <c r="K1633" s="5" t="s">
        <v>89</v>
      </c>
      <c r="L1633" s="2" t="s">
        <v>754</v>
      </c>
      <c r="M1633" s="6" t="s">
        <v>682</v>
      </c>
      <c r="N1633" s="7" t="s">
        <v>92</v>
      </c>
      <c r="O1633" s="7" t="s">
        <v>93</v>
      </c>
      <c r="P1633" s="3" t="s">
        <v>94</v>
      </c>
      <c r="Q1633" s="8">
        <v>796</v>
      </c>
      <c r="R1633" s="7" t="s">
        <v>118</v>
      </c>
      <c r="S1633" s="9">
        <v>1</v>
      </c>
      <c r="T1633" s="9">
        <v>618.29999999999995</v>
      </c>
      <c r="U1633" s="9">
        <v>0</v>
      </c>
      <c r="V1633" s="9">
        <f t="shared" si="1228"/>
        <v>0</v>
      </c>
      <c r="W1633" s="7" t="s">
        <v>97</v>
      </c>
      <c r="X1633" s="2">
        <v>2016</v>
      </c>
      <c r="Y1633" s="2" t="s">
        <v>7793</v>
      </c>
    </row>
    <row r="1634" spans="1:25" s="11" customFormat="1" ht="89.25" customHeight="1" outlineLevel="1" x14ac:dyDescent="0.25">
      <c r="A1634" s="1"/>
      <c r="B1634" s="2" t="s">
        <v>8194</v>
      </c>
      <c r="C1634" s="3" t="s">
        <v>83</v>
      </c>
      <c r="D1634" s="19" t="s">
        <v>2823</v>
      </c>
      <c r="E1634" s="19" t="s">
        <v>2800</v>
      </c>
      <c r="F1634" s="19" t="s">
        <v>2824</v>
      </c>
      <c r="G1634" s="19" t="s">
        <v>2825</v>
      </c>
      <c r="H1634" s="2" t="s">
        <v>88</v>
      </c>
      <c r="I1634" s="4">
        <v>0</v>
      </c>
      <c r="J1634" s="5">
        <v>710000000</v>
      </c>
      <c r="K1634" s="5" t="s">
        <v>89</v>
      </c>
      <c r="L1634" s="2" t="s">
        <v>754</v>
      </c>
      <c r="M1634" s="6" t="s">
        <v>682</v>
      </c>
      <c r="N1634" s="7" t="s">
        <v>92</v>
      </c>
      <c r="O1634" s="7" t="s">
        <v>93</v>
      </c>
      <c r="P1634" s="3" t="s">
        <v>673</v>
      </c>
      <c r="Q1634" s="8">
        <v>796</v>
      </c>
      <c r="R1634" s="7" t="s">
        <v>118</v>
      </c>
      <c r="S1634" s="9">
        <v>1</v>
      </c>
      <c r="T1634" s="9">
        <v>618.29999999999995</v>
      </c>
      <c r="U1634" s="9">
        <f t="shared" ref="U1634" si="1261">T1634*S1634</f>
        <v>618.29999999999995</v>
      </c>
      <c r="V1634" s="9">
        <f t="shared" ref="V1634" si="1262">U1634*1.12</f>
        <v>692.49599999999998</v>
      </c>
      <c r="W1634" s="7"/>
      <c r="X1634" s="2">
        <v>2016</v>
      </c>
      <c r="Y1634" s="2"/>
    </row>
    <row r="1635" spans="1:25" s="11" customFormat="1" ht="89.25" customHeight="1" outlineLevel="1" x14ac:dyDescent="0.25">
      <c r="A1635" s="1"/>
      <c r="B1635" s="2" t="s">
        <v>6319</v>
      </c>
      <c r="C1635" s="3" t="s">
        <v>83</v>
      </c>
      <c r="D1635" s="19" t="s">
        <v>2823</v>
      </c>
      <c r="E1635" s="19" t="s">
        <v>2800</v>
      </c>
      <c r="F1635" s="19" t="s">
        <v>2824</v>
      </c>
      <c r="G1635" s="19" t="s">
        <v>2826</v>
      </c>
      <c r="H1635" s="2" t="s">
        <v>88</v>
      </c>
      <c r="I1635" s="4">
        <v>0.4</v>
      </c>
      <c r="J1635" s="5">
        <v>710000000</v>
      </c>
      <c r="K1635" s="5" t="s">
        <v>89</v>
      </c>
      <c r="L1635" s="2" t="s">
        <v>754</v>
      </c>
      <c r="M1635" s="6" t="s">
        <v>682</v>
      </c>
      <c r="N1635" s="7" t="s">
        <v>92</v>
      </c>
      <c r="O1635" s="7" t="s">
        <v>93</v>
      </c>
      <c r="P1635" s="3" t="s">
        <v>94</v>
      </c>
      <c r="Q1635" s="8">
        <v>796</v>
      </c>
      <c r="R1635" s="7" t="s">
        <v>118</v>
      </c>
      <c r="S1635" s="9">
        <v>1</v>
      </c>
      <c r="T1635" s="9">
        <v>606.70000000000005</v>
      </c>
      <c r="U1635" s="9">
        <v>0</v>
      </c>
      <c r="V1635" s="9">
        <f t="shared" si="1228"/>
        <v>0</v>
      </c>
      <c r="W1635" s="7" t="s">
        <v>97</v>
      </c>
      <c r="X1635" s="2">
        <v>2016</v>
      </c>
      <c r="Y1635" s="2" t="s">
        <v>7793</v>
      </c>
    </row>
    <row r="1636" spans="1:25" s="11" customFormat="1" ht="89.25" customHeight="1" outlineLevel="1" x14ac:dyDescent="0.25">
      <c r="A1636" s="1"/>
      <c r="B1636" s="2" t="s">
        <v>8195</v>
      </c>
      <c r="C1636" s="3" t="s">
        <v>83</v>
      </c>
      <c r="D1636" s="19" t="s">
        <v>2823</v>
      </c>
      <c r="E1636" s="19" t="s">
        <v>2800</v>
      </c>
      <c r="F1636" s="19" t="s">
        <v>2824</v>
      </c>
      <c r="G1636" s="19" t="s">
        <v>2826</v>
      </c>
      <c r="H1636" s="2" t="s">
        <v>88</v>
      </c>
      <c r="I1636" s="4">
        <v>0</v>
      </c>
      <c r="J1636" s="5">
        <v>710000000</v>
      </c>
      <c r="K1636" s="5" t="s">
        <v>89</v>
      </c>
      <c r="L1636" s="2" t="s">
        <v>754</v>
      </c>
      <c r="M1636" s="6" t="s">
        <v>682</v>
      </c>
      <c r="N1636" s="7" t="s">
        <v>92</v>
      </c>
      <c r="O1636" s="7" t="s">
        <v>93</v>
      </c>
      <c r="P1636" s="3" t="s">
        <v>673</v>
      </c>
      <c r="Q1636" s="8">
        <v>796</v>
      </c>
      <c r="R1636" s="7" t="s">
        <v>118</v>
      </c>
      <c r="S1636" s="9">
        <v>1</v>
      </c>
      <c r="T1636" s="9">
        <v>606.70000000000005</v>
      </c>
      <c r="U1636" s="9">
        <f t="shared" ref="U1636" si="1263">T1636*S1636</f>
        <v>606.70000000000005</v>
      </c>
      <c r="V1636" s="9">
        <f t="shared" ref="V1636" si="1264">U1636*1.12</f>
        <v>679.50400000000013</v>
      </c>
      <c r="W1636" s="7"/>
      <c r="X1636" s="2">
        <v>2016</v>
      </c>
      <c r="Y1636" s="2"/>
    </row>
    <row r="1637" spans="1:25" s="20" customFormat="1" ht="89.25" customHeight="1" outlineLevel="1" x14ac:dyDescent="0.25">
      <c r="A1637" s="1"/>
      <c r="B1637" s="2" t="s">
        <v>6320</v>
      </c>
      <c r="C1637" s="3" t="s">
        <v>83</v>
      </c>
      <c r="D1637" s="19" t="s">
        <v>2823</v>
      </c>
      <c r="E1637" s="19" t="s">
        <v>2800</v>
      </c>
      <c r="F1637" s="19" t="s">
        <v>2824</v>
      </c>
      <c r="G1637" s="19" t="s">
        <v>2827</v>
      </c>
      <c r="H1637" s="2" t="s">
        <v>88</v>
      </c>
      <c r="I1637" s="4">
        <v>0.4</v>
      </c>
      <c r="J1637" s="5">
        <v>710000000</v>
      </c>
      <c r="K1637" s="5" t="s">
        <v>89</v>
      </c>
      <c r="L1637" s="2" t="s">
        <v>754</v>
      </c>
      <c r="M1637" s="6" t="s">
        <v>682</v>
      </c>
      <c r="N1637" s="7" t="s">
        <v>92</v>
      </c>
      <c r="O1637" s="7" t="s">
        <v>93</v>
      </c>
      <c r="P1637" s="3" t="s">
        <v>94</v>
      </c>
      <c r="Q1637" s="8">
        <v>796</v>
      </c>
      <c r="R1637" s="7" t="s">
        <v>118</v>
      </c>
      <c r="S1637" s="9">
        <v>7</v>
      </c>
      <c r="T1637" s="9">
        <v>620.09</v>
      </c>
      <c r="U1637" s="9">
        <v>0</v>
      </c>
      <c r="V1637" s="9">
        <f t="shared" si="1228"/>
        <v>0</v>
      </c>
      <c r="W1637" s="7" t="s">
        <v>97</v>
      </c>
      <c r="X1637" s="2">
        <v>2016</v>
      </c>
      <c r="Y1637" s="2" t="s">
        <v>7793</v>
      </c>
    </row>
    <row r="1638" spans="1:25" s="20" customFormat="1" ht="89.25" customHeight="1" outlineLevel="1" x14ac:dyDescent="0.25">
      <c r="A1638" s="1"/>
      <c r="B1638" s="2" t="s">
        <v>8196</v>
      </c>
      <c r="C1638" s="3" t="s">
        <v>83</v>
      </c>
      <c r="D1638" s="19" t="s">
        <v>2823</v>
      </c>
      <c r="E1638" s="19" t="s">
        <v>2800</v>
      </c>
      <c r="F1638" s="19" t="s">
        <v>2824</v>
      </c>
      <c r="G1638" s="19" t="s">
        <v>2827</v>
      </c>
      <c r="H1638" s="2" t="s">
        <v>88</v>
      </c>
      <c r="I1638" s="4">
        <v>0</v>
      </c>
      <c r="J1638" s="5">
        <v>710000000</v>
      </c>
      <c r="K1638" s="5" t="s">
        <v>89</v>
      </c>
      <c r="L1638" s="2" t="s">
        <v>754</v>
      </c>
      <c r="M1638" s="6" t="s">
        <v>682</v>
      </c>
      <c r="N1638" s="7" t="s">
        <v>92</v>
      </c>
      <c r="O1638" s="7" t="s">
        <v>93</v>
      </c>
      <c r="P1638" s="3" t="s">
        <v>673</v>
      </c>
      <c r="Q1638" s="8">
        <v>796</v>
      </c>
      <c r="R1638" s="7" t="s">
        <v>118</v>
      </c>
      <c r="S1638" s="9">
        <v>7</v>
      </c>
      <c r="T1638" s="9">
        <v>620.09</v>
      </c>
      <c r="U1638" s="9">
        <f t="shared" ref="U1638" si="1265">T1638*S1638</f>
        <v>4340.63</v>
      </c>
      <c r="V1638" s="9">
        <f t="shared" ref="V1638" si="1266">U1638*1.12</f>
        <v>4861.5056000000004</v>
      </c>
      <c r="W1638" s="7"/>
      <c r="X1638" s="2">
        <v>2016</v>
      </c>
      <c r="Y1638" s="2"/>
    </row>
    <row r="1639" spans="1:25" s="20" customFormat="1" ht="89.25" customHeight="1" outlineLevel="1" x14ac:dyDescent="0.25">
      <c r="A1639" s="1"/>
      <c r="B1639" s="2" t="s">
        <v>6321</v>
      </c>
      <c r="C1639" s="3" t="s">
        <v>83</v>
      </c>
      <c r="D1639" s="19" t="s">
        <v>2823</v>
      </c>
      <c r="E1639" s="19" t="s">
        <v>2800</v>
      </c>
      <c r="F1639" s="19" t="s">
        <v>2824</v>
      </c>
      <c r="G1639" s="19" t="s">
        <v>2828</v>
      </c>
      <c r="H1639" s="2" t="s">
        <v>88</v>
      </c>
      <c r="I1639" s="4">
        <v>0.4</v>
      </c>
      <c r="J1639" s="5">
        <v>710000000</v>
      </c>
      <c r="K1639" s="5" t="s">
        <v>89</v>
      </c>
      <c r="L1639" s="2" t="s">
        <v>754</v>
      </c>
      <c r="M1639" s="6" t="s">
        <v>682</v>
      </c>
      <c r="N1639" s="7" t="s">
        <v>92</v>
      </c>
      <c r="O1639" s="7" t="s">
        <v>93</v>
      </c>
      <c r="P1639" s="3" t="s">
        <v>94</v>
      </c>
      <c r="Q1639" s="8">
        <v>796</v>
      </c>
      <c r="R1639" s="7" t="s">
        <v>118</v>
      </c>
      <c r="S1639" s="9">
        <v>1</v>
      </c>
      <c r="T1639" s="9">
        <v>636.61</v>
      </c>
      <c r="U1639" s="9">
        <v>0</v>
      </c>
      <c r="V1639" s="9">
        <f t="shared" si="1228"/>
        <v>0</v>
      </c>
      <c r="W1639" s="7" t="s">
        <v>97</v>
      </c>
      <c r="X1639" s="2">
        <v>2016</v>
      </c>
      <c r="Y1639" s="2" t="s">
        <v>7793</v>
      </c>
    </row>
    <row r="1640" spans="1:25" s="20" customFormat="1" ht="89.25" customHeight="1" outlineLevel="1" x14ac:dyDescent="0.25">
      <c r="A1640" s="1"/>
      <c r="B1640" s="2" t="s">
        <v>8197</v>
      </c>
      <c r="C1640" s="3" t="s">
        <v>83</v>
      </c>
      <c r="D1640" s="19" t="s">
        <v>2823</v>
      </c>
      <c r="E1640" s="19" t="s">
        <v>2800</v>
      </c>
      <c r="F1640" s="19" t="s">
        <v>2824</v>
      </c>
      <c r="G1640" s="19" t="s">
        <v>2828</v>
      </c>
      <c r="H1640" s="2" t="s">
        <v>88</v>
      </c>
      <c r="I1640" s="4">
        <v>0</v>
      </c>
      <c r="J1640" s="5">
        <v>710000000</v>
      </c>
      <c r="K1640" s="5" t="s">
        <v>89</v>
      </c>
      <c r="L1640" s="2" t="s">
        <v>754</v>
      </c>
      <c r="M1640" s="6" t="s">
        <v>682</v>
      </c>
      <c r="N1640" s="7" t="s">
        <v>92</v>
      </c>
      <c r="O1640" s="7" t="s">
        <v>93</v>
      </c>
      <c r="P1640" s="3" t="s">
        <v>673</v>
      </c>
      <c r="Q1640" s="8">
        <v>796</v>
      </c>
      <c r="R1640" s="7" t="s">
        <v>118</v>
      </c>
      <c r="S1640" s="9">
        <v>1</v>
      </c>
      <c r="T1640" s="9">
        <v>636.61</v>
      </c>
      <c r="U1640" s="9">
        <f t="shared" ref="U1640" si="1267">T1640*S1640</f>
        <v>636.61</v>
      </c>
      <c r="V1640" s="9">
        <f t="shared" ref="V1640" si="1268">U1640*1.12</f>
        <v>713.00320000000011</v>
      </c>
      <c r="W1640" s="7"/>
      <c r="X1640" s="2">
        <v>2016</v>
      </c>
      <c r="Y1640" s="2"/>
    </row>
    <row r="1641" spans="1:25" s="20" customFormat="1" ht="89.25" customHeight="1" outlineLevel="1" x14ac:dyDescent="0.25">
      <c r="A1641" s="1"/>
      <c r="B1641" s="2" t="s">
        <v>6322</v>
      </c>
      <c r="C1641" s="3" t="s">
        <v>83</v>
      </c>
      <c r="D1641" s="19" t="s">
        <v>2823</v>
      </c>
      <c r="E1641" s="19" t="s">
        <v>2800</v>
      </c>
      <c r="F1641" s="19" t="s">
        <v>2824</v>
      </c>
      <c r="G1641" s="19" t="s">
        <v>2829</v>
      </c>
      <c r="H1641" s="2" t="s">
        <v>88</v>
      </c>
      <c r="I1641" s="4">
        <v>0.4</v>
      </c>
      <c r="J1641" s="5">
        <v>710000000</v>
      </c>
      <c r="K1641" s="5" t="s">
        <v>89</v>
      </c>
      <c r="L1641" s="2" t="s">
        <v>754</v>
      </c>
      <c r="M1641" s="6" t="s">
        <v>682</v>
      </c>
      <c r="N1641" s="7" t="s">
        <v>92</v>
      </c>
      <c r="O1641" s="7" t="s">
        <v>93</v>
      </c>
      <c r="P1641" s="3" t="s">
        <v>94</v>
      </c>
      <c r="Q1641" s="8">
        <v>796</v>
      </c>
      <c r="R1641" s="7" t="s">
        <v>118</v>
      </c>
      <c r="S1641" s="9">
        <v>5</v>
      </c>
      <c r="T1641" s="9">
        <v>762.5</v>
      </c>
      <c r="U1641" s="9">
        <v>0</v>
      </c>
      <c r="V1641" s="9">
        <f t="shared" si="1228"/>
        <v>0</v>
      </c>
      <c r="W1641" s="7" t="s">
        <v>97</v>
      </c>
      <c r="X1641" s="2">
        <v>2016</v>
      </c>
      <c r="Y1641" s="2" t="s">
        <v>7793</v>
      </c>
    </row>
    <row r="1642" spans="1:25" s="20" customFormat="1" ht="89.25" customHeight="1" outlineLevel="1" x14ac:dyDescent="0.25">
      <c r="A1642" s="1"/>
      <c r="B1642" s="2" t="s">
        <v>8198</v>
      </c>
      <c r="C1642" s="3" t="s">
        <v>83</v>
      </c>
      <c r="D1642" s="19" t="s">
        <v>2823</v>
      </c>
      <c r="E1642" s="19" t="s">
        <v>2800</v>
      </c>
      <c r="F1642" s="19" t="s">
        <v>2824</v>
      </c>
      <c r="G1642" s="19" t="s">
        <v>2829</v>
      </c>
      <c r="H1642" s="2" t="s">
        <v>88</v>
      </c>
      <c r="I1642" s="4">
        <v>0</v>
      </c>
      <c r="J1642" s="5">
        <v>710000000</v>
      </c>
      <c r="K1642" s="5" t="s">
        <v>89</v>
      </c>
      <c r="L1642" s="2" t="s">
        <v>754</v>
      </c>
      <c r="M1642" s="6" t="s">
        <v>682</v>
      </c>
      <c r="N1642" s="7" t="s">
        <v>92</v>
      </c>
      <c r="O1642" s="7" t="s">
        <v>93</v>
      </c>
      <c r="P1642" s="3" t="s">
        <v>673</v>
      </c>
      <c r="Q1642" s="8">
        <v>796</v>
      </c>
      <c r="R1642" s="7" t="s">
        <v>118</v>
      </c>
      <c r="S1642" s="9">
        <v>5</v>
      </c>
      <c r="T1642" s="9">
        <v>762.5</v>
      </c>
      <c r="U1642" s="9">
        <f t="shared" ref="U1642" si="1269">T1642*S1642</f>
        <v>3812.5</v>
      </c>
      <c r="V1642" s="9">
        <f t="shared" ref="V1642" si="1270">U1642*1.12</f>
        <v>4270</v>
      </c>
      <c r="W1642" s="7"/>
      <c r="X1642" s="2">
        <v>2016</v>
      </c>
      <c r="Y1642" s="2"/>
    </row>
    <row r="1643" spans="1:25" s="20" customFormat="1" ht="89.25" customHeight="1" outlineLevel="1" x14ac:dyDescent="0.25">
      <c r="A1643" s="1"/>
      <c r="B1643" s="2" t="s">
        <v>6323</v>
      </c>
      <c r="C1643" s="3" t="s">
        <v>83</v>
      </c>
      <c r="D1643" s="19" t="s">
        <v>2823</v>
      </c>
      <c r="E1643" s="19" t="s">
        <v>2800</v>
      </c>
      <c r="F1643" s="19" t="s">
        <v>2824</v>
      </c>
      <c r="G1643" s="19" t="s">
        <v>2830</v>
      </c>
      <c r="H1643" s="2" t="s">
        <v>88</v>
      </c>
      <c r="I1643" s="4">
        <v>0.4</v>
      </c>
      <c r="J1643" s="5">
        <v>710000000</v>
      </c>
      <c r="K1643" s="5" t="s">
        <v>89</v>
      </c>
      <c r="L1643" s="2" t="s">
        <v>754</v>
      </c>
      <c r="M1643" s="6" t="s">
        <v>682</v>
      </c>
      <c r="N1643" s="7" t="s">
        <v>92</v>
      </c>
      <c r="O1643" s="7" t="s">
        <v>93</v>
      </c>
      <c r="P1643" s="3" t="s">
        <v>94</v>
      </c>
      <c r="Q1643" s="8">
        <v>796</v>
      </c>
      <c r="R1643" s="7" t="s">
        <v>118</v>
      </c>
      <c r="S1643" s="9">
        <v>2</v>
      </c>
      <c r="T1643" s="9">
        <v>2893.3</v>
      </c>
      <c r="U1643" s="9">
        <v>0</v>
      </c>
      <c r="V1643" s="9">
        <f t="shared" si="1228"/>
        <v>0</v>
      </c>
      <c r="W1643" s="7" t="s">
        <v>97</v>
      </c>
      <c r="X1643" s="2">
        <v>2016</v>
      </c>
      <c r="Y1643" s="2" t="s">
        <v>7793</v>
      </c>
    </row>
    <row r="1644" spans="1:25" s="20" customFormat="1" ht="89.25" customHeight="1" outlineLevel="1" x14ac:dyDescent="0.25">
      <c r="A1644" s="1"/>
      <c r="B1644" s="2" t="s">
        <v>8199</v>
      </c>
      <c r="C1644" s="3" t="s">
        <v>83</v>
      </c>
      <c r="D1644" s="19" t="s">
        <v>2823</v>
      </c>
      <c r="E1644" s="19" t="s">
        <v>2800</v>
      </c>
      <c r="F1644" s="19" t="s">
        <v>2824</v>
      </c>
      <c r="G1644" s="19" t="s">
        <v>2830</v>
      </c>
      <c r="H1644" s="2" t="s">
        <v>88</v>
      </c>
      <c r="I1644" s="4">
        <v>0</v>
      </c>
      <c r="J1644" s="5">
        <v>710000000</v>
      </c>
      <c r="K1644" s="5" t="s">
        <v>89</v>
      </c>
      <c r="L1644" s="2" t="s">
        <v>754</v>
      </c>
      <c r="M1644" s="6" t="s">
        <v>682</v>
      </c>
      <c r="N1644" s="7" t="s">
        <v>92</v>
      </c>
      <c r="O1644" s="7" t="s">
        <v>93</v>
      </c>
      <c r="P1644" s="3" t="s">
        <v>673</v>
      </c>
      <c r="Q1644" s="8">
        <v>796</v>
      </c>
      <c r="R1644" s="7" t="s">
        <v>118</v>
      </c>
      <c r="S1644" s="9">
        <v>2</v>
      </c>
      <c r="T1644" s="9">
        <v>2893.3</v>
      </c>
      <c r="U1644" s="9">
        <f t="shared" ref="U1644" si="1271">T1644*S1644</f>
        <v>5786.6</v>
      </c>
      <c r="V1644" s="9">
        <f t="shared" ref="V1644" si="1272">U1644*1.12</f>
        <v>6480.9920000000011</v>
      </c>
      <c r="W1644" s="7"/>
      <c r="X1644" s="2">
        <v>2016</v>
      </c>
      <c r="Y1644" s="2"/>
    </row>
    <row r="1645" spans="1:25" s="20" customFormat="1" ht="89.25" customHeight="1" outlineLevel="1" x14ac:dyDescent="0.25">
      <c r="A1645" s="1"/>
      <c r="B1645" s="2" t="s">
        <v>6324</v>
      </c>
      <c r="C1645" s="3" t="s">
        <v>83</v>
      </c>
      <c r="D1645" s="19" t="s">
        <v>2823</v>
      </c>
      <c r="E1645" s="19" t="s">
        <v>2800</v>
      </c>
      <c r="F1645" s="19" t="s">
        <v>2824</v>
      </c>
      <c r="G1645" s="19" t="s">
        <v>2831</v>
      </c>
      <c r="H1645" s="2" t="s">
        <v>88</v>
      </c>
      <c r="I1645" s="4">
        <v>0.4</v>
      </c>
      <c r="J1645" s="5">
        <v>710000000</v>
      </c>
      <c r="K1645" s="5" t="s">
        <v>89</v>
      </c>
      <c r="L1645" s="2" t="s">
        <v>754</v>
      </c>
      <c r="M1645" s="6" t="s">
        <v>682</v>
      </c>
      <c r="N1645" s="7" t="s">
        <v>92</v>
      </c>
      <c r="O1645" s="7" t="s">
        <v>93</v>
      </c>
      <c r="P1645" s="3" t="s">
        <v>94</v>
      </c>
      <c r="Q1645" s="8">
        <v>796</v>
      </c>
      <c r="R1645" s="7" t="s">
        <v>118</v>
      </c>
      <c r="S1645" s="9">
        <v>1</v>
      </c>
      <c r="T1645" s="9">
        <v>2697.32</v>
      </c>
      <c r="U1645" s="9">
        <v>0</v>
      </c>
      <c r="V1645" s="9">
        <f t="shared" si="1228"/>
        <v>0</v>
      </c>
      <c r="W1645" s="7" t="s">
        <v>97</v>
      </c>
      <c r="X1645" s="2">
        <v>2016</v>
      </c>
      <c r="Y1645" s="2" t="s">
        <v>7793</v>
      </c>
    </row>
    <row r="1646" spans="1:25" s="20" customFormat="1" ht="89.25" customHeight="1" outlineLevel="1" x14ac:dyDescent="0.25">
      <c r="A1646" s="1"/>
      <c r="B1646" s="2" t="s">
        <v>8200</v>
      </c>
      <c r="C1646" s="3" t="s">
        <v>83</v>
      </c>
      <c r="D1646" s="19" t="s">
        <v>2823</v>
      </c>
      <c r="E1646" s="19" t="s">
        <v>2800</v>
      </c>
      <c r="F1646" s="19" t="s">
        <v>2824</v>
      </c>
      <c r="G1646" s="19" t="s">
        <v>2831</v>
      </c>
      <c r="H1646" s="2" t="s">
        <v>88</v>
      </c>
      <c r="I1646" s="4">
        <v>0</v>
      </c>
      <c r="J1646" s="5">
        <v>710000000</v>
      </c>
      <c r="K1646" s="5" t="s">
        <v>89</v>
      </c>
      <c r="L1646" s="2" t="s">
        <v>754</v>
      </c>
      <c r="M1646" s="6" t="s">
        <v>682</v>
      </c>
      <c r="N1646" s="7" t="s">
        <v>92</v>
      </c>
      <c r="O1646" s="7" t="s">
        <v>93</v>
      </c>
      <c r="P1646" s="3" t="s">
        <v>673</v>
      </c>
      <c r="Q1646" s="8">
        <v>796</v>
      </c>
      <c r="R1646" s="7" t="s">
        <v>118</v>
      </c>
      <c r="S1646" s="9">
        <v>1</v>
      </c>
      <c r="T1646" s="9">
        <v>2697.32</v>
      </c>
      <c r="U1646" s="9">
        <f t="shared" ref="U1646" si="1273">T1646*S1646</f>
        <v>2697.32</v>
      </c>
      <c r="V1646" s="9">
        <f t="shared" ref="V1646" si="1274">U1646*1.12</f>
        <v>3020.9984000000004</v>
      </c>
      <c r="W1646" s="7"/>
      <c r="X1646" s="2">
        <v>2016</v>
      </c>
      <c r="Y1646" s="2"/>
    </row>
    <row r="1647" spans="1:25" s="20" customFormat="1" ht="89.25" customHeight="1" outlineLevel="1" x14ac:dyDescent="0.25">
      <c r="A1647" s="1"/>
      <c r="B1647" s="2" t="s">
        <v>6325</v>
      </c>
      <c r="C1647" s="3" t="s">
        <v>83</v>
      </c>
      <c r="D1647" s="19" t="s">
        <v>2823</v>
      </c>
      <c r="E1647" s="19" t="s">
        <v>2800</v>
      </c>
      <c r="F1647" s="19" t="s">
        <v>2824</v>
      </c>
      <c r="G1647" s="19" t="s">
        <v>3065</v>
      </c>
      <c r="H1647" s="2" t="s">
        <v>88</v>
      </c>
      <c r="I1647" s="4">
        <v>0.4</v>
      </c>
      <c r="J1647" s="5">
        <v>710000000</v>
      </c>
      <c r="K1647" s="5" t="s">
        <v>89</v>
      </c>
      <c r="L1647" s="2" t="s">
        <v>754</v>
      </c>
      <c r="M1647" s="6" t="s">
        <v>682</v>
      </c>
      <c r="N1647" s="7" t="s">
        <v>92</v>
      </c>
      <c r="O1647" s="7" t="s">
        <v>93</v>
      </c>
      <c r="P1647" s="3" t="s">
        <v>94</v>
      </c>
      <c r="Q1647" s="8">
        <v>796</v>
      </c>
      <c r="R1647" s="7" t="s">
        <v>118</v>
      </c>
      <c r="S1647" s="9">
        <v>1</v>
      </c>
      <c r="T1647" s="9">
        <v>10445.530000000001</v>
      </c>
      <c r="U1647" s="9">
        <v>0</v>
      </c>
      <c r="V1647" s="9">
        <f t="shared" si="1228"/>
        <v>0</v>
      </c>
      <c r="W1647" s="7" t="s">
        <v>97</v>
      </c>
      <c r="X1647" s="2">
        <v>2016</v>
      </c>
      <c r="Y1647" s="2" t="s">
        <v>7793</v>
      </c>
    </row>
    <row r="1648" spans="1:25" s="20" customFormat="1" ht="89.25" customHeight="1" outlineLevel="1" x14ac:dyDescent="0.25">
      <c r="A1648" s="1"/>
      <c r="B1648" s="2" t="s">
        <v>8201</v>
      </c>
      <c r="C1648" s="3" t="s">
        <v>83</v>
      </c>
      <c r="D1648" s="19" t="s">
        <v>2823</v>
      </c>
      <c r="E1648" s="19" t="s">
        <v>2800</v>
      </c>
      <c r="F1648" s="19" t="s">
        <v>2824</v>
      </c>
      <c r="G1648" s="19" t="s">
        <v>3065</v>
      </c>
      <c r="H1648" s="2" t="s">
        <v>88</v>
      </c>
      <c r="I1648" s="4">
        <v>0</v>
      </c>
      <c r="J1648" s="5">
        <v>710000000</v>
      </c>
      <c r="K1648" s="5" t="s">
        <v>89</v>
      </c>
      <c r="L1648" s="2" t="s">
        <v>754</v>
      </c>
      <c r="M1648" s="6" t="s">
        <v>682</v>
      </c>
      <c r="N1648" s="7" t="s">
        <v>92</v>
      </c>
      <c r="O1648" s="7" t="s">
        <v>93</v>
      </c>
      <c r="P1648" s="3" t="s">
        <v>673</v>
      </c>
      <c r="Q1648" s="8">
        <v>796</v>
      </c>
      <c r="R1648" s="7" t="s">
        <v>118</v>
      </c>
      <c r="S1648" s="9">
        <v>1</v>
      </c>
      <c r="T1648" s="9">
        <v>10445.530000000001</v>
      </c>
      <c r="U1648" s="9">
        <f t="shared" ref="U1648" si="1275">T1648*S1648</f>
        <v>10445.530000000001</v>
      </c>
      <c r="V1648" s="9">
        <f t="shared" ref="V1648" si="1276">U1648*1.12</f>
        <v>11698.993600000002</v>
      </c>
      <c r="W1648" s="7"/>
      <c r="X1648" s="2">
        <v>2016</v>
      </c>
      <c r="Y1648" s="2"/>
    </row>
    <row r="1649" spans="1:25" s="20" customFormat="1" ht="89.25" customHeight="1" outlineLevel="1" x14ac:dyDescent="0.25">
      <c r="A1649" s="1"/>
      <c r="B1649" s="2" t="s">
        <v>6326</v>
      </c>
      <c r="C1649" s="3" t="s">
        <v>83</v>
      </c>
      <c r="D1649" s="19" t="s">
        <v>2823</v>
      </c>
      <c r="E1649" s="19" t="s">
        <v>2800</v>
      </c>
      <c r="F1649" s="19" t="s">
        <v>2824</v>
      </c>
      <c r="G1649" s="19" t="s">
        <v>3066</v>
      </c>
      <c r="H1649" s="2" t="s">
        <v>88</v>
      </c>
      <c r="I1649" s="4">
        <v>0.4</v>
      </c>
      <c r="J1649" s="5">
        <v>710000000</v>
      </c>
      <c r="K1649" s="5" t="s">
        <v>89</v>
      </c>
      <c r="L1649" s="2" t="s">
        <v>754</v>
      </c>
      <c r="M1649" s="6" t="s">
        <v>682</v>
      </c>
      <c r="N1649" s="7" t="s">
        <v>92</v>
      </c>
      <c r="O1649" s="7" t="s">
        <v>93</v>
      </c>
      <c r="P1649" s="3" t="s">
        <v>94</v>
      </c>
      <c r="Q1649" s="8">
        <v>796</v>
      </c>
      <c r="R1649" s="7" t="s">
        <v>118</v>
      </c>
      <c r="S1649" s="9">
        <v>1</v>
      </c>
      <c r="T1649" s="9">
        <v>10445.530000000001</v>
      </c>
      <c r="U1649" s="9">
        <v>0</v>
      </c>
      <c r="V1649" s="9">
        <f t="shared" si="1228"/>
        <v>0</v>
      </c>
      <c r="W1649" s="7" t="s">
        <v>97</v>
      </c>
      <c r="X1649" s="2">
        <v>2016</v>
      </c>
      <c r="Y1649" s="2" t="s">
        <v>7793</v>
      </c>
    </row>
    <row r="1650" spans="1:25" s="20" customFormat="1" ht="89.25" customHeight="1" outlineLevel="1" x14ac:dyDescent="0.25">
      <c r="A1650" s="1"/>
      <c r="B1650" s="2" t="s">
        <v>8202</v>
      </c>
      <c r="C1650" s="3" t="s">
        <v>83</v>
      </c>
      <c r="D1650" s="19" t="s">
        <v>2823</v>
      </c>
      <c r="E1650" s="19" t="s">
        <v>2800</v>
      </c>
      <c r="F1650" s="19" t="s">
        <v>2824</v>
      </c>
      <c r="G1650" s="19" t="s">
        <v>3066</v>
      </c>
      <c r="H1650" s="2" t="s">
        <v>88</v>
      </c>
      <c r="I1650" s="4">
        <v>0</v>
      </c>
      <c r="J1650" s="5">
        <v>710000000</v>
      </c>
      <c r="K1650" s="5" t="s">
        <v>89</v>
      </c>
      <c r="L1650" s="2" t="s">
        <v>754</v>
      </c>
      <c r="M1650" s="6" t="s">
        <v>682</v>
      </c>
      <c r="N1650" s="7" t="s">
        <v>92</v>
      </c>
      <c r="O1650" s="7" t="s">
        <v>93</v>
      </c>
      <c r="P1650" s="3" t="s">
        <v>673</v>
      </c>
      <c r="Q1650" s="8">
        <v>796</v>
      </c>
      <c r="R1650" s="7" t="s">
        <v>118</v>
      </c>
      <c r="S1650" s="9">
        <v>1</v>
      </c>
      <c r="T1650" s="9">
        <v>10445.530000000001</v>
      </c>
      <c r="U1650" s="9">
        <f t="shared" ref="U1650" si="1277">T1650*S1650</f>
        <v>10445.530000000001</v>
      </c>
      <c r="V1650" s="9">
        <f t="shared" ref="V1650" si="1278">U1650*1.12</f>
        <v>11698.993600000002</v>
      </c>
      <c r="W1650" s="7"/>
      <c r="X1650" s="2">
        <v>2016</v>
      </c>
      <c r="Y1650" s="2"/>
    </row>
    <row r="1651" spans="1:25" s="20" customFormat="1" ht="89.25" customHeight="1" outlineLevel="1" x14ac:dyDescent="0.25">
      <c r="A1651" s="1"/>
      <c r="B1651" s="2" t="s">
        <v>6327</v>
      </c>
      <c r="C1651" s="3" t="s">
        <v>83</v>
      </c>
      <c r="D1651" s="19" t="s">
        <v>2770</v>
      </c>
      <c r="E1651" s="19" t="s">
        <v>2763</v>
      </c>
      <c r="F1651" s="19" t="s">
        <v>2771</v>
      </c>
      <c r="G1651" s="19" t="s">
        <v>3067</v>
      </c>
      <c r="H1651" s="2" t="s">
        <v>88</v>
      </c>
      <c r="I1651" s="4">
        <v>0.4</v>
      </c>
      <c r="J1651" s="5">
        <v>710000000</v>
      </c>
      <c r="K1651" s="5" t="s">
        <v>89</v>
      </c>
      <c r="L1651" s="2" t="s">
        <v>754</v>
      </c>
      <c r="M1651" s="6" t="s">
        <v>682</v>
      </c>
      <c r="N1651" s="7" t="s">
        <v>92</v>
      </c>
      <c r="O1651" s="7" t="s">
        <v>93</v>
      </c>
      <c r="P1651" s="3" t="s">
        <v>94</v>
      </c>
      <c r="Q1651" s="8">
        <v>796</v>
      </c>
      <c r="R1651" s="7" t="s">
        <v>118</v>
      </c>
      <c r="S1651" s="9">
        <v>2</v>
      </c>
      <c r="T1651" s="9">
        <v>3197.77</v>
      </c>
      <c r="U1651" s="9">
        <v>0</v>
      </c>
      <c r="V1651" s="9">
        <f t="shared" si="1228"/>
        <v>0</v>
      </c>
      <c r="W1651" s="7" t="s">
        <v>97</v>
      </c>
      <c r="X1651" s="2">
        <v>2016</v>
      </c>
      <c r="Y1651" s="2" t="s">
        <v>7793</v>
      </c>
    </row>
    <row r="1652" spans="1:25" s="20" customFormat="1" ht="89.25" customHeight="1" outlineLevel="1" x14ac:dyDescent="0.25">
      <c r="A1652" s="1"/>
      <c r="B1652" s="2" t="s">
        <v>8203</v>
      </c>
      <c r="C1652" s="3" t="s">
        <v>83</v>
      </c>
      <c r="D1652" s="19" t="s">
        <v>2770</v>
      </c>
      <c r="E1652" s="19" t="s">
        <v>2763</v>
      </c>
      <c r="F1652" s="19" t="s">
        <v>2771</v>
      </c>
      <c r="G1652" s="19" t="s">
        <v>3067</v>
      </c>
      <c r="H1652" s="2" t="s">
        <v>88</v>
      </c>
      <c r="I1652" s="4">
        <v>0</v>
      </c>
      <c r="J1652" s="5">
        <v>710000000</v>
      </c>
      <c r="K1652" s="5" t="s">
        <v>89</v>
      </c>
      <c r="L1652" s="2" t="s">
        <v>754</v>
      </c>
      <c r="M1652" s="6" t="s">
        <v>682</v>
      </c>
      <c r="N1652" s="7" t="s">
        <v>92</v>
      </c>
      <c r="O1652" s="7" t="s">
        <v>93</v>
      </c>
      <c r="P1652" s="3" t="s">
        <v>673</v>
      </c>
      <c r="Q1652" s="8">
        <v>796</v>
      </c>
      <c r="R1652" s="7" t="s">
        <v>118</v>
      </c>
      <c r="S1652" s="9">
        <v>2</v>
      </c>
      <c r="T1652" s="9">
        <v>3197.77</v>
      </c>
      <c r="U1652" s="9">
        <f t="shared" ref="U1652" si="1279">T1652*S1652</f>
        <v>6395.54</v>
      </c>
      <c r="V1652" s="9">
        <f t="shared" ref="V1652" si="1280">U1652*1.12</f>
        <v>7163.0048000000006</v>
      </c>
      <c r="W1652" s="7"/>
      <c r="X1652" s="2">
        <v>2016</v>
      </c>
      <c r="Y1652" s="2"/>
    </row>
    <row r="1653" spans="1:25" s="20" customFormat="1" ht="89.25" customHeight="1" outlineLevel="1" x14ac:dyDescent="0.25">
      <c r="A1653" s="1"/>
      <c r="B1653" s="2" t="s">
        <v>6328</v>
      </c>
      <c r="C1653" s="3" t="s">
        <v>83</v>
      </c>
      <c r="D1653" s="19" t="s">
        <v>2770</v>
      </c>
      <c r="E1653" s="19" t="s">
        <v>2763</v>
      </c>
      <c r="F1653" s="19" t="s">
        <v>2771</v>
      </c>
      <c r="G1653" s="19" t="s">
        <v>3068</v>
      </c>
      <c r="H1653" s="2" t="s">
        <v>88</v>
      </c>
      <c r="I1653" s="4">
        <v>0.4</v>
      </c>
      <c r="J1653" s="5">
        <v>710000000</v>
      </c>
      <c r="K1653" s="5" t="s">
        <v>89</v>
      </c>
      <c r="L1653" s="2" t="s">
        <v>754</v>
      </c>
      <c r="M1653" s="6" t="s">
        <v>682</v>
      </c>
      <c r="N1653" s="7" t="s">
        <v>92</v>
      </c>
      <c r="O1653" s="7" t="s">
        <v>93</v>
      </c>
      <c r="P1653" s="3" t="s">
        <v>94</v>
      </c>
      <c r="Q1653" s="8">
        <v>796</v>
      </c>
      <c r="R1653" s="7" t="s">
        <v>118</v>
      </c>
      <c r="S1653" s="9">
        <v>2</v>
      </c>
      <c r="T1653" s="9">
        <v>3793.3</v>
      </c>
      <c r="U1653" s="9">
        <v>0</v>
      </c>
      <c r="V1653" s="9">
        <f t="shared" si="1228"/>
        <v>0</v>
      </c>
      <c r="W1653" s="7" t="s">
        <v>97</v>
      </c>
      <c r="X1653" s="2">
        <v>2016</v>
      </c>
      <c r="Y1653" s="2" t="s">
        <v>7793</v>
      </c>
    </row>
    <row r="1654" spans="1:25" s="20" customFormat="1" ht="89.25" customHeight="1" outlineLevel="1" x14ac:dyDescent="0.25">
      <c r="A1654" s="1"/>
      <c r="B1654" s="2" t="s">
        <v>8204</v>
      </c>
      <c r="C1654" s="3" t="s">
        <v>83</v>
      </c>
      <c r="D1654" s="19" t="s">
        <v>2770</v>
      </c>
      <c r="E1654" s="19" t="s">
        <v>2763</v>
      </c>
      <c r="F1654" s="19" t="s">
        <v>2771</v>
      </c>
      <c r="G1654" s="19" t="s">
        <v>3068</v>
      </c>
      <c r="H1654" s="2" t="s">
        <v>88</v>
      </c>
      <c r="I1654" s="4">
        <v>0</v>
      </c>
      <c r="J1654" s="5">
        <v>710000000</v>
      </c>
      <c r="K1654" s="5" t="s">
        <v>89</v>
      </c>
      <c r="L1654" s="2" t="s">
        <v>754</v>
      </c>
      <c r="M1654" s="6" t="s">
        <v>682</v>
      </c>
      <c r="N1654" s="7" t="s">
        <v>92</v>
      </c>
      <c r="O1654" s="7" t="s">
        <v>93</v>
      </c>
      <c r="P1654" s="3" t="s">
        <v>673</v>
      </c>
      <c r="Q1654" s="8">
        <v>796</v>
      </c>
      <c r="R1654" s="7" t="s">
        <v>118</v>
      </c>
      <c r="S1654" s="9">
        <v>2</v>
      </c>
      <c r="T1654" s="9">
        <v>3793.3</v>
      </c>
      <c r="U1654" s="9">
        <f t="shared" ref="U1654" si="1281">T1654*S1654</f>
        <v>7586.6</v>
      </c>
      <c r="V1654" s="9">
        <f t="shared" ref="V1654" si="1282">U1654*1.12</f>
        <v>8496.992000000002</v>
      </c>
      <c r="W1654" s="7"/>
      <c r="X1654" s="2">
        <v>2016</v>
      </c>
      <c r="Y1654" s="2"/>
    </row>
    <row r="1655" spans="1:25" s="11" customFormat="1" ht="89.25" customHeight="1" outlineLevel="1" x14ac:dyDescent="0.25">
      <c r="A1655" s="1"/>
      <c r="B1655" s="2" t="s">
        <v>6329</v>
      </c>
      <c r="C1655" s="3" t="s">
        <v>83</v>
      </c>
      <c r="D1655" s="19" t="s">
        <v>2941</v>
      </c>
      <c r="E1655" s="19" t="s">
        <v>2942</v>
      </c>
      <c r="F1655" s="19" t="s">
        <v>2943</v>
      </c>
      <c r="G1655" s="19" t="s">
        <v>3069</v>
      </c>
      <c r="H1655" s="2" t="s">
        <v>88</v>
      </c>
      <c r="I1655" s="4">
        <v>0.4</v>
      </c>
      <c r="J1655" s="5">
        <v>710000000</v>
      </c>
      <c r="K1655" s="5" t="s">
        <v>89</v>
      </c>
      <c r="L1655" s="2" t="s">
        <v>754</v>
      </c>
      <c r="M1655" s="6" t="s">
        <v>682</v>
      </c>
      <c r="N1655" s="7" t="s">
        <v>92</v>
      </c>
      <c r="O1655" s="7" t="s">
        <v>93</v>
      </c>
      <c r="P1655" s="3" t="s">
        <v>94</v>
      </c>
      <c r="Q1655" s="8">
        <v>796</v>
      </c>
      <c r="R1655" s="7" t="s">
        <v>118</v>
      </c>
      <c r="S1655" s="9">
        <v>25</v>
      </c>
      <c r="T1655" s="9">
        <v>84.37</v>
      </c>
      <c r="U1655" s="9">
        <v>0</v>
      </c>
      <c r="V1655" s="9">
        <f t="shared" si="1228"/>
        <v>0</v>
      </c>
      <c r="W1655" s="7" t="s">
        <v>97</v>
      </c>
      <c r="X1655" s="2">
        <v>2016</v>
      </c>
      <c r="Y1655" s="2" t="s">
        <v>7793</v>
      </c>
    </row>
    <row r="1656" spans="1:25" s="11" customFormat="1" ht="89.25" customHeight="1" outlineLevel="1" x14ac:dyDescent="0.25">
      <c r="A1656" s="1"/>
      <c r="B1656" s="2" t="s">
        <v>8205</v>
      </c>
      <c r="C1656" s="3" t="s">
        <v>83</v>
      </c>
      <c r="D1656" s="19" t="s">
        <v>2941</v>
      </c>
      <c r="E1656" s="19" t="s">
        <v>2942</v>
      </c>
      <c r="F1656" s="19" t="s">
        <v>2943</v>
      </c>
      <c r="G1656" s="19" t="s">
        <v>3069</v>
      </c>
      <c r="H1656" s="2" t="s">
        <v>88</v>
      </c>
      <c r="I1656" s="4">
        <v>0</v>
      </c>
      <c r="J1656" s="5">
        <v>710000000</v>
      </c>
      <c r="K1656" s="5" t="s">
        <v>89</v>
      </c>
      <c r="L1656" s="2" t="s">
        <v>754</v>
      </c>
      <c r="M1656" s="6" t="s">
        <v>682</v>
      </c>
      <c r="N1656" s="7" t="s">
        <v>92</v>
      </c>
      <c r="O1656" s="7" t="s">
        <v>93</v>
      </c>
      <c r="P1656" s="3" t="s">
        <v>673</v>
      </c>
      <c r="Q1656" s="8">
        <v>796</v>
      </c>
      <c r="R1656" s="7" t="s">
        <v>118</v>
      </c>
      <c r="S1656" s="9">
        <v>25</v>
      </c>
      <c r="T1656" s="9">
        <v>84.37</v>
      </c>
      <c r="U1656" s="9">
        <f t="shared" ref="U1656" si="1283">T1656*S1656</f>
        <v>2109.25</v>
      </c>
      <c r="V1656" s="9">
        <f t="shared" ref="V1656" si="1284">U1656*1.12</f>
        <v>2362.36</v>
      </c>
      <c r="W1656" s="7"/>
      <c r="X1656" s="2">
        <v>2016</v>
      </c>
      <c r="Y1656" s="2"/>
    </row>
    <row r="1657" spans="1:25" s="11" customFormat="1" ht="89.25" customHeight="1" outlineLevel="1" x14ac:dyDescent="0.25">
      <c r="A1657" s="1"/>
      <c r="B1657" s="2" t="s">
        <v>6330</v>
      </c>
      <c r="C1657" s="3" t="s">
        <v>83</v>
      </c>
      <c r="D1657" s="19" t="s">
        <v>2947</v>
      </c>
      <c r="E1657" s="19" t="s">
        <v>2942</v>
      </c>
      <c r="F1657" s="19" t="s">
        <v>2948</v>
      </c>
      <c r="G1657" s="19" t="s">
        <v>3070</v>
      </c>
      <c r="H1657" s="2" t="s">
        <v>88</v>
      </c>
      <c r="I1657" s="4">
        <v>0.4</v>
      </c>
      <c r="J1657" s="5">
        <v>710000000</v>
      </c>
      <c r="K1657" s="5" t="s">
        <v>89</v>
      </c>
      <c r="L1657" s="2" t="s">
        <v>754</v>
      </c>
      <c r="M1657" s="6" t="s">
        <v>682</v>
      </c>
      <c r="N1657" s="7" t="s">
        <v>92</v>
      </c>
      <c r="O1657" s="7" t="s">
        <v>93</v>
      </c>
      <c r="P1657" s="3" t="s">
        <v>94</v>
      </c>
      <c r="Q1657" s="8">
        <v>796</v>
      </c>
      <c r="R1657" s="7" t="s">
        <v>118</v>
      </c>
      <c r="S1657" s="9">
        <v>10</v>
      </c>
      <c r="T1657" s="9">
        <v>84.37</v>
      </c>
      <c r="U1657" s="9">
        <v>0</v>
      </c>
      <c r="V1657" s="9">
        <f t="shared" si="1228"/>
        <v>0</v>
      </c>
      <c r="W1657" s="7" t="s">
        <v>97</v>
      </c>
      <c r="X1657" s="2">
        <v>2016</v>
      </c>
      <c r="Y1657" s="2" t="s">
        <v>7793</v>
      </c>
    </row>
    <row r="1658" spans="1:25" s="11" customFormat="1" ht="89.25" customHeight="1" outlineLevel="1" x14ac:dyDescent="0.25">
      <c r="A1658" s="1"/>
      <c r="B1658" s="2" t="s">
        <v>8206</v>
      </c>
      <c r="C1658" s="3" t="s">
        <v>83</v>
      </c>
      <c r="D1658" s="19" t="s">
        <v>2947</v>
      </c>
      <c r="E1658" s="19" t="s">
        <v>2942</v>
      </c>
      <c r="F1658" s="19" t="s">
        <v>2948</v>
      </c>
      <c r="G1658" s="19" t="s">
        <v>3070</v>
      </c>
      <c r="H1658" s="2" t="s">
        <v>88</v>
      </c>
      <c r="I1658" s="4">
        <v>0</v>
      </c>
      <c r="J1658" s="5">
        <v>710000000</v>
      </c>
      <c r="K1658" s="5" t="s">
        <v>89</v>
      </c>
      <c r="L1658" s="2" t="s">
        <v>754</v>
      </c>
      <c r="M1658" s="6" t="s">
        <v>682</v>
      </c>
      <c r="N1658" s="7" t="s">
        <v>92</v>
      </c>
      <c r="O1658" s="7" t="s">
        <v>93</v>
      </c>
      <c r="P1658" s="3" t="s">
        <v>673</v>
      </c>
      <c r="Q1658" s="8">
        <v>796</v>
      </c>
      <c r="R1658" s="7" t="s">
        <v>118</v>
      </c>
      <c r="S1658" s="9">
        <v>10</v>
      </c>
      <c r="T1658" s="9">
        <v>84.37</v>
      </c>
      <c r="U1658" s="9">
        <f t="shared" ref="U1658" si="1285">T1658*S1658</f>
        <v>843.7</v>
      </c>
      <c r="V1658" s="9">
        <f t="shared" ref="V1658" si="1286">U1658*1.12</f>
        <v>944.94400000000019</v>
      </c>
      <c r="W1658" s="7"/>
      <c r="X1658" s="2">
        <v>2016</v>
      </c>
      <c r="Y1658" s="2"/>
    </row>
    <row r="1659" spans="1:25" s="11" customFormat="1" ht="89.25" customHeight="1" outlineLevel="1" x14ac:dyDescent="0.25">
      <c r="A1659" s="1"/>
      <c r="B1659" s="2" t="s">
        <v>6331</v>
      </c>
      <c r="C1659" s="3" t="s">
        <v>83</v>
      </c>
      <c r="D1659" s="19" t="s">
        <v>2947</v>
      </c>
      <c r="E1659" s="19" t="s">
        <v>2942</v>
      </c>
      <c r="F1659" s="19" t="s">
        <v>2948</v>
      </c>
      <c r="G1659" s="19" t="s">
        <v>3071</v>
      </c>
      <c r="H1659" s="2" t="s">
        <v>88</v>
      </c>
      <c r="I1659" s="4">
        <v>0.4</v>
      </c>
      <c r="J1659" s="5">
        <v>710000000</v>
      </c>
      <c r="K1659" s="5" t="s">
        <v>89</v>
      </c>
      <c r="L1659" s="2" t="s">
        <v>754</v>
      </c>
      <c r="M1659" s="6" t="s">
        <v>682</v>
      </c>
      <c r="N1659" s="7" t="s">
        <v>92</v>
      </c>
      <c r="O1659" s="7" t="s">
        <v>93</v>
      </c>
      <c r="P1659" s="3" t="s">
        <v>94</v>
      </c>
      <c r="Q1659" s="8">
        <v>796</v>
      </c>
      <c r="R1659" s="7" t="s">
        <v>118</v>
      </c>
      <c r="S1659" s="9">
        <v>5</v>
      </c>
      <c r="T1659" s="9">
        <v>729.02</v>
      </c>
      <c r="U1659" s="9">
        <v>0</v>
      </c>
      <c r="V1659" s="9">
        <f t="shared" si="1228"/>
        <v>0</v>
      </c>
      <c r="W1659" s="7" t="s">
        <v>97</v>
      </c>
      <c r="X1659" s="2">
        <v>2016</v>
      </c>
      <c r="Y1659" s="2" t="s">
        <v>7793</v>
      </c>
    </row>
    <row r="1660" spans="1:25" s="11" customFormat="1" ht="89.25" customHeight="1" outlineLevel="1" x14ac:dyDescent="0.25">
      <c r="A1660" s="1"/>
      <c r="B1660" s="2" t="s">
        <v>8207</v>
      </c>
      <c r="C1660" s="3" t="s">
        <v>83</v>
      </c>
      <c r="D1660" s="19" t="s">
        <v>2947</v>
      </c>
      <c r="E1660" s="19" t="s">
        <v>2942</v>
      </c>
      <c r="F1660" s="19" t="s">
        <v>2948</v>
      </c>
      <c r="G1660" s="19" t="s">
        <v>3071</v>
      </c>
      <c r="H1660" s="2" t="s">
        <v>88</v>
      </c>
      <c r="I1660" s="4">
        <v>0</v>
      </c>
      <c r="J1660" s="5">
        <v>710000000</v>
      </c>
      <c r="K1660" s="5" t="s">
        <v>89</v>
      </c>
      <c r="L1660" s="2" t="s">
        <v>754</v>
      </c>
      <c r="M1660" s="6" t="s">
        <v>682</v>
      </c>
      <c r="N1660" s="7" t="s">
        <v>92</v>
      </c>
      <c r="O1660" s="7" t="s">
        <v>93</v>
      </c>
      <c r="P1660" s="3" t="s">
        <v>673</v>
      </c>
      <c r="Q1660" s="8">
        <v>796</v>
      </c>
      <c r="R1660" s="7" t="s">
        <v>118</v>
      </c>
      <c r="S1660" s="9">
        <v>5</v>
      </c>
      <c r="T1660" s="9">
        <v>729.02</v>
      </c>
      <c r="U1660" s="9">
        <f t="shared" ref="U1660" si="1287">T1660*S1660</f>
        <v>3645.1</v>
      </c>
      <c r="V1660" s="9">
        <f t="shared" ref="V1660" si="1288">U1660*1.12</f>
        <v>4082.5120000000002</v>
      </c>
      <c r="W1660" s="7"/>
      <c r="X1660" s="2">
        <v>2016</v>
      </c>
      <c r="Y1660" s="2"/>
    </row>
    <row r="1661" spans="1:25" s="11" customFormat="1" ht="89.25" customHeight="1" outlineLevel="1" x14ac:dyDescent="0.25">
      <c r="A1661" s="1"/>
      <c r="B1661" s="2" t="s">
        <v>6332</v>
      </c>
      <c r="C1661" s="3" t="s">
        <v>83</v>
      </c>
      <c r="D1661" s="19" t="s">
        <v>2941</v>
      </c>
      <c r="E1661" s="19" t="s">
        <v>2942</v>
      </c>
      <c r="F1661" s="19" t="s">
        <v>2943</v>
      </c>
      <c r="G1661" s="19" t="s">
        <v>3072</v>
      </c>
      <c r="H1661" s="2" t="s">
        <v>88</v>
      </c>
      <c r="I1661" s="4">
        <v>0.4</v>
      </c>
      <c r="J1661" s="5">
        <v>710000000</v>
      </c>
      <c r="K1661" s="5" t="s">
        <v>89</v>
      </c>
      <c r="L1661" s="2" t="s">
        <v>754</v>
      </c>
      <c r="M1661" s="6" t="s">
        <v>682</v>
      </c>
      <c r="N1661" s="7" t="s">
        <v>92</v>
      </c>
      <c r="O1661" s="7" t="s">
        <v>93</v>
      </c>
      <c r="P1661" s="3" t="s">
        <v>94</v>
      </c>
      <c r="Q1661" s="8">
        <v>796</v>
      </c>
      <c r="R1661" s="7" t="s">
        <v>118</v>
      </c>
      <c r="S1661" s="9">
        <v>3</v>
      </c>
      <c r="T1661" s="9">
        <v>108.04</v>
      </c>
      <c r="U1661" s="9">
        <v>0</v>
      </c>
      <c r="V1661" s="9">
        <f t="shared" si="1228"/>
        <v>0</v>
      </c>
      <c r="W1661" s="7" t="s">
        <v>97</v>
      </c>
      <c r="X1661" s="2">
        <v>2016</v>
      </c>
      <c r="Y1661" s="2" t="s">
        <v>7793</v>
      </c>
    </row>
    <row r="1662" spans="1:25" s="11" customFormat="1" ht="89.25" customHeight="1" outlineLevel="1" x14ac:dyDescent="0.25">
      <c r="A1662" s="1"/>
      <c r="B1662" s="2" t="s">
        <v>8208</v>
      </c>
      <c r="C1662" s="3" t="s">
        <v>83</v>
      </c>
      <c r="D1662" s="19" t="s">
        <v>2941</v>
      </c>
      <c r="E1662" s="19" t="s">
        <v>2942</v>
      </c>
      <c r="F1662" s="19" t="s">
        <v>2943</v>
      </c>
      <c r="G1662" s="19" t="s">
        <v>3072</v>
      </c>
      <c r="H1662" s="2" t="s">
        <v>88</v>
      </c>
      <c r="I1662" s="4">
        <v>0</v>
      </c>
      <c r="J1662" s="5">
        <v>710000000</v>
      </c>
      <c r="K1662" s="5" t="s">
        <v>89</v>
      </c>
      <c r="L1662" s="2" t="s">
        <v>754</v>
      </c>
      <c r="M1662" s="6" t="s">
        <v>682</v>
      </c>
      <c r="N1662" s="7" t="s">
        <v>92</v>
      </c>
      <c r="O1662" s="7" t="s">
        <v>93</v>
      </c>
      <c r="P1662" s="3" t="s">
        <v>673</v>
      </c>
      <c r="Q1662" s="8">
        <v>796</v>
      </c>
      <c r="R1662" s="7" t="s">
        <v>118</v>
      </c>
      <c r="S1662" s="9">
        <v>3</v>
      </c>
      <c r="T1662" s="9">
        <v>108.04</v>
      </c>
      <c r="U1662" s="9">
        <f t="shared" ref="U1662" si="1289">T1662*S1662</f>
        <v>324.12</v>
      </c>
      <c r="V1662" s="9">
        <f t="shared" ref="V1662" si="1290">U1662*1.12</f>
        <v>363.01440000000002</v>
      </c>
      <c r="W1662" s="7"/>
      <c r="X1662" s="2">
        <v>2016</v>
      </c>
      <c r="Y1662" s="2"/>
    </row>
    <row r="1663" spans="1:25" s="11" customFormat="1" ht="89.25" customHeight="1" outlineLevel="1" x14ac:dyDescent="0.25">
      <c r="A1663" s="1"/>
      <c r="B1663" s="2" t="s">
        <v>6333</v>
      </c>
      <c r="C1663" s="3" t="s">
        <v>83</v>
      </c>
      <c r="D1663" s="19" t="s">
        <v>2941</v>
      </c>
      <c r="E1663" s="19" t="s">
        <v>2942</v>
      </c>
      <c r="F1663" s="19" t="s">
        <v>2943</v>
      </c>
      <c r="G1663" s="19" t="s">
        <v>3073</v>
      </c>
      <c r="H1663" s="2" t="s">
        <v>88</v>
      </c>
      <c r="I1663" s="4">
        <v>0.4</v>
      </c>
      <c r="J1663" s="5">
        <v>710000000</v>
      </c>
      <c r="K1663" s="5" t="s">
        <v>89</v>
      </c>
      <c r="L1663" s="2" t="s">
        <v>754</v>
      </c>
      <c r="M1663" s="6" t="s">
        <v>682</v>
      </c>
      <c r="N1663" s="7" t="s">
        <v>92</v>
      </c>
      <c r="O1663" s="7" t="s">
        <v>93</v>
      </c>
      <c r="P1663" s="3" t="s">
        <v>94</v>
      </c>
      <c r="Q1663" s="8">
        <v>796</v>
      </c>
      <c r="R1663" s="7" t="s">
        <v>118</v>
      </c>
      <c r="S1663" s="9">
        <v>4</v>
      </c>
      <c r="T1663" s="9">
        <v>235.72</v>
      </c>
      <c r="U1663" s="9">
        <v>0</v>
      </c>
      <c r="V1663" s="9">
        <f t="shared" si="1228"/>
        <v>0</v>
      </c>
      <c r="W1663" s="7" t="s">
        <v>97</v>
      </c>
      <c r="X1663" s="2">
        <v>2016</v>
      </c>
      <c r="Y1663" s="2" t="s">
        <v>7793</v>
      </c>
    </row>
    <row r="1664" spans="1:25" s="11" customFormat="1" ht="89.25" customHeight="1" outlineLevel="1" x14ac:dyDescent="0.25">
      <c r="A1664" s="1"/>
      <c r="B1664" s="2" t="s">
        <v>8209</v>
      </c>
      <c r="C1664" s="3" t="s">
        <v>83</v>
      </c>
      <c r="D1664" s="19" t="s">
        <v>2941</v>
      </c>
      <c r="E1664" s="19" t="s">
        <v>2942</v>
      </c>
      <c r="F1664" s="19" t="s">
        <v>2943</v>
      </c>
      <c r="G1664" s="19" t="s">
        <v>3073</v>
      </c>
      <c r="H1664" s="2" t="s">
        <v>88</v>
      </c>
      <c r="I1664" s="4">
        <v>0</v>
      </c>
      <c r="J1664" s="5">
        <v>710000000</v>
      </c>
      <c r="K1664" s="5" t="s">
        <v>89</v>
      </c>
      <c r="L1664" s="2" t="s">
        <v>754</v>
      </c>
      <c r="M1664" s="6" t="s">
        <v>682</v>
      </c>
      <c r="N1664" s="7" t="s">
        <v>92</v>
      </c>
      <c r="O1664" s="7" t="s">
        <v>93</v>
      </c>
      <c r="P1664" s="3" t="s">
        <v>673</v>
      </c>
      <c r="Q1664" s="8">
        <v>796</v>
      </c>
      <c r="R1664" s="7" t="s">
        <v>118</v>
      </c>
      <c r="S1664" s="9">
        <v>4</v>
      </c>
      <c r="T1664" s="9">
        <v>235.72</v>
      </c>
      <c r="U1664" s="9">
        <f t="shared" ref="U1664" si="1291">T1664*S1664</f>
        <v>942.88</v>
      </c>
      <c r="V1664" s="9">
        <f t="shared" ref="V1664" si="1292">U1664*1.12</f>
        <v>1056.0256000000002</v>
      </c>
      <c r="W1664" s="7"/>
      <c r="X1664" s="2">
        <v>2016</v>
      </c>
      <c r="Y1664" s="2"/>
    </row>
    <row r="1665" spans="1:25" s="11" customFormat="1" ht="89.25" customHeight="1" outlineLevel="1" x14ac:dyDescent="0.25">
      <c r="A1665" s="1"/>
      <c r="B1665" s="2" t="s">
        <v>6334</v>
      </c>
      <c r="C1665" s="3" t="s">
        <v>83</v>
      </c>
      <c r="D1665" s="19" t="s">
        <v>2937</v>
      </c>
      <c r="E1665" s="19" t="s">
        <v>2938</v>
      </c>
      <c r="F1665" s="19" t="s">
        <v>2939</v>
      </c>
      <c r="G1665" s="19" t="s">
        <v>3074</v>
      </c>
      <c r="H1665" s="2" t="s">
        <v>88</v>
      </c>
      <c r="I1665" s="4">
        <v>0.4</v>
      </c>
      <c r="J1665" s="5">
        <v>710000000</v>
      </c>
      <c r="K1665" s="5" t="s">
        <v>89</v>
      </c>
      <c r="L1665" s="2" t="s">
        <v>754</v>
      </c>
      <c r="M1665" s="6" t="s">
        <v>682</v>
      </c>
      <c r="N1665" s="7" t="s">
        <v>92</v>
      </c>
      <c r="O1665" s="7" t="s">
        <v>93</v>
      </c>
      <c r="P1665" s="3" t="s">
        <v>94</v>
      </c>
      <c r="Q1665" s="8" t="s">
        <v>117</v>
      </c>
      <c r="R1665" s="7" t="s">
        <v>118</v>
      </c>
      <c r="S1665" s="9">
        <v>1</v>
      </c>
      <c r="T1665" s="9">
        <v>47.32</v>
      </c>
      <c r="U1665" s="9">
        <v>0</v>
      </c>
      <c r="V1665" s="9">
        <f t="shared" si="1228"/>
        <v>0</v>
      </c>
      <c r="W1665" s="7" t="s">
        <v>97</v>
      </c>
      <c r="X1665" s="2">
        <v>2016</v>
      </c>
      <c r="Y1665" s="2" t="s">
        <v>7793</v>
      </c>
    </row>
    <row r="1666" spans="1:25" s="11" customFormat="1" ht="89.25" customHeight="1" outlineLevel="1" x14ac:dyDescent="0.25">
      <c r="A1666" s="1"/>
      <c r="B1666" s="2" t="s">
        <v>8210</v>
      </c>
      <c r="C1666" s="3" t="s">
        <v>83</v>
      </c>
      <c r="D1666" s="19" t="s">
        <v>2937</v>
      </c>
      <c r="E1666" s="19" t="s">
        <v>2938</v>
      </c>
      <c r="F1666" s="19" t="s">
        <v>2939</v>
      </c>
      <c r="G1666" s="19" t="s">
        <v>3074</v>
      </c>
      <c r="H1666" s="2" t="s">
        <v>88</v>
      </c>
      <c r="I1666" s="4">
        <v>0</v>
      </c>
      <c r="J1666" s="5">
        <v>710000000</v>
      </c>
      <c r="K1666" s="5" t="s">
        <v>89</v>
      </c>
      <c r="L1666" s="2" t="s">
        <v>754</v>
      </c>
      <c r="M1666" s="6" t="s">
        <v>682</v>
      </c>
      <c r="N1666" s="7" t="s">
        <v>92</v>
      </c>
      <c r="O1666" s="7" t="s">
        <v>93</v>
      </c>
      <c r="P1666" s="3" t="s">
        <v>673</v>
      </c>
      <c r="Q1666" s="8" t="s">
        <v>117</v>
      </c>
      <c r="R1666" s="7" t="s">
        <v>118</v>
      </c>
      <c r="S1666" s="9">
        <v>1</v>
      </c>
      <c r="T1666" s="9">
        <v>47.32</v>
      </c>
      <c r="U1666" s="9">
        <f t="shared" ref="U1666" si="1293">T1666*S1666</f>
        <v>47.32</v>
      </c>
      <c r="V1666" s="9">
        <f t="shared" ref="V1666" si="1294">U1666*1.12</f>
        <v>52.998400000000004</v>
      </c>
      <c r="W1666" s="7"/>
      <c r="X1666" s="2">
        <v>2016</v>
      </c>
      <c r="Y1666" s="2"/>
    </row>
    <row r="1667" spans="1:25" s="11" customFormat="1" ht="89.25" customHeight="1" outlineLevel="1" x14ac:dyDescent="0.25">
      <c r="A1667" s="1"/>
      <c r="B1667" s="2" t="s">
        <v>6335</v>
      </c>
      <c r="C1667" s="3" t="s">
        <v>83</v>
      </c>
      <c r="D1667" s="19" t="s">
        <v>2937</v>
      </c>
      <c r="E1667" s="19" t="s">
        <v>2938</v>
      </c>
      <c r="F1667" s="19" t="s">
        <v>2939</v>
      </c>
      <c r="G1667" s="19" t="s">
        <v>3075</v>
      </c>
      <c r="H1667" s="2" t="s">
        <v>88</v>
      </c>
      <c r="I1667" s="4">
        <v>0.4</v>
      </c>
      <c r="J1667" s="5">
        <v>710000000</v>
      </c>
      <c r="K1667" s="5" t="s">
        <v>89</v>
      </c>
      <c r="L1667" s="2" t="s">
        <v>754</v>
      </c>
      <c r="M1667" s="6" t="s">
        <v>682</v>
      </c>
      <c r="N1667" s="7" t="s">
        <v>92</v>
      </c>
      <c r="O1667" s="7" t="s">
        <v>93</v>
      </c>
      <c r="P1667" s="3" t="s">
        <v>94</v>
      </c>
      <c r="Q1667" s="8" t="s">
        <v>117</v>
      </c>
      <c r="R1667" s="7" t="s">
        <v>118</v>
      </c>
      <c r="S1667" s="9">
        <v>1</v>
      </c>
      <c r="T1667" s="9">
        <v>47.32</v>
      </c>
      <c r="U1667" s="9">
        <v>0</v>
      </c>
      <c r="V1667" s="9">
        <f t="shared" si="1228"/>
        <v>0</v>
      </c>
      <c r="W1667" s="7" t="s">
        <v>97</v>
      </c>
      <c r="X1667" s="2">
        <v>2016</v>
      </c>
      <c r="Y1667" s="2" t="s">
        <v>7793</v>
      </c>
    </row>
    <row r="1668" spans="1:25" s="11" customFormat="1" ht="89.25" customHeight="1" outlineLevel="1" x14ac:dyDescent="0.25">
      <c r="A1668" s="1"/>
      <c r="B1668" s="2" t="s">
        <v>8211</v>
      </c>
      <c r="C1668" s="3" t="s">
        <v>83</v>
      </c>
      <c r="D1668" s="19" t="s">
        <v>2937</v>
      </c>
      <c r="E1668" s="19" t="s">
        <v>2938</v>
      </c>
      <c r="F1668" s="19" t="s">
        <v>2939</v>
      </c>
      <c r="G1668" s="19" t="s">
        <v>3075</v>
      </c>
      <c r="H1668" s="2" t="s">
        <v>88</v>
      </c>
      <c r="I1668" s="4">
        <v>0</v>
      </c>
      <c r="J1668" s="5">
        <v>710000000</v>
      </c>
      <c r="K1668" s="5" t="s">
        <v>89</v>
      </c>
      <c r="L1668" s="2" t="s">
        <v>754</v>
      </c>
      <c r="M1668" s="6" t="s">
        <v>682</v>
      </c>
      <c r="N1668" s="7" t="s">
        <v>92</v>
      </c>
      <c r="O1668" s="7" t="s">
        <v>93</v>
      </c>
      <c r="P1668" s="3" t="s">
        <v>673</v>
      </c>
      <c r="Q1668" s="8" t="s">
        <v>117</v>
      </c>
      <c r="R1668" s="7" t="s">
        <v>118</v>
      </c>
      <c r="S1668" s="9">
        <v>1</v>
      </c>
      <c r="T1668" s="9">
        <v>47.32</v>
      </c>
      <c r="U1668" s="9">
        <f t="shared" ref="U1668" si="1295">T1668*S1668</f>
        <v>47.32</v>
      </c>
      <c r="V1668" s="9">
        <f t="shared" ref="V1668" si="1296">U1668*1.12</f>
        <v>52.998400000000004</v>
      </c>
      <c r="W1668" s="7"/>
      <c r="X1668" s="2">
        <v>2016</v>
      </c>
      <c r="Y1668" s="2"/>
    </row>
    <row r="1669" spans="1:25" s="11" customFormat="1" ht="89.25" customHeight="1" outlineLevel="1" x14ac:dyDescent="0.25">
      <c r="A1669" s="1"/>
      <c r="B1669" s="2" t="s">
        <v>6336</v>
      </c>
      <c r="C1669" s="3" t="s">
        <v>83</v>
      </c>
      <c r="D1669" s="19" t="s">
        <v>2937</v>
      </c>
      <c r="E1669" s="19" t="s">
        <v>2938</v>
      </c>
      <c r="F1669" s="19" t="s">
        <v>2939</v>
      </c>
      <c r="G1669" s="19" t="s">
        <v>3076</v>
      </c>
      <c r="H1669" s="2" t="s">
        <v>88</v>
      </c>
      <c r="I1669" s="4">
        <v>0.4</v>
      </c>
      <c r="J1669" s="5">
        <v>710000000</v>
      </c>
      <c r="K1669" s="5" t="s">
        <v>89</v>
      </c>
      <c r="L1669" s="2" t="s">
        <v>754</v>
      </c>
      <c r="M1669" s="6" t="s">
        <v>682</v>
      </c>
      <c r="N1669" s="7" t="s">
        <v>92</v>
      </c>
      <c r="O1669" s="7" t="s">
        <v>93</v>
      </c>
      <c r="P1669" s="3" t="s">
        <v>94</v>
      </c>
      <c r="Q1669" s="8" t="s">
        <v>117</v>
      </c>
      <c r="R1669" s="7" t="s">
        <v>118</v>
      </c>
      <c r="S1669" s="9">
        <v>10</v>
      </c>
      <c r="T1669" s="9">
        <v>131.91999999999999</v>
      </c>
      <c r="U1669" s="9">
        <v>0</v>
      </c>
      <c r="V1669" s="9">
        <f t="shared" si="1228"/>
        <v>0</v>
      </c>
      <c r="W1669" s="7" t="s">
        <v>97</v>
      </c>
      <c r="X1669" s="2">
        <v>2016</v>
      </c>
      <c r="Y1669" s="2" t="s">
        <v>7793</v>
      </c>
    </row>
    <row r="1670" spans="1:25" s="11" customFormat="1" ht="89.25" customHeight="1" outlineLevel="1" x14ac:dyDescent="0.25">
      <c r="A1670" s="1"/>
      <c r="B1670" s="2" t="s">
        <v>8212</v>
      </c>
      <c r="C1670" s="3" t="s">
        <v>83</v>
      </c>
      <c r="D1670" s="19" t="s">
        <v>2937</v>
      </c>
      <c r="E1670" s="19" t="s">
        <v>2938</v>
      </c>
      <c r="F1670" s="19" t="s">
        <v>2939</v>
      </c>
      <c r="G1670" s="19" t="s">
        <v>3076</v>
      </c>
      <c r="H1670" s="2" t="s">
        <v>88</v>
      </c>
      <c r="I1670" s="4">
        <v>0</v>
      </c>
      <c r="J1670" s="5">
        <v>710000000</v>
      </c>
      <c r="K1670" s="5" t="s">
        <v>89</v>
      </c>
      <c r="L1670" s="2" t="s">
        <v>754</v>
      </c>
      <c r="M1670" s="6" t="s">
        <v>682</v>
      </c>
      <c r="N1670" s="7" t="s">
        <v>92</v>
      </c>
      <c r="O1670" s="7" t="s">
        <v>93</v>
      </c>
      <c r="P1670" s="3" t="s">
        <v>673</v>
      </c>
      <c r="Q1670" s="8" t="s">
        <v>117</v>
      </c>
      <c r="R1670" s="7" t="s">
        <v>118</v>
      </c>
      <c r="S1670" s="9">
        <v>10</v>
      </c>
      <c r="T1670" s="9">
        <v>131.91999999999999</v>
      </c>
      <c r="U1670" s="9">
        <f t="shared" ref="U1670" si="1297">T1670*S1670</f>
        <v>1319.1999999999998</v>
      </c>
      <c r="V1670" s="9">
        <f t="shared" ref="V1670" si="1298">U1670*1.12</f>
        <v>1477.5039999999999</v>
      </c>
      <c r="W1670" s="7"/>
      <c r="X1670" s="2">
        <v>2016</v>
      </c>
      <c r="Y1670" s="2"/>
    </row>
    <row r="1671" spans="1:25" s="11" customFormat="1" ht="89.25" customHeight="1" outlineLevel="1" x14ac:dyDescent="0.25">
      <c r="A1671" s="1"/>
      <c r="B1671" s="2" t="s">
        <v>6337</v>
      </c>
      <c r="C1671" s="3" t="s">
        <v>83</v>
      </c>
      <c r="D1671" s="19" t="s">
        <v>3077</v>
      </c>
      <c r="E1671" s="19" t="s">
        <v>2938</v>
      </c>
      <c r="F1671" s="19" t="s">
        <v>3078</v>
      </c>
      <c r="G1671" s="19" t="s">
        <v>3079</v>
      </c>
      <c r="H1671" s="2" t="s">
        <v>88</v>
      </c>
      <c r="I1671" s="4">
        <v>0.4</v>
      </c>
      <c r="J1671" s="5">
        <v>710000000</v>
      </c>
      <c r="K1671" s="5" t="s">
        <v>89</v>
      </c>
      <c r="L1671" s="2" t="s">
        <v>754</v>
      </c>
      <c r="M1671" s="6" t="s">
        <v>682</v>
      </c>
      <c r="N1671" s="7" t="s">
        <v>92</v>
      </c>
      <c r="O1671" s="7" t="s">
        <v>93</v>
      </c>
      <c r="P1671" s="3" t="s">
        <v>94</v>
      </c>
      <c r="Q1671" s="8" t="s">
        <v>117</v>
      </c>
      <c r="R1671" s="7" t="s">
        <v>118</v>
      </c>
      <c r="S1671" s="9">
        <v>10</v>
      </c>
      <c r="T1671" s="9">
        <v>150.44999999999999</v>
      </c>
      <c r="U1671" s="9">
        <v>0</v>
      </c>
      <c r="V1671" s="9">
        <f t="shared" si="1228"/>
        <v>0</v>
      </c>
      <c r="W1671" s="7" t="s">
        <v>97</v>
      </c>
      <c r="X1671" s="2">
        <v>2016</v>
      </c>
      <c r="Y1671" s="2" t="s">
        <v>7793</v>
      </c>
    </row>
    <row r="1672" spans="1:25" s="11" customFormat="1" ht="89.25" customHeight="1" outlineLevel="1" x14ac:dyDescent="0.25">
      <c r="A1672" s="1"/>
      <c r="B1672" s="2" t="s">
        <v>8213</v>
      </c>
      <c r="C1672" s="3" t="s">
        <v>83</v>
      </c>
      <c r="D1672" s="19" t="s">
        <v>3077</v>
      </c>
      <c r="E1672" s="19" t="s">
        <v>2938</v>
      </c>
      <c r="F1672" s="19" t="s">
        <v>3078</v>
      </c>
      <c r="G1672" s="19" t="s">
        <v>3079</v>
      </c>
      <c r="H1672" s="2" t="s">
        <v>88</v>
      </c>
      <c r="I1672" s="4">
        <v>0</v>
      </c>
      <c r="J1672" s="5">
        <v>710000000</v>
      </c>
      <c r="K1672" s="5" t="s">
        <v>89</v>
      </c>
      <c r="L1672" s="2" t="s">
        <v>754</v>
      </c>
      <c r="M1672" s="6" t="s">
        <v>682</v>
      </c>
      <c r="N1672" s="7" t="s">
        <v>92</v>
      </c>
      <c r="O1672" s="7" t="s">
        <v>93</v>
      </c>
      <c r="P1672" s="3" t="s">
        <v>673</v>
      </c>
      <c r="Q1672" s="8" t="s">
        <v>117</v>
      </c>
      <c r="R1672" s="7" t="s">
        <v>118</v>
      </c>
      <c r="S1672" s="9">
        <v>10</v>
      </c>
      <c r="T1672" s="9">
        <v>150.44999999999999</v>
      </c>
      <c r="U1672" s="9">
        <f t="shared" ref="U1672" si="1299">T1672*S1672</f>
        <v>1504.5</v>
      </c>
      <c r="V1672" s="9">
        <f t="shared" ref="V1672" si="1300">U1672*1.12</f>
        <v>1685.0400000000002</v>
      </c>
      <c r="W1672" s="7"/>
      <c r="X1672" s="2">
        <v>2016</v>
      </c>
      <c r="Y1672" s="2"/>
    </row>
    <row r="1673" spans="1:25" s="11" customFormat="1" ht="89.25" customHeight="1" outlineLevel="1" x14ac:dyDescent="0.25">
      <c r="A1673" s="1"/>
      <c r="B1673" s="2" t="s">
        <v>6338</v>
      </c>
      <c r="C1673" s="3" t="s">
        <v>83</v>
      </c>
      <c r="D1673" s="19" t="s">
        <v>2774</v>
      </c>
      <c r="E1673" s="19" t="s">
        <v>2775</v>
      </c>
      <c r="F1673" s="19" t="s">
        <v>2776</v>
      </c>
      <c r="G1673" s="19" t="s">
        <v>3080</v>
      </c>
      <c r="H1673" s="2" t="s">
        <v>88</v>
      </c>
      <c r="I1673" s="4">
        <v>0.4</v>
      </c>
      <c r="J1673" s="5">
        <v>710000000</v>
      </c>
      <c r="K1673" s="5" t="s">
        <v>89</v>
      </c>
      <c r="L1673" s="2" t="s">
        <v>754</v>
      </c>
      <c r="M1673" s="6" t="s">
        <v>682</v>
      </c>
      <c r="N1673" s="7" t="s">
        <v>92</v>
      </c>
      <c r="O1673" s="7" t="s">
        <v>93</v>
      </c>
      <c r="P1673" s="3" t="s">
        <v>94</v>
      </c>
      <c r="Q1673" s="8">
        <v>796</v>
      </c>
      <c r="R1673" s="7" t="s">
        <v>118</v>
      </c>
      <c r="S1673" s="9">
        <v>5</v>
      </c>
      <c r="T1673" s="9">
        <v>2247.77</v>
      </c>
      <c r="U1673" s="9">
        <v>0</v>
      </c>
      <c r="V1673" s="9">
        <f t="shared" si="1228"/>
        <v>0</v>
      </c>
      <c r="W1673" s="7" t="s">
        <v>97</v>
      </c>
      <c r="X1673" s="2">
        <v>2016</v>
      </c>
      <c r="Y1673" s="2" t="s">
        <v>7793</v>
      </c>
    </row>
    <row r="1674" spans="1:25" s="11" customFormat="1" ht="89.25" customHeight="1" outlineLevel="1" x14ac:dyDescent="0.25">
      <c r="A1674" s="1"/>
      <c r="B1674" s="2" t="s">
        <v>8214</v>
      </c>
      <c r="C1674" s="3" t="s">
        <v>83</v>
      </c>
      <c r="D1674" s="19" t="s">
        <v>2774</v>
      </c>
      <c r="E1674" s="19" t="s">
        <v>2775</v>
      </c>
      <c r="F1674" s="19" t="s">
        <v>2776</v>
      </c>
      <c r="G1674" s="19" t="s">
        <v>3080</v>
      </c>
      <c r="H1674" s="2" t="s">
        <v>88</v>
      </c>
      <c r="I1674" s="4">
        <v>0</v>
      </c>
      <c r="J1674" s="5">
        <v>710000000</v>
      </c>
      <c r="K1674" s="5" t="s">
        <v>89</v>
      </c>
      <c r="L1674" s="2" t="s">
        <v>754</v>
      </c>
      <c r="M1674" s="6" t="s">
        <v>682</v>
      </c>
      <c r="N1674" s="7" t="s">
        <v>92</v>
      </c>
      <c r="O1674" s="7" t="s">
        <v>93</v>
      </c>
      <c r="P1674" s="3" t="s">
        <v>673</v>
      </c>
      <c r="Q1674" s="8">
        <v>796</v>
      </c>
      <c r="R1674" s="7" t="s">
        <v>118</v>
      </c>
      <c r="S1674" s="9">
        <v>5</v>
      </c>
      <c r="T1674" s="9">
        <v>2247.77</v>
      </c>
      <c r="U1674" s="9">
        <f t="shared" ref="U1674" si="1301">T1674*S1674</f>
        <v>11238.85</v>
      </c>
      <c r="V1674" s="9">
        <f t="shared" ref="V1674" si="1302">U1674*1.12</f>
        <v>12587.512000000002</v>
      </c>
      <c r="W1674" s="7"/>
      <c r="X1674" s="2">
        <v>2016</v>
      </c>
      <c r="Y1674" s="2"/>
    </row>
    <row r="1675" spans="1:25" s="11" customFormat="1" ht="89.25" customHeight="1" outlineLevel="1" x14ac:dyDescent="0.25">
      <c r="A1675" s="1"/>
      <c r="B1675" s="2" t="s">
        <v>6339</v>
      </c>
      <c r="C1675" s="3" t="s">
        <v>83</v>
      </c>
      <c r="D1675" s="19" t="s">
        <v>3081</v>
      </c>
      <c r="E1675" s="19" t="s">
        <v>3082</v>
      </c>
      <c r="F1675" s="19" t="s">
        <v>3083</v>
      </c>
      <c r="G1675" s="19" t="s">
        <v>3084</v>
      </c>
      <c r="H1675" s="2" t="s">
        <v>88</v>
      </c>
      <c r="I1675" s="4">
        <v>0.4</v>
      </c>
      <c r="J1675" s="5">
        <v>710000000</v>
      </c>
      <c r="K1675" s="5" t="s">
        <v>89</v>
      </c>
      <c r="L1675" s="2" t="s">
        <v>754</v>
      </c>
      <c r="M1675" s="6" t="s">
        <v>682</v>
      </c>
      <c r="N1675" s="7" t="s">
        <v>92</v>
      </c>
      <c r="O1675" s="7" t="s">
        <v>93</v>
      </c>
      <c r="P1675" s="3" t="s">
        <v>94</v>
      </c>
      <c r="Q1675" s="8" t="s">
        <v>3085</v>
      </c>
      <c r="R1675" s="7" t="s">
        <v>3086</v>
      </c>
      <c r="S1675" s="9">
        <v>10</v>
      </c>
      <c r="T1675" s="9">
        <v>79.91</v>
      </c>
      <c r="U1675" s="9">
        <v>0</v>
      </c>
      <c r="V1675" s="9">
        <f t="shared" si="1228"/>
        <v>0</v>
      </c>
      <c r="W1675" s="7" t="s">
        <v>97</v>
      </c>
      <c r="X1675" s="2">
        <v>2016</v>
      </c>
      <c r="Y1675" s="2" t="s">
        <v>7793</v>
      </c>
    </row>
    <row r="1676" spans="1:25" s="11" customFormat="1" ht="89.25" customHeight="1" outlineLevel="1" x14ac:dyDescent="0.25">
      <c r="A1676" s="1"/>
      <c r="B1676" s="2" t="s">
        <v>8215</v>
      </c>
      <c r="C1676" s="3" t="s">
        <v>83</v>
      </c>
      <c r="D1676" s="19" t="s">
        <v>3081</v>
      </c>
      <c r="E1676" s="19" t="s">
        <v>3082</v>
      </c>
      <c r="F1676" s="19" t="s">
        <v>3083</v>
      </c>
      <c r="G1676" s="19" t="s">
        <v>3084</v>
      </c>
      <c r="H1676" s="2" t="s">
        <v>88</v>
      </c>
      <c r="I1676" s="4">
        <v>0</v>
      </c>
      <c r="J1676" s="5">
        <v>710000000</v>
      </c>
      <c r="K1676" s="5" t="s">
        <v>89</v>
      </c>
      <c r="L1676" s="2" t="s">
        <v>754</v>
      </c>
      <c r="M1676" s="6" t="s">
        <v>682</v>
      </c>
      <c r="N1676" s="7" t="s">
        <v>92</v>
      </c>
      <c r="O1676" s="7" t="s">
        <v>93</v>
      </c>
      <c r="P1676" s="3" t="s">
        <v>673</v>
      </c>
      <c r="Q1676" s="8" t="s">
        <v>3085</v>
      </c>
      <c r="R1676" s="7" t="s">
        <v>3086</v>
      </c>
      <c r="S1676" s="9">
        <v>10</v>
      </c>
      <c r="T1676" s="9">
        <v>79.91</v>
      </c>
      <c r="U1676" s="9">
        <f t="shared" ref="U1676" si="1303">T1676*S1676</f>
        <v>799.09999999999991</v>
      </c>
      <c r="V1676" s="9">
        <f t="shared" ref="V1676" si="1304">U1676*1.12</f>
        <v>894.99199999999996</v>
      </c>
      <c r="W1676" s="7"/>
      <c r="X1676" s="2">
        <v>2016</v>
      </c>
      <c r="Y1676" s="2"/>
    </row>
    <row r="1677" spans="1:25" s="11" customFormat="1" ht="89.25" customHeight="1" outlineLevel="1" x14ac:dyDescent="0.25">
      <c r="A1677" s="1"/>
      <c r="B1677" s="2" t="s">
        <v>6340</v>
      </c>
      <c r="C1677" s="3" t="s">
        <v>83</v>
      </c>
      <c r="D1677" s="19" t="s">
        <v>3081</v>
      </c>
      <c r="E1677" s="19" t="s">
        <v>3082</v>
      </c>
      <c r="F1677" s="19" t="s">
        <v>3083</v>
      </c>
      <c r="G1677" s="19" t="s">
        <v>3087</v>
      </c>
      <c r="H1677" s="2" t="s">
        <v>88</v>
      </c>
      <c r="I1677" s="4">
        <v>0.4</v>
      </c>
      <c r="J1677" s="5">
        <v>710000000</v>
      </c>
      <c r="K1677" s="5" t="s">
        <v>89</v>
      </c>
      <c r="L1677" s="2" t="s">
        <v>754</v>
      </c>
      <c r="M1677" s="6" t="s">
        <v>682</v>
      </c>
      <c r="N1677" s="7" t="s">
        <v>92</v>
      </c>
      <c r="O1677" s="7" t="s">
        <v>93</v>
      </c>
      <c r="P1677" s="3" t="s">
        <v>94</v>
      </c>
      <c r="Q1677" s="8" t="s">
        <v>3085</v>
      </c>
      <c r="R1677" s="7" t="s">
        <v>3086</v>
      </c>
      <c r="S1677" s="9">
        <v>40</v>
      </c>
      <c r="T1677" s="9">
        <v>70.36</v>
      </c>
      <c r="U1677" s="9">
        <v>0</v>
      </c>
      <c r="V1677" s="9">
        <f t="shared" si="1228"/>
        <v>0</v>
      </c>
      <c r="W1677" s="7" t="s">
        <v>97</v>
      </c>
      <c r="X1677" s="2">
        <v>2016</v>
      </c>
      <c r="Y1677" s="2" t="s">
        <v>7793</v>
      </c>
    </row>
    <row r="1678" spans="1:25" s="11" customFormat="1" ht="89.25" customHeight="1" outlineLevel="1" x14ac:dyDescent="0.25">
      <c r="A1678" s="1"/>
      <c r="B1678" s="2" t="s">
        <v>8216</v>
      </c>
      <c r="C1678" s="3" t="s">
        <v>83</v>
      </c>
      <c r="D1678" s="19" t="s">
        <v>3081</v>
      </c>
      <c r="E1678" s="19" t="s">
        <v>3082</v>
      </c>
      <c r="F1678" s="19" t="s">
        <v>3083</v>
      </c>
      <c r="G1678" s="19" t="s">
        <v>3087</v>
      </c>
      <c r="H1678" s="2" t="s">
        <v>88</v>
      </c>
      <c r="I1678" s="4"/>
      <c r="J1678" s="5">
        <v>710000000</v>
      </c>
      <c r="K1678" s="5" t="s">
        <v>89</v>
      </c>
      <c r="L1678" s="2" t="s">
        <v>754</v>
      </c>
      <c r="M1678" s="6" t="s">
        <v>682</v>
      </c>
      <c r="N1678" s="7" t="s">
        <v>92</v>
      </c>
      <c r="O1678" s="7" t="s">
        <v>93</v>
      </c>
      <c r="P1678" s="3" t="s">
        <v>673</v>
      </c>
      <c r="Q1678" s="8" t="s">
        <v>3085</v>
      </c>
      <c r="R1678" s="7" t="s">
        <v>3086</v>
      </c>
      <c r="S1678" s="9">
        <v>40</v>
      </c>
      <c r="T1678" s="9">
        <v>70.36</v>
      </c>
      <c r="U1678" s="9">
        <f t="shared" ref="U1678" si="1305">T1678*S1678</f>
        <v>2814.4</v>
      </c>
      <c r="V1678" s="9">
        <f t="shared" ref="V1678" si="1306">U1678*1.12</f>
        <v>3152.1280000000006</v>
      </c>
      <c r="W1678" s="7"/>
      <c r="X1678" s="2">
        <v>2016</v>
      </c>
      <c r="Y1678" s="2"/>
    </row>
    <row r="1679" spans="1:25" s="11" customFormat="1" ht="89.25" customHeight="1" outlineLevel="1" x14ac:dyDescent="0.25">
      <c r="A1679" s="1"/>
      <c r="B1679" s="2" t="s">
        <v>6341</v>
      </c>
      <c r="C1679" s="3" t="s">
        <v>83</v>
      </c>
      <c r="D1679" s="19" t="s">
        <v>3088</v>
      </c>
      <c r="E1679" s="19" t="s">
        <v>3089</v>
      </c>
      <c r="F1679" s="19" t="s">
        <v>3090</v>
      </c>
      <c r="G1679" s="19" t="s">
        <v>3091</v>
      </c>
      <c r="H1679" s="2" t="s">
        <v>88</v>
      </c>
      <c r="I1679" s="4">
        <v>0.4</v>
      </c>
      <c r="J1679" s="5">
        <v>710000000</v>
      </c>
      <c r="K1679" s="5" t="s">
        <v>89</v>
      </c>
      <c r="L1679" s="2" t="s">
        <v>754</v>
      </c>
      <c r="M1679" s="6" t="s">
        <v>682</v>
      </c>
      <c r="N1679" s="7" t="s">
        <v>92</v>
      </c>
      <c r="O1679" s="7" t="s">
        <v>93</v>
      </c>
      <c r="P1679" s="3" t="s">
        <v>94</v>
      </c>
      <c r="Q1679" s="8" t="s">
        <v>2439</v>
      </c>
      <c r="R1679" s="7" t="s">
        <v>3092</v>
      </c>
      <c r="S1679" s="9">
        <v>50</v>
      </c>
      <c r="T1679" s="9">
        <v>56.25</v>
      </c>
      <c r="U1679" s="9">
        <v>0</v>
      </c>
      <c r="V1679" s="9">
        <f t="shared" si="1228"/>
        <v>0</v>
      </c>
      <c r="W1679" s="7" t="s">
        <v>97</v>
      </c>
      <c r="X1679" s="2">
        <v>2016</v>
      </c>
      <c r="Y1679" s="2" t="s">
        <v>7793</v>
      </c>
    </row>
    <row r="1680" spans="1:25" s="11" customFormat="1" ht="89.25" customHeight="1" outlineLevel="1" x14ac:dyDescent="0.25">
      <c r="A1680" s="1"/>
      <c r="B1680" s="2" t="s">
        <v>8217</v>
      </c>
      <c r="C1680" s="3" t="s">
        <v>83</v>
      </c>
      <c r="D1680" s="19" t="s">
        <v>3088</v>
      </c>
      <c r="E1680" s="19" t="s">
        <v>3089</v>
      </c>
      <c r="F1680" s="19" t="s">
        <v>3090</v>
      </c>
      <c r="G1680" s="19" t="s">
        <v>3091</v>
      </c>
      <c r="H1680" s="2" t="s">
        <v>88</v>
      </c>
      <c r="I1680" s="4">
        <v>0</v>
      </c>
      <c r="J1680" s="5">
        <v>710000000</v>
      </c>
      <c r="K1680" s="5" t="s">
        <v>89</v>
      </c>
      <c r="L1680" s="2" t="s">
        <v>754</v>
      </c>
      <c r="M1680" s="6" t="s">
        <v>682</v>
      </c>
      <c r="N1680" s="7" t="s">
        <v>92</v>
      </c>
      <c r="O1680" s="7" t="s">
        <v>93</v>
      </c>
      <c r="P1680" s="3" t="s">
        <v>673</v>
      </c>
      <c r="Q1680" s="8" t="s">
        <v>2439</v>
      </c>
      <c r="R1680" s="7" t="s">
        <v>3092</v>
      </c>
      <c r="S1680" s="9">
        <v>50</v>
      </c>
      <c r="T1680" s="9">
        <v>56.25</v>
      </c>
      <c r="U1680" s="9">
        <f t="shared" ref="U1680" si="1307">T1680*S1680</f>
        <v>2812.5</v>
      </c>
      <c r="V1680" s="9">
        <f t="shared" ref="V1680" si="1308">U1680*1.12</f>
        <v>3150.0000000000005</v>
      </c>
      <c r="W1680" s="7"/>
      <c r="X1680" s="2">
        <v>2016</v>
      </c>
      <c r="Y1680" s="2"/>
    </row>
    <row r="1681" spans="1:25" s="11" customFormat="1" ht="89.25" customHeight="1" outlineLevel="1" x14ac:dyDescent="0.25">
      <c r="A1681" s="1"/>
      <c r="B1681" s="2" t="s">
        <v>6342</v>
      </c>
      <c r="C1681" s="3" t="s">
        <v>83</v>
      </c>
      <c r="D1681" s="19" t="s">
        <v>3093</v>
      </c>
      <c r="E1681" s="19" t="s">
        <v>2918</v>
      </c>
      <c r="F1681" s="19" t="s">
        <v>3094</v>
      </c>
      <c r="G1681" s="19" t="s">
        <v>3095</v>
      </c>
      <c r="H1681" s="2" t="s">
        <v>88</v>
      </c>
      <c r="I1681" s="4">
        <v>0.4</v>
      </c>
      <c r="J1681" s="5">
        <v>710000000</v>
      </c>
      <c r="K1681" s="5" t="s">
        <v>89</v>
      </c>
      <c r="L1681" s="2" t="s">
        <v>754</v>
      </c>
      <c r="M1681" s="6" t="s">
        <v>682</v>
      </c>
      <c r="N1681" s="7" t="s">
        <v>92</v>
      </c>
      <c r="O1681" s="7" t="s">
        <v>93</v>
      </c>
      <c r="P1681" s="3" t="s">
        <v>94</v>
      </c>
      <c r="Q1681" s="8">
        <v>796</v>
      </c>
      <c r="R1681" s="7" t="s">
        <v>118</v>
      </c>
      <c r="S1681" s="9">
        <v>20</v>
      </c>
      <c r="T1681" s="9">
        <v>32.590000000000003</v>
      </c>
      <c r="U1681" s="9">
        <v>0</v>
      </c>
      <c r="V1681" s="9">
        <f t="shared" si="1228"/>
        <v>0</v>
      </c>
      <c r="W1681" s="7" t="s">
        <v>97</v>
      </c>
      <c r="X1681" s="2">
        <v>2016</v>
      </c>
      <c r="Y1681" s="2" t="s">
        <v>7793</v>
      </c>
    </row>
    <row r="1682" spans="1:25" s="11" customFormat="1" ht="89.25" customHeight="1" outlineLevel="1" x14ac:dyDescent="0.25">
      <c r="A1682" s="1"/>
      <c r="B1682" s="2" t="s">
        <v>8218</v>
      </c>
      <c r="C1682" s="3" t="s">
        <v>83</v>
      </c>
      <c r="D1682" s="19" t="s">
        <v>3093</v>
      </c>
      <c r="E1682" s="19" t="s">
        <v>2918</v>
      </c>
      <c r="F1682" s="19" t="s">
        <v>3094</v>
      </c>
      <c r="G1682" s="19" t="s">
        <v>3095</v>
      </c>
      <c r="H1682" s="2" t="s">
        <v>88</v>
      </c>
      <c r="I1682" s="4">
        <v>0</v>
      </c>
      <c r="J1682" s="5">
        <v>710000000</v>
      </c>
      <c r="K1682" s="5" t="s">
        <v>89</v>
      </c>
      <c r="L1682" s="2" t="s">
        <v>754</v>
      </c>
      <c r="M1682" s="6" t="s">
        <v>682</v>
      </c>
      <c r="N1682" s="7" t="s">
        <v>92</v>
      </c>
      <c r="O1682" s="7" t="s">
        <v>93</v>
      </c>
      <c r="P1682" s="3" t="s">
        <v>673</v>
      </c>
      <c r="Q1682" s="8">
        <v>796</v>
      </c>
      <c r="R1682" s="7" t="s">
        <v>118</v>
      </c>
      <c r="S1682" s="9">
        <v>20</v>
      </c>
      <c r="T1682" s="9">
        <v>32.590000000000003</v>
      </c>
      <c r="U1682" s="9">
        <f t="shared" ref="U1682" si="1309">T1682*S1682</f>
        <v>651.80000000000007</v>
      </c>
      <c r="V1682" s="9">
        <f t="shared" ref="V1682" si="1310">U1682*1.12</f>
        <v>730.01600000000019</v>
      </c>
      <c r="W1682" s="7"/>
      <c r="X1682" s="2">
        <v>2016</v>
      </c>
      <c r="Y1682" s="2"/>
    </row>
    <row r="1683" spans="1:25" s="11" customFormat="1" ht="89.25" customHeight="1" outlineLevel="1" x14ac:dyDescent="0.25">
      <c r="A1683" s="1"/>
      <c r="B1683" s="2" t="s">
        <v>6343</v>
      </c>
      <c r="C1683" s="3" t="s">
        <v>83</v>
      </c>
      <c r="D1683" s="19" t="s">
        <v>3096</v>
      </c>
      <c r="E1683" s="19" t="s">
        <v>2918</v>
      </c>
      <c r="F1683" s="19" t="s">
        <v>3097</v>
      </c>
      <c r="G1683" s="19" t="s">
        <v>3098</v>
      </c>
      <c r="H1683" s="2" t="s">
        <v>88</v>
      </c>
      <c r="I1683" s="4">
        <v>0.4</v>
      </c>
      <c r="J1683" s="5">
        <v>710000000</v>
      </c>
      <c r="K1683" s="5" t="s">
        <v>89</v>
      </c>
      <c r="L1683" s="2" t="s">
        <v>754</v>
      </c>
      <c r="M1683" s="6" t="s">
        <v>682</v>
      </c>
      <c r="N1683" s="7" t="s">
        <v>92</v>
      </c>
      <c r="O1683" s="7" t="s">
        <v>93</v>
      </c>
      <c r="P1683" s="3" t="s">
        <v>94</v>
      </c>
      <c r="Q1683" s="8">
        <v>796</v>
      </c>
      <c r="R1683" s="7" t="s">
        <v>118</v>
      </c>
      <c r="S1683" s="9">
        <v>20</v>
      </c>
      <c r="T1683" s="9">
        <v>61.61</v>
      </c>
      <c r="U1683" s="9">
        <v>0</v>
      </c>
      <c r="V1683" s="9">
        <f t="shared" si="1228"/>
        <v>0</v>
      </c>
      <c r="W1683" s="7" t="s">
        <v>97</v>
      </c>
      <c r="X1683" s="2">
        <v>2016</v>
      </c>
      <c r="Y1683" s="2" t="s">
        <v>7793</v>
      </c>
    </row>
    <row r="1684" spans="1:25" s="11" customFormat="1" ht="89.25" customHeight="1" outlineLevel="1" x14ac:dyDescent="0.25">
      <c r="A1684" s="1"/>
      <c r="B1684" s="2" t="s">
        <v>8219</v>
      </c>
      <c r="C1684" s="3" t="s">
        <v>83</v>
      </c>
      <c r="D1684" s="19" t="s">
        <v>3096</v>
      </c>
      <c r="E1684" s="19" t="s">
        <v>2918</v>
      </c>
      <c r="F1684" s="19" t="s">
        <v>3097</v>
      </c>
      <c r="G1684" s="19" t="s">
        <v>3098</v>
      </c>
      <c r="H1684" s="2" t="s">
        <v>88</v>
      </c>
      <c r="I1684" s="4">
        <v>0</v>
      </c>
      <c r="J1684" s="5">
        <v>710000000</v>
      </c>
      <c r="K1684" s="5" t="s">
        <v>89</v>
      </c>
      <c r="L1684" s="2" t="s">
        <v>754</v>
      </c>
      <c r="M1684" s="6" t="s">
        <v>682</v>
      </c>
      <c r="N1684" s="7" t="s">
        <v>92</v>
      </c>
      <c r="O1684" s="7" t="s">
        <v>93</v>
      </c>
      <c r="P1684" s="3" t="s">
        <v>673</v>
      </c>
      <c r="Q1684" s="8">
        <v>796</v>
      </c>
      <c r="R1684" s="7" t="s">
        <v>118</v>
      </c>
      <c r="S1684" s="9">
        <v>20</v>
      </c>
      <c r="T1684" s="9">
        <v>61.61</v>
      </c>
      <c r="U1684" s="9">
        <f t="shared" ref="U1684" si="1311">T1684*S1684</f>
        <v>1232.2</v>
      </c>
      <c r="V1684" s="9">
        <f t="shared" ref="V1684" si="1312">U1684*1.12</f>
        <v>1380.0640000000001</v>
      </c>
      <c r="W1684" s="7"/>
      <c r="X1684" s="2">
        <v>2016</v>
      </c>
      <c r="Y1684" s="2"/>
    </row>
    <row r="1685" spans="1:25" s="11" customFormat="1" ht="89.25" customHeight="1" outlineLevel="1" x14ac:dyDescent="0.25">
      <c r="A1685" s="1"/>
      <c r="B1685" s="2" t="s">
        <v>6344</v>
      </c>
      <c r="C1685" s="3" t="s">
        <v>83</v>
      </c>
      <c r="D1685" s="19" t="s">
        <v>3099</v>
      </c>
      <c r="E1685" s="19" t="s">
        <v>3100</v>
      </c>
      <c r="F1685" s="19" t="s">
        <v>3101</v>
      </c>
      <c r="G1685" s="19" t="s">
        <v>3102</v>
      </c>
      <c r="H1685" s="2" t="s">
        <v>88</v>
      </c>
      <c r="I1685" s="4">
        <v>0.4</v>
      </c>
      <c r="J1685" s="5">
        <v>710000000</v>
      </c>
      <c r="K1685" s="5" t="s">
        <v>89</v>
      </c>
      <c r="L1685" s="2" t="s">
        <v>754</v>
      </c>
      <c r="M1685" s="6" t="s">
        <v>682</v>
      </c>
      <c r="N1685" s="7" t="s">
        <v>92</v>
      </c>
      <c r="O1685" s="7" t="s">
        <v>93</v>
      </c>
      <c r="P1685" s="3" t="s">
        <v>94</v>
      </c>
      <c r="Q1685" s="8">
        <v>796</v>
      </c>
      <c r="R1685" s="7" t="s">
        <v>118</v>
      </c>
      <c r="S1685" s="9">
        <v>5</v>
      </c>
      <c r="T1685" s="9">
        <v>408.93</v>
      </c>
      <c r="U1685" s="9">
        <v>0</v>
      </c>
      <c r="V1685" s="9">
        <f t="shared" si="1228"/>
        <v>0</v>
      </c>
      <c r="W1685" s="7" t="s">
        <v>97</v>
      </c>
      <c r="X1685" s="2">
        <v>2016</v>
      </c>
      <c r="Y1685" s="2" t="s">
        <v>7793</v>
      </c>
    </row>
    <row r="1686" spans="1:25" s="11" customFormat="1" ht="89.25" customHeight="1" outlineLevel="1" x14ac:dyDescent="0.25">
      <c r="A1686" s="1"/>
      <c r="B1686" s="2" t="s">
        <v>8220</v>
      </c>
      <c r="C1686" s="3" t="s">
        <v>83</v>
      </c>
      <c r="D1686" s="19" t="s">
        <v>3099</v>
      </c>
      <c r="E1686" s="19" t="s">
        <v>3100</v>
      </c>
      <c r="F1686" s="19" t="s">
        <v>3101</v>
      </c>
      <c r="G1686" s="19" t="s">
        <v>3102</v>
      </c>
      <c r="H1686" s="2" t="s">
        <v>88</v>
      </c>
      <c r="I1686" s="4">
        <v>0</v>
      </c>
      <c r="J1686" s="5">
        <v>710000000</v>
      </c>
      <c r="K1686" s="5" t="s">
        <v>89</v>
      </c>
      <c r="L1686" s="2" t="s">
        <v>754</v>
      </c>
      <c r="M1686" s="6" t="s">
        <v>682</v>
      </c>
      <c r="N1686" s="7" t="s">
        <v>92</v>
      </c>
      <c r="O1686" s="7" t="s">
        <v>93</v>
      </c>
      <c r="P1686" s="3" t="s">
        <v>673</v>
      </c>
      <c r="Q1686" s="8">
        <v>796</v>
      </c>
      <c r="R1686" s="7" t="s">
        <v>118</v>
      </c>
      <c r="S1686" s="9">
        <v>5</v>
      </c>
      <c r="T1686" s="9">
        <v>408.93</v>
      </c>
      <c r="U1686" s="9">
        <f t="shared" ref="U1686" si="1313">T1686*S1686</f>
        <v>2044.65</v>
      </c>
      <c r="V1686" s="9">
        <f t="shared" ref="V1686" si="1314">U1686*1.12</f>
        <v>2290.0080000000003</v>
      </c>
      <c r="W1686" s="7"/>
      <c r="X1686" s="2">
        <v>2016</v>
      </c>
      <c r="Y1686" s="2"/>
    </row>
    <row r="1687" spans="1:25" s="11" customFormat="1" ht="89.25" customHeight="1" outlineLevel="1" x14ac:dyDescent="0.25">
      <c r="A1687" s="1"/>
      <c r="B1687" s="2" t="s">
        <v>6345</v>
      </c>
      <c r="C1687" s="3" t="s">
        <v>83</v>
      </c>
      <c r="D1687" s="19" t="s">
        <v>3103</v>
      </c>
      <c r="E1687" s="19" t="s">
        <v>2803</v>
      </c>
      <c r="F1687" s="19" t="s">
        <v>3104</v>
      </c>
      <c r="G1687" s="19" t="s">
        <v>3105</v>
      </c>
      <c r="H1687" s="2" t="s">
        <v>88</v>
      </c>
      <c r="I1687" s="4">
        <v>0.4</v>
      </c>
      <c r="J1687" s="5">
        <v>710000000</v>
      </c>
      <c r="K1687" s="5" t="s">
        <v>89</v>
      </c>
      <c r="L1687" s="2" t="s">
        <v>754</v>
      </c>
      <c r="M1687" s="6" t="s">
        <v>682</v>
      </c>
      <c r="N1687" s="7" t="s">
        <v>92</v>
      </c>
      <c r="O1687" s="7" t="s">
        <v>93</v>
      </c>
      <c r="P1687" s="3" t="s">
        <v>94</v>
      </c>
      <c r="Q1687" s="8" t="s">
        <v>2439</v>
      </c>
      <c r="R1687" s="7" t="s">
        <v>2440</v>
      </c>
      <c r="S1687" s="9">
        <v>100</v>
      </c>
      <c r="T1687" s="9">
        <v>22.77</v>
      </c>
      <c r="U1687" s="9">
        <v>0</v>
      </c>
      <c r="V1687" s="9">
        <f t="shared" si="1228"/>
        <v>0</v>
      </c>
      <c r="W1687" s="7" t="s">
        <v>97</v>
      </c>
      <c r="X1687" s="2">
        <v>2016</v>
      </c>
      <c r="Y1687" s="2" t="s">
        <v>7793</v>
      </c>
    </row>
    <row r="1688" spans="1:25" s="11" customFormat="1" ht="89.25" customHeight="1" outlineLevel="1" x14ac:dyDescent="0.25">
      <c r="A1688" s="1"/>
      <c r="B1688" s="2" t="s">
        <v>8221</v>
      </c>
      <c r="C1688" s="3" t="s">
        <v>83</v>
      </c>
      <c r="D1688" s="19" t="s">
        <v>3103</v>
      </c>
      <c r="E1688" s="19" t="s">
        <v>2803</v>
      </c>
      <c r="F1688" s="19" t="s">
        <v>3104</v>
      </c>
      <c r="G1688" s="19" t="s">
        <v>3105</v>
      </c>
      <c r="H1688" s="2" t="s">
        <v>88</v>
      </c>
      <c r="I1688" s="4">
        <v>0</v>
      </c>
      <c r="J1688" s="5">
        <v>710000000</v>
      </c>
      <c r="K1688" s="5" t="s">
        <v>89</v>
      </c>
      <c r="L1688" s="2" t="s">
        <v>754</v>
      </c>
      <c r="M1688" s="6" t="s">
        <v>682</v>
      </c>
      <c r="N1688" s="7" t="s">
        <v>92</v>
      </c>
      <c r="O1688" s="7" t="s">
        <v>93</v>
      </c>
      <c r="P1688" s="3" t="s">
        <v>673</v>
      </c>
      <c r="Q1688" s="8" t="s">
        <v>2439</v>
      </c>
      <c r="R1688" s="7" t="s">
        <v>2440</v>
      </c>
      <c r="S1688" s="9">
        <v>100</v>
      </c>
      <c r="T1688" s="9">
        <v>22.77</v>
      </c>
      <c r="U1688" s="9">
        <f t="shared" ref="U1688" si="1315">T1688*S1688</f>
        <v>2277</v>
      </c>
      <c r="V1688" s="9">
        <f t="shared" ref="V1688" si="1316">U1688*1.12</f>
        <v>2550.2400000000002</v>
      </c>
      <c r="W1688" s="7"/>
      <c r="X1688" s="2">
        <v>2016</v>
      </c>
      <c r="Y1688" s="2"/>
    </row>
    <row r="1689" spans="1:25" s="11" customFormat="1" ht="89.25" customHeight="1" outlineLevel="1" x14ac:dyDescent="0.25">
      <c r="A1689" s="1"/>
      <c r="B1689" s="2" t="s">
        <v>6346</v>
      </c>
      <c r="C1689" s="3" t="s">
        <v>83</v>
      </c>
      <c r="D1689" s="19" t="s">
        <v>3106</v>
      </c>
      <c r="E1689" s="19" t="s">
        <v>2803</v>
      </c>
      <c r="F1689" s="19" t="s">
        <v>3107</v>
      </c>
      <c r="G1689" s="19" t="s">
        <v>3108</v>
      </c>
      <c r="H1689" s="2" t="s">
        <v>88</v>
      </c>
      <c r="I1689" s="4">
        <v>0.4</v>
      </c>
      <c r="J1689" s="5">
        <v>710000000</v>
      </c>
      <c r="K1689" s="5" t="s">
        <v>89</v>
      </c>
      <c r="L1689" s="2" t="s">
        <v>754</v>
      </c>
      <c r="M1689" s="6" t="s">
        <v>682</v>
      </c>
      <c r="N1689" s="7" t="s">
        <v>92</v>
      </c>
      <c r="O1689" s="7" t="s">
        <v>93</v>
      </c>
      <c r="P1689" s="3" t="s">
        <v>94</v>
      </c>
      <c r="Q1689" s="8" t="s">
        <v>2439</v>
      </c>
      <c r="R1689" s="7" t="s">
        <v>2440</v>
      </c>
      <c r="S1689" s="9">
        <v>100</v>
      </c>
      <c r="T1689" s="9">
        <v>32.590000000000003</v>
      </c>
      <c r="U1689" s="9">
        <v>0</v>
      </c>
      <c r="V1689" s="9">
        <f t="shared" si="1228"/>
        <v>0</v>
      </c>
      <c r="W1689" s="7" t="s">
        <v>97</v>
      </c>
      <c r="X1689" s="2">
        <v>2016</v>
      </c>
      <c r="Y1689" s="2" t="s">
        <v>7793</v>
      </c>
    </row>
    <row r="1690" spans="1:25" s="11" customFormat="1" ht="89.25" customHeight="1" outlineLevel="1" x14ac:dyDescent="0.25">
      <c r="A1690" s="1"/>
      <c r="B1690" s="2" t="s">
        <v>8222</v>
      </c>
      <c r="C1690" s="3" t="s">
        <v>83</v>
      </c>
      <c r="D1690" s="19" t="s">
        <v>3106</v>
      </c>
      <c r="E1690" s="19" t="s">
        <v>2803</v>
      </c>
      <c r="F1690" s="19" t="s">
        <v>3107</v>
      </c>
      <c r="G1690" s="19" t="s">
        <v>3108</v>
      </c>
      <c r="H1690" s="2" t="s">
        <v>88</v>
      </c>
      <c r="I1690" s="4">
        <v>0</v>
      </c>
      <c r="J1690" s="5">
        <v>710000000</v>
      </c>
      <c r="K1690" s="5" t="s">
        <v>89</v>
      </c>
      <c r="L1690" s="2" t="s">
        <v>754</v>
      </c>
      <c r="M1690" s="6" t="s">
        <v>682</v>
      </c>
      <c r="N1690" s="7" t="s">
        <v>92</v>
      </c>
      <c r="O1690" s="7" t="s">
        <v>93</v>
      </c>
      <c r="P1690" s="3" t="s">
        <v>673</v>
      </c>
      <c r="Q1690" s="8" t="s">
        <v>2439</v>
      </c>
      <c r="R1690" s="7" t="s">
        <v>2440</v>
      </c>
      <c r="S1690" s="9">
        <v>100</v>
      </c>
      <c r="T1690" s="9">
        <v>32.590000000000003</v>
      </c>
      <c r="U1690" s="9">
        <f t="shared" ref="U1690" si="1317">T1690*S1690</f>
        <v>3259.0000000000005</v>
      </c>
      <c r="V1690" s="9">
        <f t="shared" ref="V1690" si="1318">U1690*1.12</f>
        <v>3650.0800000000008</v>
      </c>
      <c r="W1690" s="7"/>
      <c r="X1690" s="2">
        <v>2016</v>
      </c>
      <c r="Y1690" s="2"/>
    </row>
    <row r="1691" spans="1:25" s="11" customFormat="1" ht="153" customHeight="1" outlineLevel="1" x14ac:dyDescent="0.25">
      <c r="A1691" s="1"/>
      <c r="B1691" s="2" t="s">
        <v>6347</v>
      </c>
      <c r="C1691" s="3" t="s">
        <v>83</v>
      </c>
      <c r="D1691" s="19" t="s">
        <v>3109</v>
      </c>
      <c r="E1691" s="19" t="s">
        <v>2803</v>
      </c>
      <c r="F1691" s="19" t="s">
        <v>3110</v>
      </c>
      <c r="G1691" s="19" t="s">
        <v>3111</v>
      </c>
      <c r="H1691" s="2" t="s">
        <v>88</v>
      </c>
      <c r="I1691" s="4">
        <v>0.4</v>
      </c>
      <c r="J1691" s="5">
        <v>710000000</v>
      </c>
      <c r="K1691" s="5" t="s">
        <v>89</v>
      </c>
      <c r="L1691" s="2" t="s">
        <v>754</v>
      </c>
      <c r="M1691" s="6" t="s">
        <v>682</v>
      </c>
      <c r="N1691" s="7" t="s">
        <v>92</v>
      </c>
      <c r="O1691" s="7" t="s">
        <v>93</v>
      </c>
      <c r="P1691" s="3" t="s">
        <v>94</v>
      </c>
      <c r="Q1691" s="8" t="s">
        <v>2439</v>
      </c>
      <c r="R1691" s="7" t="s">
        <v>2440</v>
      </c>
      <c r="S1691" s="9">
        <v>100</v>
      </c>
      <c r="T1691" s="9">
        <v>103.57</v>
      </c>
      <c r="U1691" s="9">
        <v>0</v>
      </c>
      <c r="V1691" s="9">
        <f t="shared" si="1228"/>
        <v>0</v>
      </c>
      <c r="W1691" s="7" t="s">
        <v>97</v>
      </c>
      <c r="X1691" s="2">
        <v>2016</v>
      </c>
      <c r="Y1691" s="2" t="s">
        <v>7793</v>
      </c>
    </row>
    <row r="1692" spans="1:25" s="11" customFormat="1" ht="153" customHeight="1" outlineLevel="1" x14ac:dyDescent="0.25">
      <c r="A1692" s="1"/>
      <c r="B1692" s="2" t="s">
        <v>8223</v>
      </c>
      <c r="C1692" s="3" t="s">
        <v>83</v>
      </c>
      <c r="D1692" s="19" t="s">
        <v>3109</v>
      </c>
      <c r="E1692" s="19" t="s">
        <v>2803</v>
      </c>
      <c r="F1692" s="19" t="s">
        <v>3110</v>
      </c>
      <c r="G1692" s="19" t="s">
        <v>3111</v>
      </c>
      <c r="H1692" s="2" t="s">
        <v>88</v>
      </c>
      <c r="I1692" s="4">
        <v>0</v>
      </c>
      <c r="J1692" s="5">
        <v>710000000</v>
      </c>
      <c r="K1692" s="5" t="s">
        <v>89</v>
      </c>
      <c r="L1692" s="2" t="s">
        <v>754</v>
      </c>
      <c r="M1692" s="6" t="s">
        <v>682</v>
      </c>
      <c r="N1692" s="7" t="s">
        <v>92</v>
      </c>
      <c r="O1692" s="7" t="s">
        <v>93</v>
      </c>
      <c r="P1692" s="3" t="s">
        <v>673</v>
      </c>
      <c r="Q1692" s="8" t="s">
        <v>2439</v>
      </c>
      <c r="R1692" s="7" t="s">
        <v>2440</v>
      </c>
      <c r="S1692" s="9">
        <v>100</v>
      </c>
      <c r="T1692" s="9">
        <v>103.57</v>
      </c>
      <c r="U1692" s="9">
        <f t="shared" ref="U1692" si="1319">T1692*S1692</f>
        <v>10357</v>
      </c>
      <c r="V1692" s="9">
        <f t="shared" ref="V1692" si="1320">U1692*1.12</f>
        <v>11599.840000000002</v>
      </c>
      <c r="W1692" s="7"/>
      <c r="X1692" s="2">
        <v>2016</v>
      </c>
      <c r="Y1692" s="2"/>
    </row>
    <row r="1693" spans="1:25" s="11" customFormat="1" ht="102" customHeight="1" outlineLevel="1" x14ac:dyDescent="0.25">
      <c r="A1693" s="1"/>
      <c r="B1693" s="2" t="s">
        <v>6348</v>
      </c>
      <c r="C1693" s="3" t="s">
        <v>83</v>
      </c>
      <c r="D1693" s="19" t="s">
        <v>3112</v>
      </c>
      <c r="E1693" s="19" t="s">
        <v>2803</v>
      </c>
      <c r="F1693" s="19" t="s">
        <v>3113</v>
      </c>
      <c r="G1693" s="19" t="s">
        <v>3114</v>
      </c>
      <c r="H1693" s="2" t="s">
        <v>88</v>
      </c>
      <c r="I1693" s="4">
        <v>0.4</v>
      </c>
      <c r="J1693" s="5">
        <v>710000000</v>
      </c>
      <c r="K1693" s="5" t="s">
        <v>89</v>
      </c>
      <c r="L1693" s="2" t="s">
        <v>754</v>
      </c>
      <c r="M1693" s="6" t="s">
        <v>682</v>
      </c>
      <c r="N1693" s="7" t="s">
        <v>92</v>
      </c>
      <c r="O1693" s="7" t="s">
        <v>93</v>
      </c>
      <c r="P1693" s="3" t="s">
        <v>94</v>
      </c>
      <c r="Q1693" s="8" t="s">
        <v>2439</v>
      </c>
      <c r="R1693" s="7" t="s">
        <v>2440</v>
      </c>
      <c r="S1693" s="9">
        <v>100</v>
      </c>
      <c r="T1693" s="9">
        <v>103.57</v>
      </c>
      <c r="U1693" s="9">
        <v>0</v>
      </c>
      <c r="V1693" s="9">
        <f t="shared" si="1228"/>
        <v>0</v>
      </c>
      <c r="W1693" s="7" t="s">
        <v>97</v>
      </c>
      <c r="X1693" s="2">
        <v>2016</v>
      </c>
      <c r="Y1693" s="2" t="s">
        <v>7793</v>
      </c>
    </row>
    <row r="1694" spans="1:25" s="11" customFormat="1" ht="102" customHeight="1" outlineLevel="1" x14ac:dyDescent="0.25">
      <c r="A1694" s="1"/>
      <c r="B1694" s="2" t="s">
        <v>8224</v>
      </c>
      <c r="C1694" s="3" t="s">
        <v>83</v>
      </c>
      <c r="D1694" s="19" t="s">
        <v>3112</v>
      </c>
      <c r="E1694" s="19" t="s">
        <v>2803</v>
      </c>
      <c r="F1694" s="19" t="s">
        <v>3113</v>
      </c>
      <c r="G1694" s="19" t="s">
        <v>3114</v>
      </c>
      <c r="H1694" s="2" t="s">
        <v>88</v>
      </c>
      <c r="I1694" s="4">
        <v>0</v>
      </c>
      <c r="J1694" s="5">
        <v>710000000</v>
      </c>
      <c r="K1694" s="5" t="s">
        <v>89</v>
      </c>
      <c r="L1694" s="2" t="s">
        <v>754</v>
      </c>
      <c r="M1694" s="6" t="s">
        <v>682</v>
      </c>
      <c r="N1694" s="7" t="s">
        <v>92</v>
      </c>
      <c r="O1694" s="7" t="s">
        <v>93</v>
      </c>
      <c r="P1694" s="3" t="s">
        <v>673</v>
      </c>
      <c r="Q1694" s="8" t="s">
        <v>2439</v>
      </c>
      <c r="R1694" s="7" t="s">
        <v>2440</v>
      </c>
      <c r="S1694" s="9">
        <v>100</v>
      </c>
      <c r="T1694" s="9">
        <v>103.57</v>
      </c>
      <c r="U1694" s="9">
        <f t="shared" ref="U1694" si="1321">T1694*S1694</f>
        <v>10357</v>
      </c>
      <c r="V1694" s="9">
        <f t="shared" ref="V1694" si="1322">U1694*1.12</f>
        <v>11599.840000000002</v>
      </c>
      <c r="W1694" s="7"/>
      <c r="X1694" s="2">
        <v>2016</v>
      </c>
      <c r="Y1694" s="2"/>
    </row>
    <row r="1695" spans="1:25" s="11" customFormat="1" ht="89.25" customHeight="1" outlineLevel="1" x14ac:dyDescent="0.25">
      <c r="A1695" s="1"/>
      <c r="B1695" s="2" t="s">
        <v>6349</v>
      </c>
      <c r="C1695" s="3" t="s">
        <v>83</v>
      </c>
      <c r="D1695" s="19" t="s">
        <v>3115</v>
      </c>
      <c r="E1695" s="19" t="s">
        <v>2942</v>
      </c>
      <c r="F1695" s="19" t="s">
        <v>3116</v>
      </c>
      <c r="G1695" s="19" t="s">
        <v>3117</v>
      </c>
      <c r="H1695" s="2" t="s">
        <v>88</v>
      </c>
      <c r="I1695" s="4">
        <v>0.4</v>
      </c>
      <c r="J1695" s="5">
        <v>710000000</v>
      </c>
      <c r="K1695" s="5" t="s">
        <v>89</v>
      </c>
      <c r="L1695" s="2" t="s">
        <v>754</v>
      </c>
      <c r="M1695" s="6" t="s">
        <v>682</v>
      </c>
      <c r="N1695" s="7" t="s">
        <v>92</v>
      </c>
      <c r="O1695" s="7" t="s">
        <v>93</v>
      </c>
      <c r="P1695" s="3" t="s">
        <v>94</v>
      </c>
      <c r="Q1695" s="8" t="s">
        <v>117</v>
      </c>
      <c r="R1695" s="7" t="s">
        <v>118</v>
      </c>
      <c r="S1695" s="9">
        <v>30</v>
      </c>
      <c r="T1695" s="9">
        <v>66.069999999999993</v>
      </c>
      <c r="U1695" s="9">
        <v>0</v>
      </c>
      <c r="V1695" s="9">
        <f t="shared" si="1228"/>
        <v>0</v>
      </c>
      <c r="W1695" s="7" t="s">
        <v>97</v>
      </c>
      <c r="X1695" s="2">
        <v>2016</v>
      </c>
      <c r="Y1695" s="2" t="s">
        <v>7793</v>
      </c>
    </row>
    <row r="1696" spans="1:25" s="11" customFormat="1" ht="89.25" customHeight="1" outlineLevel="1" x14ac:dyDescent="0.25">
      <c r="A1696" s="1"/>
      <c r="B1696" s="2" t="s">
        <v>8225</v>
      </c>
      <c r="C1696" s="3" t="s">
        <v>83</v>
      </c>
      <c r="D1696" s="19" t="s">
        <v>3115</v>
      </c>
      <c r="E1696" s="19" t="s">
        <v>2942</v>
      </c>
      <c r="F1696" s="19" t="s">
        <v>3116</v>
      </c>
      <c r="G1696" s="19" t="s">
        <v>3117</v>
      </c>
      <c r="H1696" s="2" t="s">
        <v>88</v>
      </c>
      <c r="I1696" s="4">
        <v>0</v>
      </c>
      <c r="J1696" s="5">
        <v>710000000</v>
      </c>
      <c r="K1696" s="5" t="s">
        <v>89</v>
      </c>
      <c r="L1696" s="2" t="s">
        <v>754</v>
      </c>
      <c r="M1696" s="6" t="s">
        <v>682</v>
      </c>
      <c r="N1696" s="7" t="s">
        <v>92</v>
      </c>
      <c r="O1696" s="7" t="s">
        <v>93</v>
      </c>
      <c r="P1696" s="3" t="s">
        <v>673</v>
      </c>
      <c r="Q1696" s="8" t="s">
        <v>117</v>
      </c>
      <c r="R1696" s="7" t="s">
        <v>118</v>
      </c>
      <c r="S1696" s="9">
        <v>30</v>
      </c>
      <c r="T1696" s="9">
        <v>66.069999999999993</v>
      </c>
      <c r="U1696" s="9">
        <f t="shared" ref="U1696" si="1323">T1696*S1696</f>
        <v>1982.1</v>
      </c>
      <c r="V1696" s="9">
        <f t="shared" ref="V1696" si="1324">U1696*1.12</f>
        <v>2219.9520000000002</v>
      </c>
      <c r="W1696" s="7"/>
      <c r="X1696" s="2">
        <v>2016</v>
      </c>
      <c r="Y1696" s="2"/>
    </row>
    <row r="1697" spans="1:25" s="11" customFormat="1" ht="89.25" customHeight="1" outlineLevel="1" x14ac:dyDescent="0.25">
      <c r="A1697" s="1"/>
      <c r="B1697" s="2" t="s">
        <v>6350</v>
      </c>
      <c r="C1697" s="3" t="s">
        <v>83</v>
      </c>
      <c r="D1697" s="3" t="s">
        <v>3118</v>
      </c>
      <c r="E1697" s="3" t="s">
        <v>3119</v>
      </c>
      <c r="F1697" s="3" t="s">
        <v>3120</v>
      </c>
      <c r="G1697" s="19" t="s">
        <v>3121</v>
      </c>
      <c r="H1697" s="2" t="s">
        <v>88</v>
      </c>
      <c r="I1697" s="4">
        <v>0.4</v>
      </c>
      <c r="J1697" s="5">
        <v>710000000</v>
      </c>
      <c r="K1697" s="5" t="s">
        <v>89</v>
      </c>
      <c r="L1697" s="2" t="s">
        <v>754</v>
      </c>
      <c r="M1697" s="6" t="s">
        <v>787</v>
      </c>
      <c r="N1697" s="7" t="s">
        <v>92</v>
      </c>
      <c r="O1697" s="7" t="s">
        <v>93</v>
      </c>
      <c r="P1697" s="3" t="s">
        <v>94</v>
      </c>
      <c r="Q1697" s="8" t="s">
        <v>522</v>
      </c>
      <c r="R1697" s="7" t="s">
        <v>523</v>
      </c>
      <c r="S1697" s="9">
        <v>5</v>
      </c>
      <c r="T1697" s="9">
        <v>9000</v>
      </c>
      <c r="U1697" s="9">
        <v>0</v>
      </c>
      <c r="V1697" s="9">
        <f t="shared" si="1228"/>
        <v>0</v>
      </c>
      <c r="W1697" s="7" t="s">
        <v>97</v>
      </c>
      <c r="X1697" s="2">
        <v>2016</v>
      </c>
      <c r="Y1697" s="2" t="s">
        <v>7793</v>
      </c>
    </row>
    <row r="1698" spans="1:25" s="11" customFormat="1" ht="89.25" customHeight="1" outlineLevel="1" x14ac:dyDescent="0.25">
      <c r="A1698" s="1"/>
      <c r="B1698" s="2" t="s">
        <v>8226</v>
      </c>
      <c r="C1698" s="3" t="s">
        <v>83</v>
      </c>
      <c r="D1698" s="3" t="s">
        <v>3118</v>
      </c>
      <c r="E1698" s="3" t="s">
        <v>3119</v>
      </c>
      <c r="F1698" s="3" t="s">
        <v>3120</v>
      </c>
      <c r="G1698" s="19" t="s">
        <v>3121</v>
      </c>
      <c r="H1698" s="2" t="s">
        <v>88</v>
      </c>
      <c r="I1698" s="4">
        <v>0</v>
      </c>
      <c r="J1698" s="5">
        <v>710000000</v>
      </c>
      <c r="K1698" s="5" t="s">
        <v>89</v>
      </c>
      <c r="L1698" s="2" t="s">
        <v>754</v>
      </c>
      <c r="M1698" s="6" t="s">
        <v>787</v>
      </c>
      <c r="N1698" s="7" t="s">
        <v>92</v>
      </c>
      <c r="O1698" s="7" t="s">
        <v>93</v>
      </c>
      <c r="P1698" s="3" t="s">
        <v>673</v>
      </c>
      <c r="Q1698" s="8" t="s">
        <v>522</v>
      </c>
      <c r="R1698" s="7" t="s">
        <v>523</v>
      </c>
      <c r="S1698" s="9">
        <v>5</v>
      </c>
      <c r="T1698" s="9">
        <v>9000</v>
      </c>
      <c r="U1698" s="9">
        <v>0</v>
      </c>
      <c r="V1698" s="9">
        <f t="shared" si="1228"/>
        <v>0</v>
      </c>
      <c r="W1698" s="7"/>
      <c r="X1698" s="2">
        <v>2016</v>
      </c>
      <c r="Y1698" s="2" t="s">
        <v>8409</v>
      </c>
    </row>
    <row r="1699" spans="1:25" s="11" customFormat="1" ht="89.25" customHeight="1" outlineLevel="1" x14ac:dyDescent="0.25">
      <c r="A1699" s="1"/>
      <c r="B1699" s="2" t="s">
        <v>9222</v>
      </c>
      <c r="C1699" s="3" t="s">
        <v>83</v>
      </c>
      <c r="D1699" s="3" t="s">
        <v>3118</v>
      </c>
      <c r="E1699" s="3" t="s">
        <v>3119</v>
      </c>
      <c r="F1699" s="3" t="s">
        <v>3120</v>
      </c>
      <c r="G1699" s="19" t="s">
        <v>3121</v>
      </c>
      <c r="H1699" s="2" t="s">
        <v>88</v>
      </c>
      <c r="I1699" s="4">
        <v>0</v>
      </c>
      <c r="J1699" s="5">
        <v>710000000</v>
      </c>
      <c r="K1699" s="5" t="s">
        <v>89</v>
      </c>
      <c r="L1699" s="6" t="s">
        <v>9114</v>
      </c>
      <c r="M1699" s="6" t="s">
        <v>787</v>
      </c>
      <c r="N1699" s="7" t="s">
        <v>92</v>
      </c>
      <c r="O1699" s="7" t="s">
        <v>93</v>
      </c>
      <c r="P1699" s="3" t="s">
        <v>673</v>
      </c>
      <c r="Q1699" s="8" t="s">
        <v>522</v>
      </c>
      <c r="R1699" s="7" t="s">
        <v>523</v>
      </c>
      <c r="S1699" s="9">
        <f>5+5</f>
        <v>10</v>
      </c>
      <c r="T1699" s="9">
        <v>9000</v>
      </c>
      <c r="U1699" s="9">
        <f t="shared" ref="U1699" si="1325">T1699*S1699</f>
        <v>90000</v>
      </c>
      <c r="V1699" s="9">
        <f t="shared" ref="V1699" si="1326">U1699*1.12</f>
        <v>100800.00000000001</v>
      </c>
      <c r="W1699" s="7"/>
      <c r="X1699" s="2">
        <v>2016</v>
      </c>
      <c r="Y1699" s="2"/>
    </row>
    <row r="1700" spans="1:25" s="11" customFormat="1" ht="89.25" customHeight="1" outlineLevel="1" x14ac:dyDescent="0.25">
      <c r="A1700" s="1"/>
      <c r="B1700" s="2" t="s">
        <v>6351</v>
      </c>
      <c r="C1700" s="3" t="s">
        <v>83</v>
      </c>
      <c r="D1700" s="3" t="s">
        <v>3122</v>
      </c>
      <c r="E1700" s="3" t="s">
        <v>3123</v>
      </c>
      <c r="F1700" s="3" t="s">
        <v>3124</v>
      </c>
      <c r="G1700" s="19" t="s">
        <v>3125</v>
      </c>
      <c r="H1700" s="2" t="s">
        <v>88</v>
      </c>
      <c r="I1700" s="4">
        <v>0.4</v>
      </c>
      <c r="J1700" s="5">
        <v>710000000</v>
      </c>
      <c r="K1700" s="5" t="s">
        <v>89</v>
      </c>
      <c r="L1700" s="2" t="s">
        <v>754</v>
      </c>
      <c r="M1700" s="6" t="s">
        <v>787</v>
      </c>
      <c r="N1700" s="7" t="s">
        <v>92</v>
      </c>
      <c r="O1700" s="7" t="s">
        <v>93</v>
      </c>
      <c r="P1700" s="3" t="s">
        <v>94</v>
      </c>
      <c r="Q1700" s="8" t="s">
        <v>544</v>
      </c>
      <c r="R1700" s="7" t="s">
        <v>111</v>
      </c>
      <c r="S1700" s="9">
        <f>500+300+300</f>
        <v>1100</v>
      </c>
      <c r="T1700" s="9">
        <v>17.86</v>
      </c>
      <c r="U1700" s="9">
        <v>0</v>
      </c>
      <c r="V1700" s="9">
        <f t="shared" si="1228"/>
        <v>0</v>
      </c>
      <c r="W1700" s="7" t="s">
        <v>97</v>
      </c>
      <c r="X1700" s="2">
        <v>2016</v>
      </c>
      <c r="Y1700" s="2" t="s">
        <v>7793</v>
      </c>
    </row>
    <row r="1701" spans="1:25" s="11" customFormat="1" ht="89.25" customHeight="1" outlineLevel="1" x14ac:dyDescent="0.25">
      <c r="A1701" s="1"/>
      <c r="B1701" s="2" t="s">
        <v>8227</v>
      </c>
      <c r="C1701" s="3" t="s">
        <v>83</v>
      </c>
      <c r="D1701" s="3" t="s">
        <v>3122</v>
      </c>
      <c r="E1701" s="3" t="s">
        <v>3123</v>
      </c>
      <c r="F1701" s="3" t="s">
        <v>3124</v>
      </c>
      <c r="G1701" s="19" t="s">
        <v>3125</v>
      </c>
      <c r="H1701" s="2" t="s">
        <v>88</v>
      </c>
      <c r="I1701" s="4">
        <v>0</v>
      </c>
      <c r="J1701" s="5">
        <v>710000000</v>
      </c>
      <c r="K1701" s="5" t="s">
        <v>89</v>
      </c>
      <c r="L1701" s="2" t="s">
        <v>754</v>
      </c>
      <c r="M1701" s="6" t="s">
        <v>787</v>
      </c>
      <c r="N1701" s="7" t="s">
        <v>92</v>
      </c>
      <c r="O1701" s="7" t="s">
        <v>93</v>
      </c>
      <c r="P1701" s="3" t="s">
        <v>673</v>
      </c>
      <c r="Q1701" s="8" t="s">
        <v>544</v>
      </c>
      <c r="R1701" s="7" t="s">
        <v>111</v>
      </c>
      <c r="S1701" s="9">
        <f>500+300+300</f>
        <v>1100</v>
      </c>
      <c r="T1701" s="9">
        <v>17.86</v>
      </c>
      <c r="U1701" s="9">
        <f t="shared" ref="U1701" si="1327">T1701*S1701</f>
        <v>19646</v>
      </c>
      <c r="V1701" s="9">
        <f t="shared" ref="V1701" si="1328">U1701*1.12</f>
        <v>22003.52</v>
      </c>
      <c r="W1701" s="7"/>
      <c r="X1701" s="2">
        <v>2016</v>
      </c>
      <c r="Y1701" s="2"/>
    </row>
    <row r="1702" spans="1:25" s="20" customFormat="1" ht="89.25" customHeight="1" outlineLevel="1" x14ac:dyDescent="0.25">
      <c r="A1702" s="1"/>
      <c r="B1702" s="2" t="s">
        <v>6352</v>
      </c>
      <c r="C1702" s="51" t="s">
        <v>83</v>
      </c>
      <c r="D1702" s="51" t="s">
        <v>3126</v>
      </c>
      <c r="E1702" s="51" t="s">
        <v>3127</v>
      </c>
      <c r="F1702" s="51" t="s">
        <v>3128</v>
      </c>
      <c r="G1702" s="19" t="s">
        <v>3129</v>
      </c>
      <c r="H1702" s="2" t="s">
        <v>88</v>
      </c>
      <c r="I1702" s="4">
        <v>0.4</v>
      </c>
      <c r="J1702" s="5">
        <v>710000000</v>
      </c>
      <c r="K1702" s="5" t="s">
        <v>89</v>
      </c>
      <c r="L1702" s="2" t="s">
        <v>754</v>
      </c>
      <c r="M1702" s="6" t="s">
        <v>787</v>
      </c>
      <c r="N1702" s="7" t="s">
        <v>92</v>
      </c>
      <c r="O1702" s="7" t="s">
        <v>93</v>
      </c>
      <c r="P1702" s="3" t="s">
        <v>94</v>
      </c>
      <c r="Q1702" s="8" t="s">
        <v>522</v>
      </c>
      <c r="R1702" s="7" t="s">
        <v>523</v>
      </c>
      <c r="S1702" s="9">
        <f>250+10+32+2+5+3</f>
        <v>302</v>
      </c>
      <c r="T1702" s="9">
        <v>1786</v>
      </c>
      <c r="U1702" s="9">
        <v>0</v>
      </c>
      <c r="V1702" s="9">
        <f t="shared" si="1228"/>
        <v>0</v>
      </c>
      <c r="W1702" s="7" t="s">
        <v>97</v>
      </c>
      <c r="X1702" s="2">
        <v>2016</v>
      </c>
      <c r="Y1702" s="2" t="s">
        <v>7793</v>
      </c>
    </row>
    <row r="1703" spans="1:25" s="20" customFormat="1" ht="89.25" customHeight="1" outlineLevel="1" x14ac:dyDescent="0.25">
      <c r="A1703" s="1"/>
      <c r="B1703" s="2" t="s">
        <v>8228</v>
      </c>
      <c r="C1703" s="51" t="s">
        <v>83</v>
      </c>
      <c r="D1703" s="51" t="s">
        <v>3126</v>
      </c>
      <c r="E1703" s="51" t="s">
        <v>3127</v>
      </c>
      <c r="F1703" s="51" t="s">
        <v>3128</v>
      </c>
      <c r="G1703" s="19" t="s">
        <v>3129</v>
      </c>
      <c r="H1703" s="2" t="s">
        <v>88</v>
      </c>
      <c r="I1703" s="4">
        <v>0</v>
      </c>
      <c r="J1703" s="5">
        <v>710000000</v>
      </c>
      <c r="K1703" s="5" t="s">
        <v>89</v>
      </c>
      <c r="L1703" s="2" t="s">
        <v>754</v>
      </c>
      <c r="M1703" s="6" t="s">
        <v>787</v>
      </c>
      <c r="N1703" s="7" t="s">
        <v>92</v>
      </c>
      <c r="O1703" s="7" t="s">
        <v>93</v>
      </c>
      <c r="P1703" s="3" t="s">
        <v>673</v>
      </c>
      <c r="Q1703" s="8" t="s">
        <v>522</v>
      </c>
      <c r="R1703" s="7" t="s">
        <v>523</v>
      </c>
      <c r="S1703" s="9">
        <f>250+10+32+2+5+3</f>
        <v>302</v>
      </c>
      <c r="T1703" s="9">
        <v>1786</v>
      </c>
      <c r="U1703" s="9">
        <f t="shared" ref="U1703" si="1329">T1703*S1703</f>
        <v>539372</v>
      </c>
      <c r="V1703" s="9">
        <f t="shared" ref="V1703" si="1330">U1703*1.12</f>
        <v>604096.64</v>
      </c>
      <c r="W1703" s="7"/>
      <c r="X1703" s="2">
        <v>2016</v>
      </c>
      <c r="Y1703" s="2"/>
    </row>
    <row r="1704" spans="1:25" s="11" customFormat="1" ht="89.25" customHeight="1" outlineLevel="1" x14ac:dyDescent="0.25">
      <c r="A1704" s="1"/>
      <c r="B1704" s="2" t="s">
        <v>6353</v>
      </c>
      <c r="C1704" s="3" t="s">
        <v>83</v>
      </c>
      <c r="D1704" s="3" t="s">
        <v>3130</v>
      </c>
      <c r="E1704" s="3" t="s">
        <v>3131</v>
      </c>
      <c r="F1704" s="3" t="s">
        <v>3132</v>
      </c>
      <c r="G1704" s="19" t="s">
        <v>3133</v>
      </c>
      <c r="H1704" s="2" t="s">
        <v>88</v>
      </c>
      <c r="I1704" s="4">
        <v>0.4</v>
      </c>
      <c r="J1704" s="5">
        <v>710000000</v>
      </c>
      <c r="K1704" s="5" t="s">
        <v>89</v>
      </c>
      <c r="L1704" s="2" t="s">
        <v>754</v>
      </c>
      <c r="M1704" s="6" t="s">
        <v>787</v>
      </c>
      <c r="N1704" s="7" t="s">
        <v>92</v>
      </c>
      <c r="O1704" s="7" t="s">
        <v>93</v>
      </c>
      <c r="P1704" s="3" t="s">
        <v>94</v>
      </c>
      <c r="Q1704" s="8" t="s">
        <v>544</v>
      </c>
      <c r="R1704" s="7" t="s">
        <v>111</v>
      </c>
      <c r="S1704" s="9">
        <v>125</v>
      </c>
      <c r="T1704" s="9">
        <v>133.91999999999999</v>
      </c>
      <c r="U1704" s="9">
        <v>0</v>
      </c>
      <c r="V1704" s="9">
        <f t="shared" si="1228"/>
        <v>0</v>
      </c>
      <c r="W1704" s="7" t="s">
        <v>97</v>
      </c>
      <c r="X1704" s="2">
        <v>2016</v>
      </c>
      <c r="Y1704" s="2" t="s">
        <v>7793</v>
      </c>
    </row>
    <row r="1705" spans="1:25" s="11" customFormat="1" ht="89.25" customHeight="1" outlineLevel="1" x14ac:dyDescent="0.25">
      <c r="A1705" s="1"/>
      <c r="B1705" s="2" t="s">
        <v>8229</v>
      </c>
      <c r="C1705" s="3" t="s">
        <v>83</v>
      </c>
      <c r="D1705" s="3" t="s">
        <v>3130</v>
      </c>
      <c r="E1705" s="3" t="s">
        <v>3131</v>
      </c>
      <c r="F1705" s="3" t="s">
        <v>3132</v>
      </c>
      <c r="G1705" s="19" t="s">
        <v>3133</v>
      </c>
      <c r="H1705" s="2" t="s">
        <v>88</v>
      </c>
      <c r="I1705" s="4">
        <v>0</v>
      </c>
      <c r="J1705" s="5">
        <v>710000000</v>
      </c>
      <c r="K1705" s="5" t="s">
        <v>89</v>
      </c>
      <c r="L1705" s="2" t="s">
        <v>754</v>
      </c>
      <c r="M1705" s="6" t="s">
        <v>787</v>
      </c>
      <c r="N1705" s="7" t="s">
        <v>92</v>
      </c>
      <c r="O1705" s="7" t="s">
        <v>93</v>
      </c>
      <c r="P1705" s="3" t="s">
        <v>673</v>
      </c>
      <c r="Q1705" s="8" t="s">
        <v>544</v>
      </c>
      <c r="R1705" s="7" t="s">
        <v>111</v>
      </c>
      <c r="S1705" s="9">
        <v>125</v>
      </c>
      <c r="T1705" s="9">
        <v>133.91999999999999</v>
      </c>
      <c r="U1705" s="9">
        <f t="shared" ref="U1705" si="1331">T1705*S1705</f>
        <v>16740</v>
      </c>
      <c r="V1705" s="9">
        <f t="shared" ref="V1705" si="1332">U1705*1.12</f>
        <v>18748.800000000003</v>
      </c>
      <c r="W1705" s="7"/>
      <c r="X1705" s="2">
        <v>2016</v>
      </c>
      <c r="Y1705" s="2"/>
    </row>
    <row r="1706" spans="1:25" s="11" customFormat="1" ht="89.25" customHeight="1" outlineLevel="1" x14ac:dyDescent="0.25">
      <c r="A1706" s="1"/>
      <c r="B1706" s="2" t="s">
        <v>6354</v>
      </c>
      <c r="C1706" s="3" t="s">
        <v>83</v>
      </c>
      <c r="D1706" s="3" t="s">
        <v>3134</v>
      </c>
      <c r="E1706" s="3" t="s">
        <v>3119</v>
      </c>
      <c r="F1706" s="3" t="s">
        <v>3135</v>
      </c>
      <c r="G1706" s="19" t="s">
        <v>3136</v>
      </c>
      <c r="H1706" s="2" t="s">
        <v>88</v>
      </c>
      <c r="I1706" s="4">
        <v>0.4</v>
      </c>
      <c r="J1706" s="5">
        <v>710000000</v>
      </c>
      <c r="K1706" s="5" t="s">
        <v>89</v>
      </c>
      <c r="L1706" s="2" t="s">
        <v>754</v>
      </c>
      <c r="M1706" s="6" t="s">
        <v>787</v>
      </c>
      <c r="N1706" s="7" t="s">
        <v>92</v>
      </c>
      <c r="O1706" s="7" t="s">
        <v>93</v>
      </c>
      <c r="P1706" s="3" t="s">
        <v>94</v>
      </c>
      <c r="Q1706" s="8">
        <v>796</v>
      </c>
      <c r="R1706" s="7" t="s">
        <v>118</v>
      </c>
      <c r="S1706" s="9">
        <f>250+14+77+5+5+5</f>
        <v>356</v>
      </c>
      <c r="T1706" s="9">
        <v>1349</v>
      </c>
      <c r="U1706" s="9">
        <v>0</v>
      </c>
      <c r="V1706" s="9">
        <f t="shared" si="1228"/>
        <v>0</v>
      </c>
      <c r="W1706" s="7" t="s">
        <v>97</v>
      </c>
      <c r="X1706" s="2">
        <v>2016</v>
      </c>
      <c r="Y1706" s="2" t="s">
        <v>7793</v>
      </c>
    </row>
    <row r="1707" spans="1:25" s="11" customFormat="1" ht="89.25" customHeight="1" outlineLevel="1" x14ac:dyDescent="0.25">
      <c r="A1707" s="1"/>
      <c r="B1707" s="2" t="s">
        <v>8230</v>
      </c>
      <c r="C1707" s="3" t="s">
        <v>83</v>
      </c>
      <c r="D1707" s="3" t="s">
        <v>3134</v>
      </c>
      <c r="E1707" s="3" t="s">
        <v>3119</v>
      </c>
      <c r="F1707" s="3" t="s">
        <v>3135</v>
      </c>
      <c r="G1707" s="19" t="s">
        <v>3136</v>
      </c>
      <c r="H1707" s="2" t="s">
        <v>88</v>
      </c>
      <c r="I1707" s="4">
        <v>0</v>
      </c>
      <c r="J1707" s="5">
        <v>710000000</v>
      </c>
      <c r="K1707" s="5" t="s">
        <v>89</v>
      </c>
      <c r="L1707" s="2" t="s">
        <v>754</v>
      </c>
      <c r="M1707" s="6" t="s">
        <v>787</v>
      </c>
      <c r="N1707" s="7" t="s">
        <v>92</v>
      </c>
      <c r="O1707" s="7" t="s">
        <v>93</v>
      </c>
      <c r="P1707" s="3" t="s">
        <v>673</v>
      </c>
      <c r="Q1707" s="8">
        <v>796</v>
      </c>
      <c r="R1707" s="7" t="s">
        <v>118</v>
      </c>
      <c r="S1707" s="9">
        <f>250+14+77+5+5+5</f>
        <v>356</v>
      </c>
      <c r="T1707" s="9">
        <v>1349</v>
      </c>
      <c r="U1707" s="9">
        <f t="shared" ref="U1707" si="1333">T1707*S1707</f>
        <v>480244</v>
      </c>
      <c r="V1707" s="9">
        <f t="shared" ref="V1707" si="1334">U1707*1.12</f>
        <v>537873.28</v>
      </c>
      <c r="W1707" s="7"/>
      <c r="X1707" s="2">
        <v>2016</v>
      </c>
      <c r="Y1707" s="2"/>
    </row>
    <row r="1708" spans="1:25" s="11" customFormat="1" ht="89.25" customHeight="1" outlineLevel="1" x14ac:dyDescent="0.25">
      <c r="A1708" s="1"/>
      <c r="B1708" s="2" t="s">
        <v>6355</v>
      </c>
      <c r="C1708" s="3" t="s">
        <v>83</v>
      </c>
      <c r="D1708" s="3" t="s">
        <v>3137</v>
      </c>
      <c r="E1708" s="3" t="s">
        <v>3138</v>
      </c>
      <c r="F1708" s="3" t="s">
        <v>3139</v>
      </c>
      <c r="G1708" s="19" t="s">
        <v>3140</v>
      </c>
      <c r="H1708" s="2" t="s">
        <v>88</v>
      </c>
      <c r="I1708" s="4">
        <v>0.4</v>
      </c>
      <c r="J1708" s="5">
        <v>710000000</v>
      </c>
      <c r="K1708" s="5" t="s">
        <v>89</v>
      </c>
      <c r="L1708" s="2" t="s">
        <v>754</v>
      </c>
      <c r="M1708" s="6" t="s">
        <v>787</v>
      </c>
      <c r="N1708" s="7" t="s">
        <v>92</v>
      </c>
      <c r="O1708" s="7" t="s">
        <v>93</v>
      </c>
      <c r="P1708" s="3" t="s">
        <v>94</v>
      </c>
      <c r="Q1708" s="8" t="s">
        <v>544</v>
      </c>
      <c r="R1708" s="7" t="s">
        <v>111</v>
      </c>
      <c r="S1708" s="9">
        <f>20+5+9+1+7</f>
        <v>42</v>
      </c>
      <c r="T1708" s="9">
        <v>1384</v>
      </c>
      <c r="U1708" s="9">
        <v>0</v>
      </c>
      <c r="V1708" s="9">
        <f t="shared" si="1228"/>
        <v>0</v>
      </c>
      <c r="W1708" s="7" t="s">
        <v>97</v>
      </c>
      <c r="X1708" s="2">
        <v>2016</v>
      </c>
      <c r="Y1708" s="2" t="s">
        <v>7793</v>
      </c>
    </row>
    <row r="1709" spans="1:25" s="11" customFormat="1" ht="89.25" customHeight="1" outlineLevel="1" x14ac:dyDescent="0.25">
      <c r="A1709" s="1"/>
      <c r="B1709" s="2" t="s">
        <v>8231</v>
      </c>
      <c r="C1709" s="3" t="s">
        <v>83</v>
      </c>
      <c r="D1709" s="3" t="s">
        <v>3137</v>
      </c>
      <c r="E1709" s="3" t="s">
        <v>3138</v>
      </c>
      <c r="F1709" s="3" t="s">
        <v>3139</v>
      </c>
      <c r="G1709" s="19" t="s">
        <v>3140</v>
      </c>
      <c r="H1709" s="2" t="s">
        <v>88</v>
      </c>
      <c r="I1709" s="4">
        <v>0</v>
      </c>
      <c r="J1709" s="5">
        <v>710000000</v>
      </c>
      <c r="K1709" s="5" t="s">
        <v>89</v>
      </c>
      <c r="L1709" s="2" t="s">
        <v>754</v>
      </c>
      <c r="M1709" s="6" t="s">
        <v>787</v>
      </c>
      <c r="N1709" s="7" t="s">
        <v>92</v>
      </c>
      <c r="O1709" s="7" t="s">
        <v>93</v>
      </c>
      <c r="P1709" s="3" t="s">
        <v>673</v>
      </c>
      <c r="Q1709" s="8" t="s">
        <v>544</v>
      </c>
      <c r="R1709" s="7" t="s">
        <v>111</v>
      </c>
      <c r="S1709" s="9">
        <f>20+5+9+1+7</f>
        <v>42</v>
      </c>
      <c r="T1709" s="9">
        <v>1384</v>
      </c>
      <c r="U1709" s="9">
        <f t="shared" ref="U1709" si="1335">T1709*S1709</f>
        <v>58128</v>
      </c>
      <c r="V1709" s="9">
        <f t="shared" ref="V1709" si="1336">U1709*1.12</f>
        <v>65103.360000000008</v>
      </c>
      <c r="W1709" s="7"/>
      <c r="X1709" s="2">
        <v>2016</v>
      </c>
      <c r="Y1709" s="2"/>
    </row>
    <row r="1710" spans="1:25" s="11" customFormat="1" ht="89.25" customHeight="1" outlineLevel="1" x14ac:dyDescent="0.25">
      <c r="A1710" s="1"/>
      <c r="B1710" s="2" t="s">
        <v>6356</v>
      </c>
      <c r="C1710" s="3" t="s">
        <v>83</v>
      </c>
      <c r="D1710" s="3" t="s">
        <v>3141</v>
      </c>
      <c r="E1710" s="3" t="s">
        <v>3142</v>
      </c>
      <c r="F1710" s="3" t="s">
        <v>3143</v>
      </c>
      <c r="G1710" s="19" t="s">
        <v>3144</v>
      </c>
      <c r="H1710" s="2" t="s">
        <v>88</v>
      </c>
      <c r="I1710" s="4">
        <v>0.4</v>
      </c>
      <c r="J1710" s="5">
        <v>710000000</v>
      </c>
      <c r="K1710" s="5" t="s">
        <v>89</v>
      </c>
      <c r="L1710" s="2" t="s">
        <v>754</v>
      </c>
      <c r="M1710" s="6" t="s">
        <v>787</v>
      </c>
      <c r="N1710" s="7" t="s">
        <v>92</v>
      </c>
      <c r="O1710" s="7" t="s">
        <v>93</v>
      </c>
      <c r="P1710" s="3" t="s">
        <v>94</v>
      </c>
      <c r="Q1710" s="8" t="s">
        <v>544</v>
      </c>
      <c r="R1710" s="7" t="s">
        <v>111</v>
      </c>
      <c r="S1710" s="9">
        <f>3950+850</f>
        <v>4800</v>
      </c>
      <c r="T1710" s="9">
        <v>269</v>
      </c>
      <c r="U1710" s="9">
        <v>0</v>
      </c>
      <c r="V1710" s="9">
        <f t="shared" si="1228"/>
        <v>0</v>
      </c>
      <c r="W1710" s="7" t="s">
        <v>97</v>
      </c>
      <c r="X1710" s="2">
        <v>2016</v>
      </c>
      <c r="Y1710" s="2" t="s">
        <v>7793</v>
      </c>
    </row>
    <row r="1711" spans="1:25" s="11" customFormat="1" ht="89.25" customHeight="1" outlineLevel="1" x14ac:dyDescent="0.25">
      <c r="A1711" s="1"/>
      <c r="B1711" s="2" t="s">
        <v>8232</v>
      </c>
      <c r="C1711" s="3" t="s">
        <v>83</v>
      </c>
      <c r="D1711" s="3" t="s">
        <v>3141</v>
      </c>
      <c r="E1711" s="3" t="s">
        <v>3142</v>
      </c>
      <c r="F1711" s="3" t="s">
        <v>3143</v>
      </c>
      <c r="G1711" s="19" t="s">
        <v>3144</v>
      </c>
      <c r="H1711" s="2" t="s">
        <v>88</v>
      </c>
      <c r="I1711" s="4">
        <v>0</v>
      </c>
      <c r="J1711" s="5">
        <v>710000000</v>
      </c>
      <c r="K1711" s="5" t="s">
        <v>89</v>
      </c>
      <c r="L1711" s="2" t="s">
        <v>754</v>
      </c>
      <c r="M1711" s="6" t="s">
        <v>787</v>
      </c>
      <c r="N1711" s="7" t="s">
        <v>92</v>
      </c>
      <c r="O1711" s="7" t="s">
        <v>93</v>
      </c>
      <c r="P1711" s="3" t="s">
        <v>673</v>
      </c>
      <c r="Q1711" s="8" t="s">
        <v>544</v>
      </c>
      <c r="R1711" s="7" t="s">
        <v>111</v>
      </c>
      <c r="S1711" s="9">
        <f>3950+850</f>
        <v>4800</v>
      </c>
      <c r="T1711" s="9">
        <v>269</v>
      </c>
      <c r="U1711" s="9">
        <f t="shared" ref="U1711" si="1337">T1711*S1711</f>
        <v>1291200</v>
      </c>
      <c r="V1711" s="9">
        <f t="shared" ref="V1711" si="1338">U1711*1.12</f>
        <v>1446144.0000000002</v>
      </c>
      <c r="W1711" s="7"/>
      <c r="X1711" s="2">
        <v>2016</v>
      </c>
      <c r="Y1711" s="2"/>
    </row>
    <row r="1712" spans="1:25" s="11" customFormat="1" ht="89.25" customHeight="1" outlineLevel="1" x14ac:dyDescent="0.25">
      <c r="A1712" s="1"/>
      <c r="B1712" s="2" t="s">
        <v>6357</v>
      </c>
      <c r="C1712" s="3" t="s">
        <v>83</v>
      </c>
      <c r="D1712" s="3" t="s">
        <v>3145</v>
      </c>
      <c r="E1712" s="3" t="s">
        <v>3142</v>
      </c>
      <c r="F1712" s="3" t="s">
        <v>3146</v>
      </c>
      <c r="G1712" s="19" t="s">
        <v>3147</v>
      </c>
      <c r="H1712" s="2" t="s">
        <v>88</v>
      </c>
      <c r="I1712" s="4">
        <v>0.4</v>
      </c>
      <c r="J1712" s="5">
        <v>710000000</v>
      </c>
      <c r="K1712" s="5" t="s">
        <v>89</v>
      </c>
      <c r="L1712" s="2" t="s">
        <v>754</v>
      </c>
      <c r="M1712" s="6" t="s">
        <v>787</v>
      </c>
      <c r="N1712" s="7" t="s">
        <v>92</v>
      </c>
      <c r="O1712" s="7" t="s">
        <v>93</v>
      </c>
      <c r="P1712" s="3" t="s">
        <v>94</v>
      </c>
      <c r="Q1712" s="8" t="s">
        <v>522</v>
      </c>
      <c r="R1712" s="7" t="s">
        <v>523</v>
      </c>
      <c r="S1712" s="9">
        <v>10</v>
      </c>
      <c r="T1712" s="9">
        <v>2900</v>
      </c>
      <c r="U1712" s="9">
        <v>0</v>
      </c>
      <c r="V1712" s="9">
        <f t="shared" si="1228"/>
        <v>0</v>
      </c>
      <c r="W1712" s="7" t="s">
        <v>97</v>
      </c>
      <c r="X1712" s="2">
        <v>2016</v>
      </c>
      <c r="Y1712" s="2" t="s">
        <v>7793</v>
      </c>
    </row>
    <row r="1713" spans="1:25" s="11" customFormat="1" ht="89.25" customHeight="1" outlineLevel="1" x14ac:dyDescent="0.25">
      <c r="A1713" s="1"/>
      <c r="B1713" s="2" t="s">
        <v>8233</v>
      </c>
      <c r="C1713" s="3" t="s">
        <v>83</v>
      </c>
      <c r="D1713" s="3" t="s">
        <v>3145</v>
      </c>
      <c r="E1713" s="3" t="s">
        <v>3142</v>
      </c>
      <c r="F1713" s="3" t="s">
        <v>3146</v>
      </c>
      <c r="G1713" s="19" t="s">
        <v>3147</v>
      </c>
      <c r="H1713" s="2" t="s">
        <v>88</v>
      </c>
      <c r="I1713" s="4">
        <v>0</v>
      </c>
      <c r="J1713" s="5">
        <v>710000000</v>
      </c>
      <c r="K1713" s="5" t="s">
        <v>89</v>
      </c>
      <c r="L1713" s="2" t="s">
        <v>754</v>
      </c>
      <c r="M1713" s="6" t="s">
        <v>787</v>
      </c>
      <c r="N1713" s="7" t="s">
        <v>92</v>
      </c>
      <c r="O1713" s="7" t="s">
        <v>93</v>
      </c>
      <c r="P1713" s="3" t="s">
        <v>673</v>
      </c>
      <c r="Q1713" s="8" t="s">
        <v>522</v>
      </c>
      <c r="R1713" s="7" t="s">
        <v>523</v>
      </c>
      <c r="S1713" s="9">
        <v>10</v>
      </c>
      <c r="T1713" s="9">
        <v>2900</v>
      </c>
      <c r="U1713" s="9">
        <f t="shared" ref="U1713" si="1339">T1713*S1713</f>
        <v>29000</v>
      </c>
      <c r="V1713" s="9">
        <f t="shared" ref="V1713" si="1340">U1713*1.12</f>
        <v>32480.000000000004</v>
      </c>
      <c r="W1713" s="7"/>
      <c r="X1713" s="2">
        <v>2016</v>
      </c>
      <c r="Y1713" s="2"/>
    </row>
    <row r="1714" spans="1:25" s="11" customFormat="1" ht="89.25" customHeight="1" outlineLevel="1" x14ac:dyDescent="0.25">
      <c r="A1714" s="1"/>
      <c r="B1714" s="2" t="s">
        <v>6358</v>
      </c>
      <c r="C1714" s="3" t="s">
        <v>83</v>
      </c>
      <c r="D1714" s="3" t="s">
        <v>3148</v>
      </c>
      <c r="E1714" s="3" t="s">
        <v>3142</v>
      </c>
      <c r="F1714" s="3" t="s">
        <v>3149</v>
      </c>
      <c r="G1714" s="19" t="s">
        <v>3150</v>
      </c>
      <c r="H1714" s="2" t="s">
        <v>88</v>
      </c>
      <c r="I1714" s="4">
        <v>0.4</v>
      </c>
      <c r="J1714" s="5">
        <v>710000000</v>
      </c>
      <c r="K1714" s="5" t="s">
        <v>89</v>
      </c>
      <c r="L1714" s="2" t="s">
        <v>754</v>
      </c>
      <c r="M1714" s="6" t="s">
        <v>787</v>
      </c>
      <c r="N1714" s="7" t="s">
        <v>92</v>
      </c>
      <c r="O1714" s="7" t="s">
        <v>93</v>
      </c>
      <c r="P1714" s="3" t="s">
        <v>94</v>
      </c>
      <c r="Q1714" s="8" t="s">
        <v>2361</v>
      </c>
      <c r="R1714" s="7" t="s">
        <v>2362</v>
      </c>
      <c r="S1714" s="9">
        <v>20</v>
      </c>
      <c r="T1714" s="9">
        <v>732</v>
      </c>
      <c r="U1714" s="9">
        <v>0</v>
      </c>
      <c r="V1714" s="9">
        <f t="shared" si="1228"/>
        <v>0</v>
      </c>
      <c r="W1714" s="7" t="s">
        <v>97</v>
      </c>
      <c r="X1714" s="2">
        <v>2016</v>
      </c>
      <c r="Y1714" s="2" t="s">
        <v>7793</v>
      </c>
    </row>
    <row r="1715" spans="1:25" s="11" customFormat="1" ht="89.25" customHeight="1" outlineLevel="1" x14ac:dyDescent="0.25">
      <c r="A1715" s="1"/>
      <c r="B1715" s="2" t="s">
        <v>8234</v>
      </c>
      <c r="C1715" s="3" t="s">
        <v>83</v>
      </c>
      <c r="D1715" s="3" t="s">
        <v>3148</v>
      </c>
      <c r="E1715" s="3" t="s">
        <v>3142</v>
      </c>
      <c r="F1715" s="3" t="s">
        <v>3149</v>
      </c>
      <c r="G1715" s="19" t="s">
        <v>3150</v>
      </c>
      <c r="H1715" s="2" t="s">
        <v>88</v>
      </c>
      <c r="I1715" s="4">
        <v>0</v>
      </c>
      <c r="J1715" s="5">
        <v>710000000</v>
      </c>
      <c r="K1715" s="5" t="s">
        <v>89</v>
      </c>
      <c r="L1715" s="2" t="s">
        <v>754</v>
      </c>
      <c r="M1715" s="6" t="s">
        <v>787</v>
      </c>
      <c r="N1715" s="7" t="s">
        <v>92</v>
      </c>
      <c r="O1715" s="7" t="s">
        <v>93</v>
      </c>
      <c r="P1715" s="3" t="s">
        <v>673</v>
      </c>
      <c r="Q1715" s="8" t="s">
        <v>2361</v>
      </c>
      <c r="R1715" s="7" t="s">
        <v>2362</v>
      </c>
      <c r="S1715" s="9">
        <v>20</v>
      </c>
      <c r="T1715" s="9">
        <v>732</v>
      </c>
      <c r="U1715" s="9">
        <f t="shared" ref="U1715" si="1341">T1715*S1715</f>
        <v>14640</v>
      </c>
      <c r="V1715" s="9">
        <f t="shared" ref="V1715" si="1342">U1715*1.12</f>
        <v>16396.800000000003</v>
      </c>
      <c r="W1715" s="7"/>
      <c r="X1715" s="2">
        <v>2016</v>
      </c>
      <c r="Y1715" s="2"/>
    </row>
    <row r="1716" spans="1:25" s="11" customFormat="1" ht="89.25" customHeight="1" outlineLevel="1" x14ac:dyDescent="0.25">
      <c r="A1716" s="1"/>
      <c r="B1716" s="2" t="s">
        <v>6359</v>
      </c>
      <c r="C1716" s="3" t="s">
        <v>83</v>
      </c>
      <c r="D1716" s="3" t="s">
        <v>3151</v>
      </c>
      <c r="E1716" s="3" t="s">
        <v>3152</v>
      </c>
      <c r="F1716" s="3" t="s">
        <v>3153</v>
      </c>
      <c r="G1716" s="19" t="s">
        <v>3154</v>
      </c>
      <c r="H1716" s="2" t="s">
        <v>88</v>
      </c>
      <c r="I1716" s="4">
        <v>0.4</v>
      </c>
      <c r="J1716" s="5">
        <v>710000000</v>
      </c>
      <c r="K1716" s="5" t="s">
        <v>89</v>
      </c>
      <c r="L1716" s="2" t="s">
        <v>754</v>
      </c>
      <c r="M1716" s="6" t="s">
        <v>787</v>
      </c>
      <c r="N1716" s="7" t="s">
        <v>92</v>
      </c>
      <c r="O1716" s="7" t="s">
        <v>93</v>
      </c>
      <c r="P1716" s="3" t="s">
        <v>94</v>
      </c>
      <c r="Q1716" s="8" t="s">
        <v>2361</v>
      </c>
      <c r="R1716" s="7" t="s">
        <v>2362</v>
      </c>
      <c r="S1716" s="9">
        <f>20+70+252+10+6+5+5+12+7+3+7+1+1+1</f>
        <v>400</v>
      </c>
      <c r="T1716" s="9">
        <v>1339</v>
      </c>
      <c r="U1716" s="9">
        <v>0</v>
      </c>
      <c r="V1716" s="9">
        <f t="shared" si="1228"/>
        <v>0</v>
      </c>
      <c r="W1716" s="7" t="s">
        <v>97</v>
      </c>
      <c r="X1716" s="2">
        <v>2016</v>
      </c>
      <c r="Y1716" s="2" t="s">
        <v>7793</v>
      </c>
    </row>
    <row r="1717" spans="1:25" s="11" customFormat="1" ht="89.25" customHeight="1" outlineLevel="1" x14ac:dyDescent="0.25">
      <c r="A1717" s="1"/>
      <c r="B1717" s="2" t="s">
        <v>8235</v>
      </c>
      <c r="C1717" s="3" t="s">
        <v>83</v>
      </c>
      <c r="D1717" s="3" t="s">
        <v>3151</v>
      </c>
      <c r="E1717" s="3" t="s">
        <v>3152</v>
      </c>
      <c r="F1717" s="3" t="s">
        <v>3153</v>
      </c>
      <c r="G1717" s="19" t="s">
        <v>3154</v>
      </c>
      <c r="H1717" s="2" t="s">
        <v>88</v>
      </c>
      <c r="I1717" s="4">
        <v>0</v>
      </c>
      <c r="J1717" s="5">
        <v>710000000</v>
      </c>
      <c r="K1717" s="5" t="s">
        <v>89</v>
      </c>
      <c r="L1717" s="2" t="s">
        <v>754</v>
      </c>
      <c r="M1717" s="6" t="s">
        <v>787</v>
      </c>
      <c r="N1717" s="7" t="s">
        <v>92</v>
      </c>
      <c r="O1717" s="7" t="s">
        <v>93</v>
      </c>
      <c r="P1717" s="3" t="s">
        <v>673</v>
      </c>
      <c r="Q1717" s="8" t="s">
        <v>2361</v>
      </c>
      <c r="R1717" s="7" t="s">
        <v>2362</v>
      </c>
      <c r="S1717" s="9">
        <f>20+70+252+10+6+5+5+12+7+3+7+1+1+1</f>
        <v>400</v>
      </c>
      <c r="T1717" s="9">
        <v>1339</v>
      </c>
      <c r="U1717" s="9">
        <f t="shared" ref="U1717" si="1343">T1717*S1717</f>
        <v>535600</v>
      </c>
      <c r="V1717" s="9">
        <f t="shared" ref="V1717" si="1344">U1717*1.12</f>
        <v>599872</v>
      </c>
      <c r="W1717" s="7"/>
      <c r="X1717" s="2">
        <v>2016</v>
      </c>
      <c r="Y1717" s="2"/>
    </row>
    <row r="1718" spans="1:25" s="11" customFormat="1" ht="89.25" customHeight="1" outlineLevel="1" x14ac:dyDescent="0.25">
      <c r="A1718" s="1"/>
      <c r="B1718" s="2" t="s">
        <v>6360</v>
      </c>
      <c r="C1718" s="3" t="s">
        <v>83</v>
      </c>
      <c r="D1718" s="3" t="s">
        <v>3155</v>
      </c>
      <c r="E1718" s="3" t="s">
        <v>3156</v>
      </c>
      <c r="F1718" s="3" t="s">
        <v>3157</v>
      </c>
      <c r="G1718" s="19" t="s">
        <v>3158</v>
      </c>
      <c r="H1718" s="2" t="s">
        <v>88</v>
      </c>
      <c r="I1718" s="4">
        <v>0.4</v>
      </c>
      <c r="J1718" s="5">
        <v>710000000</v>
      </c>
      <c r="K1718" s="5" t="s">
        <v>89</v>
      </c>
      <c r="L1718" s="2" t="s">
        <v>754</v>
      </c>
      <c r="M1718" s="6" t="s">
        <v>787</v>
      </c>
      <c r="N1718" s="7" t="s">
        <v>92</v>
      </c>
      <c r="O1718" s="7" t="s">
        <v>93</v>
      </c>
      <c r="P1718" s="3" t="s">
        <v>94</v>
      </c>
      <c r="Q1718" s="8" t="s">
        <v>544</v>
      </c>
      <c r="R1718" s="7" t="s">
        <v>111</v>
      </c>
      <c r="S1718" s="9">
        <v>50</v>
      </c>
      <c r="T1718" s="9">
        <v>125</v>
      </c>
      <c r="U1718" s="9">
        <v>0</v>
      </c>
      <c r="V1718" s="9">
        <f t="shared" si="1228"/>
        <v>0</v>
      </c>
      <c r="W1718" s="7" t="s">
        <v>97</v>
      </c>
      <c r="X1718" s="2">
        <v>2016</v>
      </c>
      <c r="Y1718" s="2" t="s">
        <v>7793</v>
      </c>
    </row>
    <row r="1719" spans="1:25" s="11" customFormat="1" ht="89.25" customHeight="1" outlineLevel="1" x14ac:dyDescent="0.25">
      <c r="A1719" s="1"/>
      <c r="B1719" s="2" t="s">
        <v>8236</v>
      </c>
      <c r="C1719" s="3" t="s">
        <v>83</v>
      </c>
      <c r="D1719" s="3" t="s">
        <v>3155</v>
      </c>
      <c r="E1719" s="3" t="s">
        <v>3156</v>
      </c>
      <c r="F1719" s="3" t="s">
        <v>3157</v>
      </c>
      <c r="G1719" s="19" t="s">
        <v>3158</v>
      </c>
      <c r="H1719" s="2" t="s">
        <v>88</v>
      </c>
      <c r="I1719" s="4">
        <v>0</v>
      </c>
      <c r="J1719" s="5">
        <v>710000000</v>
      </c>
      <c r="K1719" s="5" t="s">
        <v>89</v>
      </c>
      <c r="L1719" s="2" t="s">
        <v>754</v>
      </c>
      <c r="M1719" s="6" t="s">
        <v>787</v>
      </c>
      <c r="N1719" s="7" t="s">
        <v>92</v>
      </c>
      <c r="O1719" s="7" t="s">
        <v>93</v>
      </c>
      <c r="P1719" s="3" t="s">
        <v>673</v>
      </c>
      <c r="Q1719" s="8" t="s">
        <v>544</v>
      </c>
      <c r="R1719" s="7" t="s">
        <v>111</v>
      </c>
      <c r="S1719" s="9">
        <v>50</v>
      </c>
      <c r="T1719" s="9">
        <v>125</v>
      </c>
      <c r="U1719" s="9">
        <f t="shared" ref="U1719" si="1345">T1719*S1719</f>
        <v>6250</v>
      </c>
      <c r="V1719" s="9">
        <f t="shared" ref="V1719" si="1346">U1719*1.12</f>
        <v>7000.0000000000009</v>
      </c>
      <c r="W1719" s="7"/>
      <c r="X1719" s="2">
        <v>2016</v>
      </c>
      <c r="Y1719" s="2"/>
    </row>
    <row r="1720" spans="1:25" s="20" customFormat="1" ht="89.25" customHeight="1" outlineLevel="1" x14ac:dyDescent="0.25">
      <c r="A1720" s="1"/>
      <c r="B1720" s="2" t="s">
        <v>6361</v>
      </c>
      <c r="C1720" s="3" t="s">
        <v>83</v>
      </c>
      <c r="D1720" s="3" t="s">
        <v>3159</v>
      </c>
      <c r="E1720" s="3" t="s">
        <v>3156</v>
      </c>
      <c r="F1720" s="3" t="s">
        <v>3160</v>
      </c>
      <c r="G1720" s="19"/>
      <c r="H1720" s="2" t="s">
        <v>88</v>
      </c>
      <c r="I1720" s="4">
        <v>0.4</v>
      </c>
      <c r="J1720" s="5">
        <v>710000000</v>
      </c>
      <c r="K1720" s="5" t="s">
        <v>89</v>
      </c>
      <c r="L1720" s="2" t="s">
        <v>754</v>
      </c>
      <c r="M1720" s="6" t="s">
        <v>787</v>
      </c>
      <c r="N1720" s="7" t="s">
        <v>92</v>
      </c>
      <c r="O1720" s="7" t="s">
        <v>93</v>
      </c>
      <c r="P1720" s="3" t="s">
        <v>94</v>
      </c>
      <c r="Q1720" s="8" t="s">
        <v>95</v>
      </c>
      <c r="R1720" s="7" t="s">
        <v>96</v>
      </c>
      <c r="S1720" s="9">
        <v>5</v>
      </c>
      <c r="T1720" s="9">
        <v>1400</v>
      </c>
      <c r="U1720" s="9">
        <v>0</v>
      </c>
      <c r="V1720" s="9">
        <f t="shared" si="1228"/>
        <v>0</v>
      </c>
      <c r="W1720" s="7" t="s">
        <v>97</v>
      </c>
      <c r="X1720" s="2">
        <v>2016</v>
      </c>
      <c r="Y1720" s="2" t="s">
        <v>7793</v>
      </c>
    </row>
    <row r="1721" spans="1:25" s="20" customFormat="1" ht="89.25" customHeight="1" outlineLevel="1" x14ac:dyDescent="0.25">
      <c r="A1721" s="1"/>
      <c r="B1721" s="2" t="s">
        <v>8237</v>
      </c>
      <c r="C1721" s="3" t="s">
        <v>83</v>
      </c>
      <c r="D1721" s="3" t="s">
        <v>3159</v>
      </c>
      <c r="E1721" s="3" t="s">
        <v>3156</v>
      </c>
      <c r="F1721" s="3" t="s">
        <v>3160</v>
      </c>
      <c r="G1721" s="19"/>
      <c r="H1721" s="2" t="s">
        <v>88</v>
      </c>
      <c r="I1721" s="4">
        <v>0</v>
      </c>
      <c r="J1721" s="5">
        <v>710000000</v>
      </c>
      <c r="K1721" s="5" t="s">
        <v>89</v>
      </c>
      <c r="L1721" s="2" t="s">
        <v>754</v>
      </c>
      <c r="M1721" s="6" t="s">
        <v>787</v>
      </c>
      <c r="N1721" s="7" t="s">
        <v>92</v>
      </c>
      <c r="O1721" s="7" t="s">
        <v>93</v>
      </c>
      <c r="P1721" s="3" t="s">
        <v>673</v>
      </c>
      <c r="Q1721" s="8" t="s">
        <v>95</v>
      </c>
      <c r="R1721" s="7" t="s">
        <v>96</v>
      </c>
      <c r="S1721" s="9">
        <v>5</v>
      </c>
      <c r="T1721" s="9">
        <v>1400</v>
      </c>
      <c r="U1721" s="9">
        <f t="shared" ref="U1721" si="1347">T1721*S1721</f>
        <v>7000</v>
      </c>
      <c r="V1721" s="9">
        <f t="shared" ref="V1721" si="1348">U1721*1.12</f>
        <v>7840.0000000000009</v>
      </c>
      <c r="W1721" s="7"/>
      <c r="X1721" s="2">
        <v>2016</v>
      </c>
      <c r="Y1721" s="2"/>
    </row>
    <row r="1722" spans="1:25" s="11" customFormat="1" ht="89.25" customHeight="1" outlineLevel="1" x14ac:dyDescent="0.25">
      <c r="A1722" s="1"/>
      <c r="B1722" s="2" t="s">
        <v>6362</v>
      </c>
      <c r="C1722" s="3" t="s">
        <v>83</v>
      </c>
      <c r="D1722" s="3" t="s">
        <v>3161</v>
      </c>
      <c r="E1722" s="3" t="s">
        <v>3162</v>
      </c>
      <c r="F1722" s="3" t="s">
        <v>3163</v>
      </c>
      <c r="G1722" s="19"/>
      <c r="H1722" s="2" t="s">
        <v>88</v>
      </c>
      <c r="I1722" s="4">
        <v>0.4</v>
      </c>
      <c r="J1722" s="5">
        <v>710000000</v>
      </c>
      <c r="K1722" s="5" t="s">
        <v>89</v>
      </c>
      <c r="L1722" s="2" t="s">
        <v>754</v>
      </c>
      <c r="M1722" s="6" t="s">
        <v>787</v>
      </c>
      <c r="N1722" s="7" t="s">
        <v>92</v>
      </c>
      <c r="O1722" s="7" t="s">
        <v>93</v>
      </c>
      <c r="P1722" s="3" t="s">
        <v>94</v>
      </c>
      <c r="Q1722" s="8" t="s">
        <v>95</v>
      </c>
      <c r="R1722" s="7" t="s">
        <v>96</v>
      </c>
      <c r="S1722" s="9">
        <f>50+50+10+15</f>
        <v>125</v>
      </c>
      <c r="T1722" s="9">
        <v>261.60000000000002</v>
      </c>
      <c r="U1722" s="9">
        <v>0</v>
      </c>
      <c r="V1722" s="9">
        <f t="shared" si="1228"/>
        <v>0</v>
      </c>
      <c r="W1722" s="7" t="s">
        <v>97</v>
      </c>
      <c r="X1722" s="2">
        <v>2016</v>
      </c>
      <c r="Y1722" s="2" t="s">
        <v>7793</v>
      </c>
    </row>
    <row r="1723" spans="1:25" s="11" customFormat="1" ht="89.25" customHeight="1" outlineLevel="1" x14ac:dyDescent="0.25">
      <c r="A1723" s="1"/>
      <c r="B1723" s="2" t="s">
        <v>8238</v>
      </c>
      <c r="C1723" s="3" t="s">
        <v>83</v>
      </c>
      <c r="D1723" s="3" t="s">
        <v>3161</v>
      </c>
      <c r="E1723" s="3" t="s">
        <v>3162</v>
      </c>
      <c r="F1723" s="3" t="s">
        <v>3163</v>
      </c>
      <c r="G1723" s="19"/>
      <c r="H1723" s="2" t="s">
        <v>88</v>
      </c>
      <c r="I1723" s="4">
        <v>0</v>
      </c>
      <c r="J1723" s="5">
        <v>710000000</v>
      </c>
      <c r="K1723" s="5" t="s">
        <v>89</v>
      </c>
      <c r="L1723" s="2" t="s">
        <v>754</v>
      </c>
      <c r="M1723" s="6" t="s">
        <v>787</v>
      </c>
      <c r="N1723" s="7" t="s">
        <v>92</v>
      </c>
      <c r="O1723" s="7" t="s">
        <v>93</v>
      </c>
      <c r="P1723" s="3" t="s">
        <v>673</v>
      </c>
      <c r="Q1723" s="8" t="s">
        <v>95</v>
      </c>
      <c r="R1723" s="7" t="s">
        <v>96</v>
      </c>
      <c r="S1723" s="9">
        <f>50+50+10+15</f>
        <v>125</v>
      </c>
      <c r="T1723" s="9">
        <v>261.60000000000002</v>
      </c>
      <c r="U1723" s="9">
        <f t="shared" ref="U1723" si="1349">T1723*S1723</f>
        <v>32700.000000000004</v>
      </c>
      <c r="V1723" s="9">
        <f t="shared" ref="V1723" si="1350">U1723*1.12</f>
        <v>36624.000000000007</v>
      </c>
      <c r="W1723" s="7"/>
      <c r="X1723" s="2">
        <v>2016</v>
      </c>
      <c r="Y1723" s="2"/>
    </row>
    <row r="1724" spans="1:25" s="11" customFormat="1" ht="89.25" customHeight="1" outlineLevel="1" x14ac:dyDescent="0.25">
      <c r="A1724" s="1"/>
      <c r="B1724" s="2" t="s">
        <v>6363</v>
      </c>
      <c r="C1724" s="3" t="s">
        <v>83</v>
      </c>
      <c r="D1724" s="3" t="s">
        <v>3164</v>
      </c>
      <c r="E1724" s="3" t="s">
        <v>3165</v>
      </c>
      <c r="F1724" s="3" t="s">
        <v>3166</v>
      </c>
      <c r="G1724" s="19" t="s">
        <v>3167</v>
      </c>
      <c r="H1724" s="2" t="s">
        <v>88</v>
      </c>
      <c r="I1724" s="4">
        <v>0.4</v>
      </c>
      <c r="J1724" s="5">
        <v>710000000</v>
      </c>
      <c r="K1724" s="5" t="s">
        <v>89</v>
      </c>
      <c r="L1724" s="2" t="s">
        <v>754</v>
      </c>
      <c r="M1724" s="6" t="s">
        <v>787</v>
      </c>
      <c r="N1724" s="7" t="s">
        <v>92</v>
      </c>
      <c r="O1724" s="7" t="s">
        <v>93</v>
      </c>
      <c r="P1724" s="3" t="s">
        <v>94</v>
      </c>
      <c r="Q1724" s="8">
        <v>796</v>
      </c>
      <c r="R1724" s="7" t="s">
        <v>118</v>
      </c>
      <c r="S1724" s="9">
        <v>15</v>
      </c>
      <c r="T1724" s="9">
        <v>446</v>
      </c>
      <c r="U1724" s="9">
        <v>0</v>
      </c>
      <c r="V1724" s="9">
        <f t="shared" si="1228"/>
        <v>0</v>
      </c>
      <c r="W1724" s="7" t="s">
        <v>97</v>
      </c>
      <c r="X1724" s="2">
        <v>2016</v>
      </c>
      <c r="Y1724" s="2" t="s">
        <v>7793</v>
      </c>
    </row>
    <row r="1725" spans="1:25" s="11" customFormat="1" ht="89.25" customHeight="1" outlineLevel="1" x14ac:dyDescent="0.25">
      <c r="A1725" s="1"/>
      <c r="B1725" s="2" t="s">
        <v>8239</v>
      </c>
      <c r="C1725" s="3" t="s">
        <v>83</v>
      </c>
      <c r="D1725" s="3" t="s">
        <v>3164</v>
      </c>
      <c r="E1725" s="3" t="s">
        <v>3165</v>
      </c>
      <c r="F1725" s="3" t="s">
        <v>3166</v>
      </c>
      <c r="G1725" s="19" t="s">
        <v>3167</v>
      </c>
      <c r="H1725" s="2" t="s">
        <v>88</v>
      </c>
      <c r="I1725" s="4">
        <v>0</v>
      </c>
      <c r="J1725" s="5">
        <v>710000000</v>
      </c>
      <c r="K1725" s="5" t="s">
        <v>89</v>
      </c>
      <c r="L1725" s="2" t="s">
        <v>754</v>
      </c>
      <c r="M1725" s="6" t="s">
        <v>787</v>
      </c>
      <c r="N1725" s="7" t="s">
        <v>92</v>
      </c>
      <c r="O1725" s="7" t="s">
        <v>93</v>
      </c>
      <c r="P1725" s="3" t="s">
        <v>673</v>
      </c>
      <c r="Q1725" s="8">
        <v>796</v>
      </c>
      <c r="R1725" s="7" t="s">
        <v>118</v>
      </c>
      <c r="S1725" s="9">
        <v>15</v>
      </c>
      <c r="T1725" s="9">
        <v>446</v>
      </c>
      <c r="U1725" s="9">
        <v>0</v>
      </c>
      <c r="V1725" s="9">
        <f t="shared" ref="V1725" si="1351">U1725*1.12</f>
        <v>0</v>
      </c>
      <c r="W1725" s="7"/>
      <c r="X1725" s="2">
        <v>2016</v>
      </c>
      <c r="Y1725" s="2" t="s">
        <v>9709</v>
      </c>
    </row>
    <row r="1726" spans="1:25" s="11" customFormat="1" ht="89.25" customHeight="1" outlineLevel="1" x14ac:dyDescent="0.25">
      <c r="A1726" s="1"/>
      <c r="B1726" s="2" t="s">
        <v>9710</v>
      </c>
      <c r="C1726" s="3" t="s">
        <v>83</v>
      </c>
      <c r="D1726" s="3" t="s">
        <v>3164</v>
      </c>
      <c r="E1726" s="3" t="s">
        <v>3165</v>
      </c>
      <c r="F1726" s="3" t="s">
        <v>3166</v>
      </c>
      <c r="G1726" s="19" t="s">
        <v>3167</v>
      </c>
      <c r="H1726" s="2" t="s">
        <v>88</v>
      </c>
      <c r="I1726" s="4">
        <v>0</v>
      </c>
      <c r="J1726" s="5">
        <v>710000000</v>
      </c>
      <c r="K1726" s="5" t="s">
        <v>89</v>
      </c>
      <c r="L1726" s="6" t="s">
        <v>9737</v>
      </c>
      <c r="M1726" s="6" t="s">
        <v>9711</v>
      </c>
      <c r="N1726" s="7" t="s">
        <v>92</v>
      </c>
      <c r="O1726" s="7" t="s">
        <v>93</v>
      </c>
      <c r="P1726" s="3" t="s">
        <v>673</v>
      </c>
      <c r="Q1726" s="8">
        <v>796</v>
      </c>
      <c r="R1726" s="7" t="s">
        <v>118</v>
      </c>
      <c r="S1726" s="9">
        <f>15+15</f>
        <v>30</v>
      </c>
      <c r="T1726" s="9">
        <v>446</v>
      </c>
      <c r="U1726" s="9">
        <f t="shared" ref="U1726" si="1352">T1726*S1726</f>
        <v>13380</v>
      </c>
      <c r="V1726" s="9">
        <f t="shared" ref="V1726" si="1353">U1726*1.12</f>
        <v>14985.600000000002</v>
      </c>
      <c r="W1726" s="7"/>
      <c r="X1726" s="2">
        <v>2016</v>
      </c>
      <c r="Y1726" s="2"/>
    </row>
    <row r="1727" spans="1:25" s="11" customFormat="1" ht="89.25" customHeight="1" outlineLevel="1" x14ac:dyDescent="0.25">
      <c r="A1727" s="1"/>
      <c r="B1727" s="2" t="s">
        <v>6364</v>
      </c>
      <c r="C1727" s="3" t="s">
        <v>83</v>
      </c>
      <c r="D1727" s="3" t="s">
        <v>2381</v>
      </c>
      <c r="E1727" s="3" t="s">
        <v>2378</v>
      </c>
      <c r="F1727" s="3" t="s">
        <v>2382</v>
      </c>
      <c r="G1727" s="19"/>
      <c r="H1727" s="2" t="s">
        <v>88</v>
      </c>
      <c r="I1727" s="4">
        <v>0.4</v>
      </c>
      <c r="J1727" s="5">
        <v>710000000</v>
      </c>
      <c r="K1727" s="5" t="s">
        <v>89</v>
      </c>
      <c r="L1727" s="2" t="s">
        <v>754</v>
      </c>
      <c r="M1727" s="6" t="s">
        <v>787</v>
      </c>
      <c r="N1727" s="7" t="s">
        <v>92</v>
      </c>
      <c r="O1727" s="7" t="s">
        <v>93</v>
      </c>
      <c r="P1727" s="3" t="s">
        <v>94</v>
      </c>
      <c r="Q1727" s="8" t="s">
        <v>584</v>
      </c>
      <c r="R1727" s="7" t="s">
        <v>585</v>
      </c>
      <c r="S1727" s="9">
        <f>20+20+31+2+1+2+5+4+3+2+1+1</f>
        <v>92</v>
      </c>
      <c r="T1727" s="9">
        <v>272</v>
      </c>
      <c r="U1727" s="9">
        <v>0</v>
      </c>
      <c r="V1727" s="9">
        <f t="shared" si="1228"/>
        <v>0</v>
      </c>
      <c r="W1727" s="7" t="s">
        <v>97</v>
      </c>
      <c r="X1727" s="2">
        <v>2016</v>
      </c>
      <c r="Y1727" s="2" t="s">
        <v>7793</v>
      </c>
    </row>
    <row r="1728" spans="1:25" s="11" customFormat="1" ht="89.25" customHeight="1" outlineLevel="1" x14ac:dyDescent="0.25">
      <c r="A1728" s="1"/>
      <c r="B1728" s="2" t="s">
        <v>8240</v>
      </c>
      <c r="C1728" s="3" t="s">
        <v>83</v>
      </c>
      <c r="D1728" s="3" t="s">
        <v>2381</v>
      </c>
      <c r="E1728" s="3" t="s">
        <v>2378</v>
      </c>
      <c r="F1728" s="3" t="s">
        <v>2382</v>
      </c>
      <c r="G1728" s="19"/>
      <c r="H1728" s="2" t="s">
        <v>88</v>
      </c>
      <c r="I1728" s="4">
        <v>0</v>
      </c>
      <c r="J1728" s="5">
        <v>710000000</v>
      </c>
      <c r="K1728" s="5" t="s">
        <v>89</v>
      </c>
      <c r="L1728" s="2" t="s">
        <v>754</v>
      </c>
      <c r="M1728" s="6" t="s">
        <v>787</v>
      </c>
      <c r="N1728" s="7" t="s">
        <v>92</v>
      </c>
      <c r="O1728" s="7" t="s">
        <v>93</v>
      </c>
      <c r="P1728" s="3" t="s">
        <v>673</v>
      </c>
      <c r="Q1728" s="8" t="s">
        <v>584</v>
      </c>
      <c r="R1728" s="7" t="s">
        <v>585</v>
      </c>
      <c r="S1728" s="9">
        <f>20+20+31+2+1+2+5+4+3+2+1+1</f>
        <v>92</v>
      </c>
      <c r="T1728" s="9">
        <v>272</v>
      </c>
      <c r="U1728" s="9">
        <f t="shared" ref="U1728" si="1354">T1728*S1728</f>
        <v>25024</v>
      </c>
      <c r="V1728" s="9">
        <f t="shared" ref="V1728" si="1355">U1728*1.12</f>
        <v>28026.880000000001</v>
      </c>
      <c r="W1728" s="7"/>
      <c r="X1728" s="2">
        <v>2016</v>
      </c>
      <c r="Y1728" s="2"/>
    </row>
    <row r="1729" spans="1:25" s="11" customFormat="1" ht="89.25" customHeight="1" outlineLevel="1" x14ac:dyDescent="0.25">
      <c r="A1729" s="1"/>
      <c r="B1729" s="2" t="s">
        <v>6365</v>
      </c>
      <c r="C1729" s="3" t="s">
        <v>83</v>
      </c>
      <c r="D1729" s="3" t="s">
        <v>3168</v>
      </c>
      <c r="E1729" s="3" t="s">
        <v>3169</v>
      </c>
      <c r="F1729" s="3" t="s">
        <v>3170</v>
      </c>
      <c r="G1729" s="19" t="s">
        <v>3171</v>
      </c>
      <c r="H1729" s="2" t="s">
        <v>88</v>
      </c>
      <c r="I1729" s="4">
        <v>0.4</v>
      </c>
      <c r="J1729" s="5">
        <v>710000000</v>
      </c>
      <c r="K1729" s="5" t="s">
        <v>89</v>
      </c>
      <c r="L1729" s="2" t="s">
        <v>754</v>
      </c>
      <c r="M1729" s="6" t="s">
        <v>787</v>
      </c>
      <c r="N1729" s="7" t="s">
        <v>92</v>
      </c>
      <c r="O1729" s="7" t="s">
        <v>93</v>
      </c>
      <c r="P1729" s="3" t="s">
        <v>94</v>
      </c>
      <c r="Q1729" s="8">
        <v>796</v>
      </c>
      <c r="R1729" s="7" t="s">
        <v>118</v>
      </c>
      <c r="S1729" s="9">
        <f>250+105</f>
        <v>355</v>
      </c>
      <c r="T1729" s="9">
        <v>607</v>
      </c>
      <c r="U1729" s="9">
        <v>0</v>
      </c>
      <c r="V1729" s="9">
        <f t="shared" si="1228"/>
        <v>0</v>
      </c>
      <c r="W1729" s="7" t="s">
        <v>97</v>
      </c>
      <c r="X1729" s="2">
        <v>2016</v>
      </c>
      <c r="Y1729" s="2" t="s">
        <v>7793</v>
      </c>
    </row>
    <row r="1730" spans="1:25" s="11" customFormat="1" ht="89.25" customHeight="1" outlineLevel="1" x14ac:dyDescent="0.25">
      <c r="A1730" s="1"/>
      <c r="B1730" s="2" t="s">
        <v>8241</v>
      </c>
      <c r="C1730" s="3" t="s">
        <v>83</v>
      </c>
      <c r="D1730" s="3" t="s">
        <v>3168</v>
      </c>
      <c r="E1730" s="3" t="s">
        <v>3169</v>
      </c>
      <c r="F1730" s="3" t="s">
        <v>3170</v>
      </c>
      <c r="G1730" s="19" t="s">
        <v>3171</v>
      </c>
      <c r="H1730" s="2" t="s">
        <v>88</v>
      </c>
      <c r="I1730" s="4">
        <v>0</v>
      </c>
      <c r="J1730" s="5">
        <v>710000000</v>
      </c>
      <c r="K1730" s="5" t="s">
        <v>89</v>
      </c>
      <c r="L1730" s="2" t="s">
        <v>754</v>
      </c>
      <c r="M1730" s="6" t="s">
        <v>787</v>
      </c>
      <c r="N1730" s="7" t="s">
        <v>92</v>
      </c>
      <c r="O1730" s="7" t="s">
        <v>93</v>
      </c>
      <c r="P1730" s="3" t="s">
        <v>673</v>
      </c>
      <c r="Q1730" s="8">
        <v>796</v>
      </c>
      <c r="R1730" s="7" t="s">
        <v>118</v>
      </c>
      <c r="S1730" s="9">
        <f>250+105</f>
        <v>355</v>
      </c>
      <c r="T1730" s="9">
        <v>607</v>
      </c>
      <c r="U1730" s="9">
        <v>0</v>
      </c>
      <c r="V1730" s="9">
        <f t="shared" ref="V1730" si="1356">U1730*1.12</f>
        <v>0</v>
      </c>
      <c r="W1730" s="7"/>
      <c r="X1730" s="2">
        <v>2016</v>
      </c>
      <c r="Y1730" s="2" t="s">
        <v>9709</v>
      </c>
    </row>
    <row r="1731" spans="1:25" s="11" customFormat="1" ht="89.25" customHeight="1" outlineLevel="1" x14ac:dyDescent="0.25">
      <c r="A1731" s="1"/>
      <c r="B1731" s="2" t="s">
        <v>9712</v>
      </c>
      <c r="C1731" s="3" t="s">
        <v>83</v>
      </c>
      <c r="D1731" s="3" t="s">
        <v>3168</v>
      </c>
      <c r="E1731" s="3" t="s">
        <v>3169</v>
      </c>
      <c r="F1731" s="3" t="s">
        <v>3170</v>
      </c>
      <c r="G1731" s="19" t="s">
        <v>3171</v>
      </c>
      <c r="H1731" s="2" t="s">
        <v>88</v>
      </c>
      <c r="I1731" s="4">
        <v>0</v>
      </c>
      <c r="J1731" s="5">
        <v>710000000</v>
      </c>
      <c r="K1731" s="5" t="s">
        <v>89</v>
      </c>
      <c r="L1731" s="6" t="s">
        <v>9737</v>
      </c>
      <c r="M1731" s="6" t="s">
        <v>9711</v>
      </c>
      <c r="N1731" s="7" t="s">
        <v>92</v>
      </c>
      <c r="O1731" s="7" t="s">
        <v>93</v>
      </c>
      <c r="P1731" s="3" t="s">
        <v>673</v>
      </c>
      <c r="Q1731" s="8">
        <v>796</v>
      </c>
      <c r="R1731" s="7" t="s">
        <v>118</v>
      </c>
      <c r="S1731" s="9">
        <f>250+105+50+30</f>
        <v>435</v>
      </c>
      <c r="T1731" s="9">
        <v>607</v>
      </c>
      <c r="U1731" s="9">
        <f t="shared" ref="U1731" si="1357">T1731*S1731</f>
        <v>264045</v>
      </c>
      <c r="V1731" s="9">
        <f t="shared" ref="V1731" si="1358">U1731*1.12</f>
        <v>295730.40000000002</v>
      </c>
      <c r="W1731" s="7"/>
      <c r="X1731" s="2">
        <v>2016</v>
      </c>
      <c r="Y1731" s="2"/>
    </row>
    <row r="1732" spans="1:25" s="11" customFormat="1" ht="89.25" customHeight="1" outlineLevel="1" x14ac:dyDescent="0.25">
      <c r="A1732" s="1"/>
      <c r="B1732" s="2" t="s">
        <v>6366</v>
      </c>
      <c r="C1732" s="3" t="s">
        <v>83</v>
      </c>
      <c r="D1732" s="3" t="s">
        <v>3172</v>
      </c>
      <c r="E1732" s="3" t="s">
        <v>3173</v>
      </c>
      <c r="F1732" s="3" t="s">
        <v>3174</v>
      </c>
      <c r="G1732" s="19" t="s">
        <v>3175</v>
      </c>
      <c r="H1732" s="2" t="s">
        <v>88</v>
      </c>
      <c r="I1732" s="4">
        <v>0.4</v>
      </c>
      <c r="J1732" s="5">
        <v>710000000</v>
      </c>
      <c r="K1732" s="5" t="s">
        <v>89</v>
      </c>
      <c r="L1732" s="2" t="s">
        <v>754</v>
      </c>
      <c r="M1732" s="6" t="s">
        <v>787</v>
      </c>
      <c r="N1732" s="7" t="s">
        <v>92</v>
      </c>
      <c r="O1732" s="7" t="s">
        <v>93</v>
      </c>
      <c r="P1732" s="3" t="s">
        <v>94</v>
      </c>
      <c r="Q1732" s="8" t="s">
        <v>522</v>
      </c>
      <c r="R1732" s="7" t="s">
        <v>523</v>
      </c>
      <c r="S1732" s="9">
        <f>250+20+45+4+5+5+5</f>
        <v>334</v>
      </c>
      <c r="T1732" s="9">
        <v>938</v>
      </c>
      <c r="U1732" s="9">
        <v>0</v>
      </c>
      <c r="V1732" s="9">
        <f t="shared" ref="V1732:V1889" si="1359">U1732*1.12</f>
        <v>0</v>
      </c>
      <c r="W1732" s="7" t="s">
        <v>97</v>
      </c>
      <c r="X1732" s="2">
        <v>2016</v>
      </c>
      <c r="Y1732" s="2" t="s">
        <v>7793</v>
      </c>
    </row>
    <row r="1733" spans="1:25" s="11" customFormat="1" ht="89.25" customHeight="1" outlineLevel="1" x14ac:dyDescent="0.25">
      <c r="A1733" s="1"/>
      <c r="B1733" s="2" t="s">
        <v>8242</v>
      </c>
      <c r="C1733" s="3" t="s">
        <v>83</v>
      </c>
      <c r="D1733" s="3" t="s">
        <v>3172</v>
      </c>
      <c r="E1733" s="3" t="s">
        <v>3173</v>
      </c>
      <c r="F1733" s="3" t="s">
        <v>3174</v>
      </c>
      <c r="G1733" s="19" t="s">
        <v>3175</v>
      </c>
      <c r="H1733" s="2" t="s">
        <v>88</v>
      </c>
      <c r="I1733" s="4">
        <v>0</v>
      </c>
      <c r="J1733" s="5">
        <v>710000000</v>
      </c>
      <c r="K1733" s="5" t="s">
        <v>89</v>
      </c>
      <c r="L1733" s="2" t="s">
        <v>754</v>
      </c>
      <c r="M1733" s="6" t="s">
        <v>787</v>
      </c>
      <c r="N1733" s="7" t="s">
        <v>92</v>
      </c>
      <c r="O1733" s="7" t="s">
        <v>93</v>
      </c>
      <c r="P1733" s="3" t="s">
        <v>673</v>
      </c>
      <c r="Q1733" s="8" t="s">
        <v>522</v>
      </c>
      <c r="R1733" s="7" t="s">
        <v>523</v>
      </c>
      <c r="S1733" s="9">
        <f>250+20+45+4+5+5+5</f>
        <v>334</v>
      </c>
      <c r="T1733" s="9">
        <v>938</v>
      </c>
      <c r="U1733" s="9">
        <f t="shared" ref="U1733" si="1360">T1733*S1733</f>
        <v>313292</v>
      </c>
      <c r="V1733" s="9">
        <f t="shared" ref="V1733" si="1361">U1733*1.12</f>
        <v>350887.04000000004</v>
      </c>
      <c r="W1733" s="7"/>
      <c r="X1733" s="2">
        <v>2016</v>
      </c>
      <c r="Y1733" s="2"/>
    </row>
    <row r="1734" spans="1:25" s="20" customFormat="1" ht="89.25" customHeight="1" outlineLevel="1" x14ac:dyDescent="0.25">
      <c r="A1734" s="1"/>
      <c r="B1734" s="2" t="s">
        <v>6367</v>
      </c>
      <c r="C1734" s="3" t="s">
        <v>83</v>
      </c>
      <c r="D1734" s="3" t="s">
        <v>3172</v>
      </c>
      <c r="E1734" s="3" t="s">
        <v>3173</v>
      </c>
      <c r="F1734" s="3" t="s">
        <v>3174</v>
      </c>
      <c r="G1734" s="19" t="s">
        <v>3176</v>
      </c>
      <c r="H1734" s="2" t="s">
        <v>88</v>
      </c>
      <c r="I1734" s="4">
        <v>0.4</v>
      </c>
      <c r="J1734" s="5">
        <v>710000000</v>
      </c>
      <c r="K1734" s="5" t="s">
        <v>89</v>
      </c>
      <c r="L1734" s="2" t="s">
        <v>754</v>
      </c>
      <c r="M1734" s="6" t="s">
        <v>787</v>
      </c>
      <c r="N1734" s="7" t="s">
        <v>92</v>
      </c>
      <c r="O1734" s="7" t="s">
        <v>93</v>
      </c>
      <c r="P1734" s="3" t="s">
        <v>94</v>
      </c>
      <c r="Q1734" s="8" t="s">
        <v>522</v>
      </c>
      <c r="R1734" s="7" t="s">
        <v>523</v>
      </c>
      <c r="S1734" s="9">
        <f>20+10+5+15</f>
        <v>50</v>
      </c>
      <c r="T1734" s="9">
        <v>1286</v>
      </c>
      <c r="U1734" s="9">
        <v>0</v>
      </c>
      <c r="V1734" s="9">
        <f t="shared" si="1359"/>
        <v>0</v>
      </c>
      <c r="W1734" s="7" t="s">
        <v>97</v>
      </c>
      <c r="X1734" s="2">
        <v>2016</v>
      </c>
      <c r="Y1734" s="2" t="s">
        <v>7793</v>
      </c>
    </row>
    <row r="1735" spans="1:25" s="20" customFormat="1" ht="89.25" customHeight="1" outlineLevel="1" x14ac:dyDescent="0.25">
      <c r="A1735" s="1"/>
      <c r="B1735" s="2" t="s">
        <v>8243</v>
      </c>
      <c r="C1735" s="3" t="s">
        <v>83</v>
      </c>
      <c r="D1735" s="3" t="s">
        <v>3172</v>
      </c>
      <c r="E1735" s="3" t="s">
        <v>3173</v>
      </c>
      <c r="F1735" s="3" t="s">
        <v>3174</v>
      </c>
      <c r="G1735" s="19" t="s">
        <v>3176</v>
      </c>
      <c r="H1735" s="2" t="s">
        <v>88</v>
      </c>
      <c r="I1735" s="4">
        <v>0</v>
      </c>
      <c r="J1735" s="5">
        <v>710000000</v>
      </c>
      <c r="K1735" s="5" t="s">
        <v>89</v>
      </c>
      <c r="L1735" s="2" t="s">
        <v>754</v>
      </c>
      <c r="M1735" s="6" t="s">
        <v>787</v>
      </c>
      <c r="N1735" s="7" t="s">
        <v>92</v>
      </c>
      <c r="O1735" s="7" t="s">
        <v>93</v>
      </c>
      <c r="P1735" s="3" t="s">
        <v>673</v>
      </c>
      <c r="Q1735" s="8" t="s">
        <v>522</v>
      </c>
      <c r="R1735" s="7" t="s">
        <v>523</v>
      </c>
      <c r="S1735" s="9">
        <f>20+10+5+15</f>
        <v>50</v>
      </c>
      <c r="T1735" s="9">
        <v>1286</v>
      </c>
      <c r="U1735" s="9">
        <f t="shared" ref="U1735" si="1362">T1735*S1735</f>
        <v>64300</v>
      </c>
      <c r="V1735" s="9">
        <f t="shared" ref="V1735" si="1363">U1735*1.12</f>
        <v>72016</v>
      </c>
      <c r="W1735" s="7"/>
      <c r="X1735" s="2">
        <v>2016</v>
      </c>
      <c r="Y1735" s="2"/>
    </row>
    <row r="1736" spans="1:25" s="11" customFormat="1" ht="89.25" customHeight="1" outlineLevel="1" x14ac:dyDescent="0.25">
      <c r="A1736" s="1"/>
      <c r="B1736" s="2" t="s">
        <v>6368</v>
      </c>
      <c r="C1736" s="3" t="s">
        <v>83</v>
      </c>
      <c r="D1736" s="3" t="s">
        <v>3177</v>
      </c>
      <c r="E1736" s="3" t="s">
        <v>3173</v>
      </c>
      <c r="F1736" s="3" t="s">
        <v>3178</v>
      </c>
      <c r="G1736" s="19" t="s">
        <v>3179</v>
      </c>
      <c r="H1736" s="2" t="s">
        <v>88</v>
      </c>
      <c r="I1736" s="4">
        <v>0.4</v>
      </c>
      <c r="J1736" s="5">
        <v>710000000</v>
      </c>
      <c r="K1736" s="5" t="s">
        <v>89</v>
      </c>
      <c r="L1736" s="2" t="s">
        <v>754</v>
      </c>
      <c r="M1736" s="6" t="s">
        <v>787</v>
      </c>
      <c r="N1736" s="7" t="s">
        <v>92</v>
      </c>
      <c r="O1736" s="7" t="s">
        <v>93</v>
      </c>
      <c r="P1736" s="3" t="s">
        <v>94</v>
      </c>
      <c r="Q1736" s="8" t="s">
        <v>522</v>
      </c>
      <c r="R1736" s="7" t="s">
        <v>523</v>
      </c>
      <c r="S1736" s="9">
        <v>1</v>
      </c>
      <c r="T1736" s="9">
        <v>17300</v>
      </c>
      <c r="U1736" s="9">
        <v>0</v>
      </c>
      <c r="V1736" s="9">
        <f t="shared" si="1359"/>
        <v>0</v>
      </c>
      <c r="W1736" s="7" t="s">
        <v>97</v>
      </c>
      <c r="X1736" s="2">
        <v>2016</v>
      </c>
      <c r="Y1736" s="2" t="s">
        <v>7793</v>
      </c>
    </row>
    <row r="1737" spans="1:25" s="11" customFormat="1" ht="89.25" customHeight="1" outlineLevel="1" x14ac:dyDescent="0.25">
      <c r="A1737" s="1"/>
      <c r="B1737" s="2" t="s">
        <v>8244</v>
      </c>
      <c r="C1737" s="3" t="s">
        <v>83</v>
      </c>
      <c r="D1737" s="3" t="s">
        <v>3177</v>
      </c>
      <c r="E1737" s="3" t="s">
        <v>3173</v>
      </c>
      <c r="F1737" s="3" t="s">
        <v>3178</v>
      </c>
      <c r="G1737" s="19" t="s">
        <v>3179</v>
      </c>
      <c r="H1737" s="2" t="s">
        <v>88</v>
      </c>
      <c r="I1737" s="4">
        <v>0</v>
      </c>
      <c r="J1737" s="5">
        <v>710000000</v>
      </c>
      <c r="K1737" s="5" t="s">
        <v>89</v>
      </c>
      <c r="L1737" s="2" t="s">
        <v>754</v>
      </c>
      <c r="M1737" s="6" t="s">
        <v>787</v>
      </c>
      <c r="N1737" s="7" t="s">
        <v>92</v>
      </c>
      <c r="O1737" s="7" t="s">
        <v>93</v>
      </c>
      <c r="P1737" s="3" t="s">
        <v>673</v>
      </c>
      <c r="Q1737" s="8" t="s">
        <v>522</v>
      </c>
      <c r="R1737" s="7" t="s">
        <v>523</v>
      </c>
      <c r="S1737" s="9">
        <v>1</v>
      </c>
      <c r="T1737" s="9">
        <v>17300</v>
      </c>
      <c r="U1737" s="9">
        <f t="shared" ref="U1737" si="1364">T1737*S1737</f>
        <v>17300</v>
      </c>
      <c r="V1737" s="9">
        <f t="shared" ref="V1737" si="1365">U1737*1.12</f>
        <v>19376.000000000004</v>
      </c>
      <c r="W1737" s="7"/>
      <c r="X1737" s="2">
        <v>2016</v>
      </c>
      <c r="Y1737" s="2"/>
    </row>
    <row r="1738" spans="1:25" s="11" customFormat="1" ht="89.25" customHeight="1" outlineLevel="1" x14ac:dyDescent="0.25">
      <c r="A1738" s="1"/>
      <c r="B1738" s="2" t="s">
        <v>6369</v>
      </c>
      <c r="C1738" s="3" t="s">
        <v>83</v>
      </c>
      <c r="D1738" s="3" t="s">
        <v>3180</v>
      </c>
      <c r="E1738" s="3" t="s">
        <v>3173</v>
      </c>
      <c r="F1738" s="3" t="s">
        <v>3181</v>
      </c>
      <c r="G1738" s="19" t="s">
        <v>3182</v>
      </c>
      <c r="H1738" s="2" t="s">
        <v>88</v>
      </c>
      <c r="I1738" s="4">
        <v>0.4</v>
      </c>
      <c r="J1738" s="5">
        <v>710000000</v>
      </c>
      <c r="K1738" s="5" t="s">
        <v>89</v>
      </c>
      <c r="L1738" s="2" t="s">
        <v>754</v>
      </c>
      <c r="M1738" s="6" t="s">
        <v>787</v>
      </c>
      <c r="N1738" s="7" t="s">
        <v>92</v>
      </c>
      <c r="O1738" s="7" t="s">
        <v>93</v>
      </c>
      <c r="P1738" s="3" t="s">
        <v>94</v>
      </c>
      <c r="Q1738" s="8">
        <v>796</v>
      </c>
      <c r="R1738" s="7" t="s">
        <v>118</v>
      </c>
      <c r="S1738" s="9">
        <f>10+10+15</f>
        <v>35</v>
      </c>
      <c r="T1738" s="9">
        <v>616</v>
      </c>
      <c r="U1738" s="9">
        <v>0</v>
      </c>
      <c r="V1738" s="9">
        <f t="shared" si="1359"/>
        <v>0</v>
      </c>
      <c r="W1738" s="7" t="s">
        <v>97</v>
      </c>
      <c r="X1738" s="2">
        <v>2016</v>
      </c>
      <c r="Y1738" s="2" t="s">
        <v>7793</v>
      </c>
    </row>
    <row r="1739" spans="1:25" s="11" customFormat="1" ht="89.25" customHeight="1" outlineLevel="1" x14ac:dyDescent="0.25">
      <c r="A1739" s="1"/>
      <c r="B1739" s="2" t="s">
        <v>8245</v>
      </c>
      <c r="C1739" s="3" t="s">
        <v>83</v>
      </c>
      <c r="D1739" s="3" t="s">
        <v>3180</v>
      </c>
      <c r="E1739" s="3" t="s">
        <v>3173</v>
      </c>
      <c r="F1739" s="3" t="s">
        <v>3181</v>
      </c>
      <c r="G1739" s="19" t="s">
        <v>3182</v>
      </c>
      <c r="H1739" s="2" t="s">
        <v>88</v>
      </c>
      <c r="I1739" s="4">
        <v>0</v>
      </c>
      <c r="J1739" s="5">
        <v>710000000</v>
      </c>
      <c r="K1739" s="5" t="s">
        <v>89</v>
      </c>
      <c r="L1739" s="2" t="s">
        <v>754</v>
      </c>
      <c r="M1739" s="6" t="s">
        <v>787</v>
      </c>
      <c r="N1739" s="7" t="s">
        <v>92</v>
      </c>
      <c r="O1739" s="7" t="s">
        <v>93</v>
      </c>
      <c r="P1739" s="3" t="s">
        <v>673</v>
      </c>
      <c r="Q1739" s="8">
        <v>796</v>
      </c>
      <c r="R1739" s="7" t="s">
        <v>118</v>
      </c>
      <c r="S1739" s="9">
        <f>10+10+15</f>
        <v>35</v>
      </c>
      <c r="T1739" s="9">
        <v>616</v>
      </c>
      <c r="U1739" s="9">
        <f t="shared" ref="U1739" si="1366">T1739*S1739</f>
        <v>21560</v>
      </c>
      <c r="V1739" s="9">
        <f t="shared" ref="V1739" si="1367">U1739*1.12</f>
        <v>24147.200000000001</v>
      </c>
      <c r="W1739" s="7"/>
      <c r="X1739" s="2">
        <v>2016</v>
      </c>
      <c r="Y1739" s="2"/>
    </row>
    <row r="1740" spans="1:25" s="11" customFormat="1" ht="89.25" customHeight="1" outlineLevel="1" x14ac:dyDescent="0.25">
      <c r="A1740" s="1"/>
      <c r="B1740" s="2" t="s">
        <v>6370</v>
      </c>
      <c r="C1740" s="3" t="s">
        <v>83</v>
      </c>
      <c r="D1740" s="3" t="s">
        <v>3180</v>
      </c>
      <c r="E1740" s="3" t="s">
        <v>3173</v>
      </c>
      <c r="F1740" s="3" t="s">
        <v>3181</v>
      </c>
      <c r="G1740" s="19" t="s">
        <v>3183</v>
      </c>
      <c r="H1740" s="2" t="s">
        <v>88</v>
      </c>
      <c r="I1740" s="4">
        <v>0.4</v>
      </c>
      <c r="J1740" s="5">
        <v>710000000</v>
      </c>
      <c r="K1740" s="5" t="s">
        <v>89</v>
      </c>
      <c r="L1740" s="2" t="s">
        <v>754</v>
      </c>
      <c r="M1740" s="6" t="s">
        <v>787</v>
      </c>
      <c r="N1740" s="7" t="s">
        <v>92</v>
      </c>
      <c r="O1740" s="7" t="s">
        <v>93</v>
      </c>
      <c r="P1740" s="3" t="s">
        <v>94</v>
      </c>
      <c r="Q1740" s="8">
        <v>796</v>
      </c>
      <c r="R1740" s="7" t="s">
        <v>118</v>
      </c>
      <c r="S1740" s="9">
        <f>10+12</f>
        <v>22</v>
      </c>
      <c r="T1740" s="9">
        <v>464</v>
      </c>
      <c r="U1740" s="9">
        <v>0</v>
      </c>
      <c r="V1740" s="9">
        <f t="shared" si="1359"/>
        <v>0</v>
      </c>
      <c r="W1740" s="7" t="s">
        <v>97</v>
      </c>
      <c r="X1740" s="2">
        <v>2016</v>
      </c>
      <c r="Y1740" s="2" t="s">
        <v>7793</v>
      </c>
    </row>
    <row r="1741" spans="1:25" s="11" customFormat="1" ht="89.25" customHeight="1" outlineLevel="1" x14ac:dyDescent="0.25">
      <c r="A1741" s="1"/>
      <c r="B1741" s="2" t="s">
        <v>8246</v>
      </c>
      <c r="C1741" s="3" t="s">
        <v>83</v>
      </c>
      <c r="D1741" s="3" t="s">
        <v>3180</v>
      </c>
      <c r="E1741" s="3" t="s">
        <v>3173</v>
      </c>
      <c r="F1741" s="3" t="s">
        <v>3181</v>
      </c>
      <c r="G1741" s="19" t="s">
        <v>3183</v>
      </c>
      <c r="H1741" s="2" t="s">
        <v>88</v>
      </c>
      <c r="I1741" s="4">
        <v>0</v>
      </c>
      <c r="J1741" s="5">
        <v>710000000</v>
      </c>
      <c r="K1741" s="5" t="s">
        <v>89</v>
      </c>
      <c r="L1741" s="2" t="s">
        <v>754</v>
      </c>
      <c r="M1741" s="6" t="s">
        <v>787</v>
      </c>
      <c r="N1741" s="7" t="s">
        <v>92</v>
      </c>
      <c r="O1741" s="7" t="s">
        <v>93</v>
      </c>
      <c r="P1741" s="3" t="s">
        <v>673</v>
      </c>
      <c r="Q1741" s="8">
        <v>796</v>
      </c>
      <c r="R1741" s="7" t="s">
        <v>118</v>
      </c>
      <c r="S1741" s="9">
        <f>10+12</f>
        <v>22</v>
      </c>
      <c r="T1741" s="9">
        <v>464</v>
      </c>
      <c r="U1741" s="9">
        <v>0</v>
      </c>
      <c r="V1741" s="9">
        <f t="shared" ref="V1741" si="1368">U1741*1.12</f>
        <v>0</v>
      </c>
      <c r="W1741" s="7"/>
      <c r="X1741" s="2">
        <v>2016</v>
      </c>
      <c r="Y1741" s="2" t="s">
        <v>9709</v>
      </c>
    </row>
    <row r="1742" spans="1:25" s="11" customFormat="1" ht="89.25" customHeight="1" outlineLevel="1" x14ac:dyDescent="0.25">
      <c r="A1742" s="1"/>
      <c r="B1742" s="2" t="s">
        <v>8246</v>
      </c>
      <c r="C1742" s="3" t="s">
        <v>83</v>
      </c>
      <c r="D1742" s="3" t="s">
        <v>3180</v>
      </c>
      <c r="E1742" s="3" t="s">
        <v>3173</v>
      </c>
      <c r="F1742" s="3" t="s">
        <v>3181</v>
      </c>
      <c r="G1742" s="19" t="s">
        <v>3183</v>
      </c>
      <c r="H1742" s="2" t="s">
        <v>88</v>
      </c>
      <c r="I1742" s="4">
        <v>0</v>
      </c>
      <c r="J1742" s="5">
        <v>710000000</v>
      </c>
      <c r="K1742" s="5" t="s">
        <v>89</v>
      </c>
      <c r="L1742" s="6" t="s">
        <v>9737</v>
      </c>
      <c r="M1742" s="6" t="s">
        <v>9711</v>
      </c>
      <c r="N1742" s="7" t="s">
        <v>92</v>
      </c>
      <c r="O1742" s="7" t="s">
        <v>93</v>
      </c>
      <c r="P1742" s="3" t="s">
        <v>673</v>
      </c>
      <c r="Q1742" s="8">
        <v>796</v>
      </c>
      <c r="R1742" s="7" t="s">
        <v>118</v>
      </c>
      <c r="S1742" s="9">
        <f>10+12+5</f>
        <v>27</v>
      </c>
      <c r="T1742" s="9">
        <v>464</v>
      </c>
      <c r="U1742" s="9">
        <f t="shared" ref="U1742" si="1369">T1742*S1742</f>
        <v>12528</v>
      </c>
      <c r="V1742" s="9">
        <f t="shared" ref="V1742" si="1370">U1742*1.12</f>
        <v>14031.36</v>
      </c>
      <c r="W1742" s="7"/>
      <c r="X1742" s="2">
        <v>2016</v>
      </c>
      <c r="Y1742" s="2"/>
    </row>
    <row r="1743" spans="1:25" s="11" customFormat="1" ht="89.25" customHeight="1" outlineLevel="1" x14ac:dyDescent="0.25">
      <c r="A1743" s="1"/>
      <c r="B1743" s="2" t="s">
        <v>6371</v>
      </c>
      <c r="C1743" s="3" t="s">
        <v>83</v>
      </c>
      <c r="D1743" s="3" t="s">
        <v>3184</v>
      </c>
      <c r="E1743" s="3" t="s">
        <v>3173</v>
      </c>
      <c r="F1743" s="3" t="s">
        <v>3185</v>
      </c>
      <c r="G1743" s="19" t="s">
        <v>3186</v>
      </c>
      <c r="H1743" s="2" t="s">
        <v>88</v>
      </c>
      <c r="I1743" s="4">
        <v>0.4</v>
      </c>
      <c r="J1743" s="5">
        <v>710000000</v>
      </c>
      <c r="K1743" s="5" t="s">
        <v>89</v>
      </c>
      <c r="L1743" s="2" t="s">
        <v>754</v>
      </c>
      <c r="M1743" s="6" t="s">
        <v>787</v>
      </c>
      <c r="N1743" s="7" t="s">
        <v>92</v>
      </c>
      <c r="O1743" s="7" t="s">
        <v>93</v>
      </c>
      <c r="P1743" s="3" t="s">
        <v>94</v>
      </c>
      <c r="Q1743" s="8">
        <v>796</v>
      </c>
      <c r="R1743" s="7" t="s">
        <v>118</v>
      </c>
      <c r="S1743" s="9">
        <f>50+20+3+2</f>
        <v>75</v>
      </c>
      <c r="T1743" s="9">
        <v>527</v>
      </c>
      <c r="U1743" s="9">
        <v>0</v>
      </c>
      <c r="V1743" s="9">
        <f t="shared" si="1359"/>
        <v>0</v>
      </c>
      <c r="W1743" s="7" t="s">
        <v>97</v>
      </c>
      <c r="X1743" s="2">
        <v>2016</v>
      </c>
      <c r="Y1743" s="2" t="s">
        <v>7793</v>
      </c>
    </row>
    <row r="1744" spans="1:25" s="11" customFormat="1" ht="89.25" customHeight="1" outlineLevel="1" x14ac:dyDescent="0.25">
      <c r="A1744" s="1"/>
      <c r="B1744" s="2" t="s">
        <v>8247</v>
      </c>
      <c r="C1744" s="3" t="s">
        <v>83</v>
      </c>
      <c r="D1744" s="3" t="s">
        <v>3184</v>
      </c>
      <c r="E1744" s="3" t="s">
        <v>3173</v>
      </c>
      <c r="F1744" s="3" t="s">
        <v>3185</v>
      </c>
      <c r="G1744" s="19" t="s">
        <v>3186</v>
      </c>
      <c r="H1744" s="2" t="s">
        <v>88</v>
      </c>
      <c r="I1744" s="4">
        <v>0</v>
      </c>
      <c r="J1744" s="5">
        <v>710000000</v>
      </c>
      <c r="K1744" s="5" t="s">
        <v>89</v>
      </c>
      <c r="L1744" s="2" t="s">
        <v>754</v>
      </c>
      <c r="M1744" s="6" t="s">
        <v>787</v>
      </c>
      <c r="N1744" s="7" t="s">
        <v>92</v>
      </c>
      <c r="O1744" s="7" t="s">
        <v>93</v>
      </c>
      <c r="P1744" s="3" t="s">
        <v>673</v>
      </c>
      <c r="Q1744" s="8">
        <v>796</v>
      </c>
      <c r="R1744" s="7" t="s">
        <v>118</v>
      </c>
      <c r="S1744" s="9">
        <f>50+20+3+2</f>
        <v>75</v>
      </c>
      <c r="T1744" s="9">
        <v>527</v>
      </c>
      <c r="U1744" s="9">
        <v>0</v>
      </c>
      <c r="V1744" s="9">
        <f t="shared" ref="V1744" si="1371">U1744*1.12</f>
        <v>0</v>
      </c>
      <c r="W1744" s="7"/>
      <c r="X1744" s="2">
        <v>2016</v>
      </c>
      <c r="Y1744" s="2" t="s">
        <v>9709</v>
      </c>
    </row>
    <row r="1745" spans="1:25" s="11" customFormat="1" ht="89.25" customHeight="1" outlineLevel="1" x14ac:dyDescent="0.25">
      <c r="A1745" s="1"/>
      <c r="B1745" s="2" t="s">
        <v>9766</v>
      </c>
      <c r="C1745" s="3" t="s">
        <v>83</v>
      </c>
      <c r="D1745" s="3" t="s">
        <v>3184</v>
      </c>
      <c r="E1745" s="3" t="s">
        <v>3173</v>
      </c>
      <c r="F1745" s="3" t="s">
        <v>3185</v>
      </c>
      <c r="G1745" s="19" t="s">
        <v>3186</v>
      </c>
      <c r="H1745" s="2" t="s">
        <v>88</v>
      </c>
      <c r="I1745" s="4">
        <v>0</v>
      </c>
      <c r="J1745" s="5">
        <v>710000000</v>
      </c>
      <c r="K1745" s="5" t="s">
        <v>89</v>
      </c>
      <c r="L1745" s="6" t="s">
        <v>9737</v>
      </c>
      <c r="M1745" s="6" t="s">
        <v>9711</v>
      </c>
      <c r="N1745" s="7" t="s">
        <v>92</v>
      </c>
      <c r="O1745" s="7" t="s">
        <v>93</v>
      </c>
      <c r="P1745" s="3" t="s">
        <v>673</v>
      </c>
      <c r="Q1745" s="8">
        <v>796</v>
      </c>
      <c r="R1745" s="7" t="s">
        <v>118</v>
      </c>
      <c r="S1745" s="9">
        <f>50+20+3+2+12</f>
        <v>87</v>
      </c>
      <c r="T1745" s="9">
        <v>527</v>
      </c>
      <c r="U1745" s="9">
        <f t="shared" ref="U1745" si="1372">T1745*S1745</f>
        <v>45849</v>
      </c>
      <c r="V1745" s="9">
        <f t="shared" ref="V1745" si="1373">U1745*1.12</f>
        <v>51350.880000000005</v>
      </c>
      <c r="W1745" s="7"/>
      <c r="X1745" s="2">
        <v>2016</v>
      </c>
      <c r="Y1745" s="2"/>
    </row>
    <row r="1746" spans="1:25" s="11" customFormat="1" ht="89.25" customHeight="1" outlineLevel="1" x14ac:dyDescent="0.25">
      <c r="A1746" s="1"/>
      <c r="B1746" s="2" t="s">
        <v>6372</v>
      </c>
      <c r="C1746" s="3" t="s">
        <v>83</v>
      </c>
      <c r="D1746" s="3" t="s">
        <v>3187</v>
      </c>
      <c r="E1746" s="3" t="s">
        <v>3173</v>
      </c>
      <c r="F1746" s="3" t="s">
        <v>3188</v>
      </c>
      <c r="G1746" s="19" t="s">
        <v>3189</v>
      </c>
      <c r="H1746" s="2" t="s">
        <v>88</v>
      </c>
      <c r="I1746" s="4">
        <v>0.4</v>
      </c>
      <c r="J1746" s="5">
        <v>710000000</v>
      </c>
      <c r="K1746" s="5" t="s">
        <v>89</v>
      </c>
      <c r="L1746" s="2" t="s">
        <v>754</v>
      </c>
      <c r="M1746" s="6" t="s">
        <v>787</v>
      </c>
      <c r="N1746" s="7" t="s">
        <v>92</v>
      </c>
      <c r="O1746" s="7" t="s">
        <v>93</v>
      </c>
      <c r="P1746" s="3" t="s">
        <v>94</v>
      </c>
      <c r="Q1746" s="8" t="s">
        <v>522</v>
      </c>
      <c r="R1746" s="7" t="s">
        <v>523</v>
      </c>
      <c r="S1746" s="9">
        <f>8+173</f>
        <v>181</v>
      </c>
      <c r="T1746" s="9">
        <v>1098</v>
      </c>
      <c r="U1746" s="9">
        <v>0</v>
      </c>
      <c r="V1746" s="9">
        <f t="shared" si="1359"/>
        <v>0</v>
      </c>
      <c r="W1746" s="7" t="s">
        <v>97</v>
      </c>
      <c r="X1746" s="2">
        <v>2016</v>
      </c>
      <c r="Y1746" s="2" t="s">
        <v>7793</v>
      </c>
    </row>
    <row r="1747" spans="1:25" s="11" customFormat="1" ht="89.25" customHeight="1" outlineLevel="1" x14ac:dyDescent="0.25">
      <c r="A1747" s="1"/>
      <c r="B1747" s="2" t="s">
        <v>8248</v>
      </c>
      <c r="C1747" s="3" t="s">
        <v>83</v>
      </c>
      <c r="D1747" s="3" t="s">
        <v>3187</v>
      </c>
      <c r="E1747" s="3" t="s">
        <v>3173</v>
      </c>
      <c r="F1747" s="3" t="s">
        <v>3188</v>
      </c>
      <c r="G1747" s="19" t="s">
        <v>3189</v>
      </c>
      <c r="H1747" s="2" t="s">
        <v>88</v>
      </c>
      <c r="I1747" s="4">
        <v>0</v>
      </c>
      <c r="J1747" s="5">
        <v>710000000</v>
      </c>
      <c r="K1747" s="5" t="s">
        <v>89</v>
      </c>
      <c r="L1747" s="2" t="s">
        <v>754</v>
      </c>
      <c r="M1747" s="6" t="s">
        <v>787</v>
      </c>
      <c r="N1747" s="7" t="s">
        <v>92</v>
      </c>
      <c r="O1747" s="7" t="s">
        <v>93</v>
      </c>
      <c r="P1747" s="3" t="s">
        <v>673</v>
      </c>
      <c r="Q1747" s="8" t="s">
        <v>522</v>
      </c>
      <c r="R1747" s="7" t="s">
        <v>523</v>
      </c>
      <c r="S1747" s="9">
        <f>8+173</f>
        <v>181</v>
      </c>
      <c r="T1747" s="9">
        <v>1098</v>
      </c>
      <c r="U1747" s="9">
        <v>0</v>
      </c>
      <c r="V1747" s="9">
        <f t="shared" ref="V1747" si="1374">U1747*1.12</f>
        <v>0</v>
      </c>
      <c r="W1747" s="7"/>
      <c r="X1747" s="2">
        <v>2016</v>
      </c>
      <c r="Y1747" s="2" t="s">
        <v>9709</v>
      </c>
    </row>
    <row r="1748" spans="1:25" s="11" customFormat="1" ht="89.25" customHeight="1" outlineLevel="1" x14ac:dyDescent="0.25">
      <c r="A1748" s="1"/>
      <c r="B1748" s="2" t="s">
        <v>9713</v>
      </c>
      <c r="C1748" s="3" t="s">
        <v>83</v>
      </c>
      <c r="D1748" s="3" t="s">
        <v>3187</v>
      </c>
      <c r="E1748" s="3" t="s">
        <v>3173</v>
      </c>
      <c r="F1748" s="3" t="s">
        <v>3188</v>
      </c>
      <c r="G1748" s="19" t="s">
        <v>3189</v>
      </c>
      <c r="H1748" s="2" t="s">
        <v>88</v>
      </c>
      <c r="I1748" s="4">
        <v>0</v>
      </c>
      <c r="J1748" s="5">
        <v>710000000</v>
      </c>
      <c r="K1748" s="5" t="s">
        <v>89</v>
      </c>
      <c r="L1748" s="6" t="s">
        <v>9737</v>
      </c>
      <c r="M1748" s="6" t="s">
        <v>9711</v>
      </c>
      <c r="N1748" s="7" t="s">
        <v>92</v>
      </c>
      <c r="O1748" s="7" t="s">
        <v>93</v>
      </c>
      <c r="P1748" s="3" t="s">
        <v>673</v>
      </c>
      <c r="Q1748" s="8" t="s">
        <v>522</v>
      </c>
      <c r="R1748" s="7" t="s">
        <v>523</v>
      </c>
      <c r="S1748" s="9">
        <f>8+173+100+81</f>
        <v>362</v>
      </c>
      <c r="T1748" s="9">
        <v>1098</v>
      </c>
      <c r="U1748" s="9">
        <f t="shared" ref="U1748" si="1375">T1748*S1748</f>
        <v>397476</v>
      </c>
      <c r="V1748" s="9">
        <f t="shared" ref="V1748" si="1376">U1748*1.12</f>
        <v>445173.12000000005</v>
      </c>
      <c r="W1748" s="7"/>
      <c r="X1748" s="2">
        <v>2016</v>
      </c>
      <c r="Y1748" s="2"/>
    </row>
    <row r="1749" spans="1:25" s="11" customFormat="1" ht="89.25" customHeight="1" outlineLevel="1" x14ac:dyDescent="0.25">
      <c r="A1749" s="1"/>
      <c r="B1749" s="2" t="s">
        <v>6373</v>
      </c>
      <c r="C1749" s="3" t="s">
        <v>83</v>
      </c>
      <c r="D1749" s="3" t="s">
        <v>3190</v>
      </c>
      <c r="E1749" s="3" t="s">
        <v>3173</v>
      </c>
      <c r="F1749" s="3" t="s">
        <v>3191</v>
      </c>
      <c r="G1749" s="19" t="s">
        <v>3192</v>
      </c>
      <c r="H1749" s="2" t="s">
        <v>88</v>
      </c>
      <c r="I1749" s="4">
        <v>0.4</v>
      </c>
      <c r="J1749" s="5">
        <v>710000000</v>
      </c>
      <c r="K1749" s="5" t="s">
        <v>89</v>
      </c>
      <c r="L1749" s="2" t="s">
        <v>754</v>
      </c>
      <c r="M1749" s="6" t="s">
        <v>787</v>
      </c>
      <c r="N1749" s="7" t="s">
        <v>92</v>
      </c>
      <c r="O1749" s="7" t="s">
        <v>93</v>
      </c>
      <c r="P1749" s="3" t="s">
        <v>94</v>
      </c>
      <c r="Q1749" s="8">
        <v>796</v>
      </c>
      <c r="R1749" s="7" t="s">
        <v>118</v>
      </c>
      <c r="S1749" s="9">
        <f>100+20+25+10+35</f>
        <v>190</v>
      </c>
      <c r="T1749" s="9">
        <v>571</v>
      </c>
      <c r="U1749" s="9">
        <v>0</v>
      </c>
      <c r="V1749" s="9">
        <f t="shared" si="1359"/>
        <v>0</v>
      </c>
      <c r="W1749" s="7" t="s">
        <v>97</v>
      </c>
      <c r="X1749" s="2">
        <v>2016</v>
      </c>
      <c r="Y1749" s="2" t="s">
        <v>7793</v>
      </c>
    </row>
    <row r="1750" spans="1:25" s="11" customFormat="1" ht="89.25" customHeight="1" outlineLevel="1" x14ac:dyDescent="0.25">
      <c r="A1750" s="1"/>
      <c r="B1750" s="2" t="s">
        <v>8249</v>
      </c>
      <c r="C1750" s="3" t="s">
        <v>83</v>
      </c>
      <c r="D1750" s="3" t="s">
        <v>3190</v>
      </c>
      <c r="E1750" s="3" t="s">
        <v>3173</v>
      </c>
      <c r="F1750" s="3" t="s">
        <v>3191</v>
      </c>
      <c r="G1750" s="19" t="s">
        <v>3192</v>
      </c>
      <c r="H1750" s="2" t="s">
        <v>88</v>
      </c>
      <c r="I1750" s="4">
        <v>0</v>
      </c>
      <c r="J1750" s="5">
        <v>710000000</v>
      </c>
      <c r="K1750" s="5" t="s">
        <v>89</v>
      </c>
      <c r="L1750" s="2" t="s">
        <v>754</v>
      </c>
      <c r="M1750" s="6" t="s">
        <v>787</v>
      </c>
      <c r="N1750" s="7" t="s">
        <v>92</v>
      </c>
      <c r="O1750" s="7" t="s">
        <v>93</v>
      </c>
      <c r="P1750" s="3" t="s">
        <v>673</v>
      </c>
      <c r="Q1750" s="8">
        <v>796</v>
      </c>
      <c r="R1750" s="7" t="s">
        <v>118</v>
      </c>
      <c r="S1750" s="9">
        <f>100+20+25+10+35</f>
        <v>190</v>
      </c>
      <c r="T1750" s="9">
        <v>571</v>
      </c>
      <c r="U1750" s="9">
        <f t="shared" ref="U1750" si="1377">T1750*S1750</f>
        <v>108490</v>
      </c>
      <c r="V1750" s="9">
        <f t="shared" ref="V1750" si="1378">U1750*1.12</f>
        <v>121508.80000000002</v>
      </c>
      <c r="W1750" s="7"/>
      <c r="X1750" s="2">
        <v>2016</v>
      </c>
      <c r="Y1750" s="2"/>
    </row>
    <row r="1751" spans="1:25" s="11" customFormat="1" ht="89.25" customHeight="1" outlineLevel="1" x14ac:dyDescent="0.25">
      <c r="A1751" s="1"/>
      <c r="B1751" s="2" t="s">
        <v>6374</v>
      </c>
      <c r="C1751" s="3" t="s">
        <v>83</v>
      </c>
      <c r="D1751" s="3" t="s">
        <v>3193</v>
      </c>
      <c r="E1751" s="3" t="s">
        <v>3194</v>
      </c>
      <c r="F1751" s="3" t="s">
        <v>3195</v>
      </c>
      <c r="G1751" s="19" t="s">
        <v>3196</v>
      </c>
      <c r="H1751" s="2" t="s">
        <v>88</v>
      </c>
      <c r="I1751" s="4">
        <v>0.4</v>
      </c>
      <c r="J1751" s="5">
        <v>710000000</v>
      </c>
      <c r="K1751" s="5" t="s">
        <v>89</v>
      </c>
      <c r="L1751" s="2" t="s">
        <v>754</v>
      </c>
      <c r="M1751" s="6" t="s">
        <v>787</v>
      </c>
      <c r="N1751" s="7" t="s">
        <v>92</v>
      </c>
      <c r="O1751" s="7" t="s">
        <v>93</v>
      </c>
      <c r="P1751" s="3" t="s">
        <v>94</v>
      </c>
      <c r="Q1751" s="8" t="s">
        <v>3197</v>
      </c>
      <c r="R1751" s="7" t="s">
        <v>2412</v>
      </c>
      <c r="S1751" s="9">
        <f>134+50+366+9</f>
        <v>559</v>
      </c>
      <c r="T1751" s="9">
        <v>7951</v>
      </c>
      <c r="U1751" s="9">
        <v>0</v>
      </c>
      <c r="V1751" s="9">
        <f t="shared" si="1359"/>
        <v>0</v>
      </c>
      <c r="W1751" s="7" t="s">
        <v>97</v>
      </c>
      <c r="X1751" s="2">
        <v>2016</v>
      </c>
      <c r="Y1751" s="2" t="s">
        <v>7793</v>
      </c>
    </row>
    <row r="1752" spans="1:25" s="11" customFormat="1" ht="89.25" customHeight="1" outlineLevel="1" x14ac:dyDescent="0.25">
      <c r="A1752" s="1"/>
      <c r="B1752" s="2" t="s">
        <v>8250</v>
      </c>
      <c r="C1752" s="3" t="s">
        <v>83</v>
      </c>
      <c r="D1752" s="3" t="s">
        <v>3193</v>
      </c>
      <c r="E1752" s="3" t="s">
        <v>3194</v>
      </c>
      <c r="F1752" s="3" t="s">
        <v>3195</v>
      </c>
      <c r="G1752" s="19" t="s">
        <v>3196</v>
      </c>
      <c r="H1752" s="2" t="s">
        <v>88</v>
      </c>
      <c r="I1752" s="4">
        <v>0</v>
      </c>
      <c r="J1752" s="5">
        <v>710000000</v>
      </c>
      <c r="K1752" s="5" t="s">
        <v>89</v>
      </c>
      <c r="L1752" s="2" t="s">
        <v>754</v>
      </c>
      <c r="M1752" s="6" t="s">
        <v>787</v>
      </c>
      <c r="N1752" s="7" t="s">
        <v>92</v>
      </c>
      <c r="O1752" s="7" t="s">
        <v>93</v>
      </c>
      <c r="P1752" s="3" t="s">
        <v>673</v>
      </c>
      <c r="Q1752" s="8" t="s">
        <v>3197</v>
      </c>
      <c r="R1752" s="7" t="s">
        <v>2412</v>
      </c>
      <c r="S1752" s="9">
        <f>134+50+366+9</f>
        <v>559</v>
      </c>
      <c r="T1752" s="9">
        <v>7951</v>
      </c>
      <c r="U1752" s="9">
        <f t="shared" ref="U1752" si="1379">T1752*S1752</f>
        <v>4444609</v>
      </c>
      <c r="V1752" s="9">
        <f t="shared" ref="V1752" si="1380">U1752*1.12</f>
        <v>4977962.08</v>
      </c>
      <c r="W1752" s="7"/>
      <c r="X1752" s="2">
        <v>2016</v>
      </c>
      <c r="Y1752" s="2"/>
    </row>
    <row r="1753" spans="1:25" s="11" customFormat="1" ht="89.25" customHeight="1" outlineLevel="1" x14ac:dyDescent="0.25">
      <c r="A1753" s="1"/>
      <c r="B1753" s="2" t="s">
        <v>6375</v>
      </c>
      <c r="C1753" s="3" t="s">
        <v>83</v>
      </c>
      <c r="D1753" s="3" t="s">
        <v>3198</v>
      </c>
      <c r="E1753" s="3" t="s">
        <v>3194</v>
      </c>
      <c r="F1753" s="3" t="s">
        <v>3199</v>
      </c>
      <c r="G1753" s="19" t="s">
        <v>3200</v>
      </c>
      <c r="H1753" s="2" t="s">
        <v>88</v>
      </c>
      <c r="I1753" s="4">
        <v>0.4</v>
      </c>
      <c r="J1753" s="5">
        <v>710000000</v>
      </c>
      <c r="K1753" s="5" t="s">
        <v>89</v>
      </c>
      <c r="L1753" s="2" t="s">
        <v>754</v>
      </c>
      <c r="M1753" s="6" t="s">
        <v>787</v>
      </c>
      <c r="N1753" s="7" t="s">
        <v>92</v>
      </c>
      <c r="O1753" s="7" t="s">
        <v>93</v>
      </c>
      <c r="P1753" s="3" t="s">
        <v>94</v>
      </c>
      <c r="Q1753" s="8" t="s">
        <v>3197</v>
      </c>
      <c r="R1753" s="7" t="s">
        <v>2412</v>
      </c>
      <c r="S1753" s="9">
        <f>50+6</f>
        <v>56</v>
      </c>
      <c r="T1753" s="9">
        <v>7259</v>
      </c>
      <c r="U1753" s="9">
        <v>0</v>
      </c>
      <c r="V1753" s="9">
        <f>U1753*1.12</f>
        <v>0</v>
      </c>
      <c r="W1753" s="7" t="s">
        <v>97</v>
      </c>
      <c r="X1753" s="2">
        <v>2016</v>
      </c>
      <c r="Y1753" s="2" t="s">
        <v>7793</v>
      </c>
    </row>
    <row r="1754" spans="1:25" s="11" customFormat="1" ht="89.25" customHeight="1" outlineLevel="1" x14ac:dyDescent="0.25">
      <c r="A1754" s="1"/>
      <c r="B1754" s="2" t="s">
        <v>8251</v>
      </c>
      <c r="C1754" s="3" t="s">
        <v>83</v>
      </c>
      <c r="D1754" s="3" t="s">
        <v>3198</v>
      </c>
      <c r="E1754" s="3" t="s">
        <v>3194</v>
      </c>
      <c r="F1754" s="3" t="s">
        <v>3199</v>
      </c>
      <c r="G1754" s="19" t="s">
        <v>3200</v>
      </c>
      <c r="H1754" s="2" t="s">
        <v>88</v>
      </c>
      <c r="I1754" s="4">
        <v>0</v>
      </c>
      <c r="J1754" s="5">
        <v>710000000</v>
      </c>
      <c r="K1754" s="5" t="s">
        <v>89</v>
      </c>
      <c r="L1754" s="2" t="s">
        <v>754</v>
      </c>
      <c r="M1754" s="6" t="s">
        <v>787</v>
      </c>
      <c r="N1754" s="7" t="s">
        <v>92</v>
      </c>
      <c r="O1754" s="7" t="s">
        <v>93</v>
      </c>
      <c r="P1754" s="3" t="s">
        <v>673</v>
      </c>
      <c r="Q1754" s="8" t="s">
        <v>3197</v>
      </c>
      <c r="R1754" s="7" t="s">
        <v>2412</v>
      </c>
      <c r="S1754" s="9">
        <f>50+6</f>
        <v>56</v>
      </c>
      <c r="T1754" s="9">
        <v>7259</v>
      </c>
      <c r="U1754" s="9">
        <v>0</v>
      </c>
      <c r="V1754" s="9">
        <f t="shared" ref="V1754" si="1381">U1754*1.12</f>
        <v>0</v>
      </c>
      <c r="W1754" s="7"/>
      <c r="X1754" s="2">
        <v>2016</v>
      </c>
      <c r="Y1754" s="2" t="s">
        <v>8409</v>
      </c>
    </row>
    <row r="1755" spans="1:25" s="11" customFormat="1" ht="89.25" customHeight="1" outlineLevel="1" x14ac:dyDescent="0.25">
      <c r="A1755" s="1"/>
      <c r="B1755" s="2" t="s">
        <v>9224</v>
      </c>
      <c r="C1755" s="3" t="s">
        <v>83</v>
      </c>
      <c r="D1755" s="3" t="s">
        <v>3198</v>
      </c>
      <c r="E1755" s="3" t="s">
        <v>3194</v>
      </c>
      <c r="F1755" s="3" t="s">
        <v>3199</v>
      </c>
      <c r="G1755" s="19" t="s">
        <v>3200</v>
      </c>
      <c r="H1755" s="2" t="s">
        <v>88</v>
      </c>
      <c r="I1755" s="4">
        <v>0</v>
      </c>
      <c r="J1755" s="5">
        <v>710000000</v>
      </c>
      <c r="K1755" s="5" t="s">
        <v>89</v>
      </c>
      <c r="L1755" s="2" t="s">
        <v>9114</v>
      </c>
      <c r="M1755" s="6" t="s">
        <v>787</v>
      </c>
      <c r="N1755" s="7" t="s">
        <v>92</v>
      </c>
      <c r="O1755" s="7" t="s">
        <v>93</v>
      </c>
      <c r="P1755" s="3" t="s">
        <v>673</v>
      </c>
      <c r="Q1755" s="8" t="s">
        <v>3197</v>
      </c>
      <c r="R1755" s="7" t="s">
        <v>2412</v>
      </c>
      <c r="S1755" s="9">
        <f>50+6+56</f>
        <v>112</v>
      </c>
      <c r="T1755" s="9">
        <v>7259</v>
      </c>
      <c r="U1755" s="9">
        <f t="shared" ref="U1755" si="1382">T1755*S1755</f>
        <v>813008</v>
      </c>
      <c r="V1755" s="9">
        <f t="shared" ref="V1755" si="1383">U1755*1.12</f>
        <v>910568.96000000008</v>
      </c>
      <c r="W1755" s="7"/>
      <c r="X1755" s="2">
        <v>2016</v>
      </c>
      <c r="Y1755" s="2"/>
    </row>
    <row r="1756" spans="1:25" s="11" customFormat="1" ht="89.25" customHeight="1" outlineLevel="1" x14ac:dyDescent="0.25">
      <c r="A1756" s="1"/>
      <c r="B1756" s="2" t="s">
        <v>6376</v>
      </c>
      <c r="C1756" s="3" t="s">
        <v>83</v>
      </c>
      <c r="D1756" s="3" t="s">
        <v>3201</v>
      </c>
      <c r="E1756" s="3" t="s">
        <v>3202</v>
      </c>
      <c r="F1756" s="3" t="s">
        <v>3203</v>
      </c>
      <c r="G1756" s="19" t="s">
        <v>3204</v>
      </c>
      <c r="H1756" s="2" t="s">
        <v>88</v>
      </c>
      <c r="I1756" s="4">
        <v>0.4</v>
      </c>
      <c r="J1756" s="5">
        <v>710000000</v>
      </c>
      <c r="K1756" s="5" t="s">
        <v>89</v>
      </c>
      <c r="L1756" s="2" t="s">
        <v>754</v>
      </c>
      <c r="M1756" s="6" t="s">
        <v>787</v>
      </c>
      <c r="N1756" s="7" t="s">
        <v>92</v>
      </c>
      <c r="O1756" s="7" t="s">
        <v>93</v>
      </c>
      <c r="P1756" s="3" t="s">
        <v>94</v>
      </c>
      <c r="Q1756" s="8">
        <v>796</v>
      </c>
      <c r="R1756" s="7" t="s">
        <v>118</v>
      </c>
      <c r="S1756" s="9">
        <f>75+50+5+20+2+4+2+2+189</f>
        <v>349</v>
      </c>
      <c r="T1756" s="9">
        <v>829</v>
      </c>
      <c r="U1756" s="9">
        <v>0</v>
      </c>
      <c r="V1756" s="9">
        <f t="shared" si="1359"/>
        <v>0</v>
      </c>
      <c r="W1756" s="7" t="s">
        <v>97</v>
      </c>
      <c r="X1756" s="2">
        <v>2016</v>
      </c>
      <c r="Y1756" s="2" t="s">
        <v>7793</v>
      </c>
    </row>
    <row r="1757" spans="1:25" s="11" customFormat="1" ht="89.25" customHeight="1" outlineLevel="1" x14ac:dyDescent="0.25">
      <c r="A1757" s="1"/>
      <c r="B1757" s="2" t="s">
        <v>8252</v>
      </c>
      <c r="C1757" s="3" t="s">
        <v>83</v>
      </c>
      <c r="D1757" s="3" t="s">
        <v>3201</v>
      </c>
      <c r="E1757" s="3" t="s">
        <v>3202</v>
      </c>
      <c r="F1757" s="3" t="s">
        <v>3203</v>
      </c>
      <c r="G1757" s="19" t="s">
        <v>3204</v>
      </c>
      <c r="H1757" s="2" t="s">
        <v>88</v>
      </c>
      <c r="I1757" s="4">
        <v>0</v>
      </c>
      <c r="J1757" s="5">
        <v>710000000</v>
      </c>
      <c r="K1757" s="5" t="s">
        <v>89</v>
      </c>
      <c r="L1757" s="2" t="s">
        <v>754</v>
      </c>
      <c r="M1757" s="6" t="s">
        <v>787</v>
      </c>
      <c r="N1757" s="7" t="s">
        <v>92</v>
      </c>
      <c r="O1757" s="7" t="s">
        <v>93</v>
      </c>
      <c r="P1757" s="3" t="s">
        <v>673</v>
      </c>
      <c r="Q1757" s="8">
        <v>796</v>
      </c>
      <c r="R1757" s="7" t="s">
        <v>118</v>
      </c>
      <c r="S1757" s="9">
        <f>75+50+5+20+2+4+2+2+189</f>
        <v>349</v>
      </c>
      <c r="T1757" s="9">
        <v>829</v>
      </c>
      <c r="U1757" s="9">
        <v>0</v>
      </c>
      <c r="V1757" s="9">
        <f t="shared" ref="V1757" si="1384">U1757*1.12</f>
        <v>0</v>
      </c>
      <c r="W1757" s="7"/>
      <c r="X1757" s="2">
        <v>2016</v>
      </c>
      <c r="Y1757" s="2" t="s">
        <v>9709</v>
      </c>
    </row>
    <row r="1758" spans="1:25" s="11" customFormat="1" ht="89.25" customHeight="1" outlineLevel="1" x14ac:dyDescent="0.25">
      <c r="A1758" s="1"/>
      <c r="B1758" s="2" t="s">
        <v>9767</v>
      </c>
      <c r="C1758" s="3" t="s">
        <v>83</v>
      </c>
      <c r="D1758" s="3" t="s">
        <v>3201</v>
      </c>
      <c r="E1758" s="3" t="s">
        <v>3202</v>
      </c>
      <c r="F1758" s="3" t="s">
        <v>3203</v>
      </c>
      <c r="G1758" s="19" t="s">
        <v>3204</v>
      </c>
      <c r="H1758" s="2" t="s">
        <v>88</v>
      </c>
      <c r="I1758" s="4">
        <v>0</v>
      </c>
      <c r="J1758" s="5">
        <v>710000000</v>
      </c>
      <c r="K1758" s="5" t="s">
        <v>89</v>
      </c>
      <c r="L1758" s="6" t="s">
        <v>9737</v>
      </c>
      <c r="M1758" s="6" t="s">
        <v>9720</v>
      </c>
      <c r="N1758" s="7" t="s">
        <v>92</v>
      </c>
      <c r="O1758" s="7" t="s">
        <v>93</v>
      </c>
      <c r="P1758" s="3" t="s">
        <v>673</v>
      </c>
      <c r="Q1758" s="8">
        <v>796</v>
      </c>
      <c r="R1758" s="7" t="s">
        <v>118</v>
      </c>
      <c r="S1758" s="9">
        <f>75+50+5+20+2+4+2+2+189+50</f>
        <v>399</v>
      </c>
      <c r="T1758" s="9">
        <v>829</v>
      </c>
      <c r="U1758" s="9">
        <f t="shared" ref="U1758" si="1385">T1758*S1758</f>
        <v>330771</v>
      </c>
      <c r="V1758" s="9">
        <f t="shared" ref="V1758" si="1386">U1758*1.12</f>
        <v>370463.52</v>
      </c>
      <c r="W1758" s="7"/>
      <c r="X1758" s="2">
        <v>2016</v>
      </c>
      <c r="Y1758" s="2"/>
    </row>
    <row r="1759" spans="1:25" s="11" customFormat="1" ht="89.25" customHeight="1" outlineLevel="1" x14ac:dyDescent="0.25">
      <c r="A1759" s="1"/>
      <c r="B1759" s="2" t="s">
        <v>6377</v>
      </c>
      <c r="C1759" s="3" t="s">
        <v>83</v>
      </c>
      <c r="D1759" s="3" t="s">
        <v>3205</v>
      </c>
      <c r="E1759" s="3" t="s">
        <v>3206</v>
      </c>
      <c r="F1759" s="3" t="s">
        <v>3207</v>
      </c>
      <c r="G1759" s="19"/>
      <c r="H1759" s="2" t="s">
        <v>88</v>
      </c>
      <c r="I1759" s="4">
        <v>0.4</v>
      </c>
      <c r="J1759" s="5">
        <v>710000000</v>
      </c>
      <c r="K1759" s="5" t="s">
        <v>89</v>
      </c>
      <c r="L1759" s="2" t="s">
        <v>754</v>
      </c>
      <c r="M1759" s="6" t="s">
        <v>787</v>
      </c>
      <c r="N1759" s="7" t="s">
        <v>92</v>
      </c>
      <c r="O1759" s="7" t="s">
        <v>93</v>
      </c>
      <c r="P1759" s="3" t="s">
        <v>94</v>
      </c>
      <c r="Q1759" s="8" t="s">
        <v>3208</v>
      </c>
      <c r="R1759" s="7" t="s">
        <v>3209</v>
      </c>
      <c r="S1759" s="9">
        <f>100+20+38+2+2+5+4+1</f>
        <v>172</v>
      </c>
      <c r="T1759" s="9">
        <v>1103</v>
      </c>
      <c r="U1759" s="9">
        <v>0</v>
      </c>
      <c r="V1759" s="9">
        <f t="shared" si="1359"/>
        <v>0</v>
      </c>
      <c r="W1759" s="7" t="s">
        <v>97</v>
      </c>
      <c r="X1759" s="2">
        <v>2016</v>
      </c>
      <c r="Y1759" s="2" t="s">
        <v>7793</v>
      </c>
    </row>
    <row r="1760" spans="1:25" s="11" customFormat="1" ht="89.25" customHeight="1" outlineLevel="1" x14ac:dyDescent="0.25">
      <c r="A1760" s="1"/>
      <c r="B1760" s="2" t="s">
        <v>8253</v>
      </c>
      <c r="C1760" s="3" t="s">
        <v>83</v>
      </c>
      <c r="D1760" s="3" t="s">
        <v>3205</v>
      </c>
      <c r="E1760" s="3" t="s">
        <v>3206</v>
      </c>
      <c r="F1760" s="3" t="s">
        <v>3207</v>
      </c>
      <c r="G1760" s="19"/>
      <c r="H1760" s="2" t="s">
        <v>88</v>
      </c>
      <c r="I1760" s="4">
        <v>0</v>
      </c>
      <c r="J1760" s="5">
        <v>710000000</v>
      </c>
      <c r="K1760" s="5" t="s">
        <v>89</v>
      </c>
      <c r="L1760" s="2" t="s">
        <v>754</v>
      </c>
      <c r="M1760" s="6" t="s">
        <v>787</v>
      </c>
      <c r="N1760" s="7" t="s">
        <v>92</v>
      </c>
      <c r="O1760" s="7" t="s">
        <v>93</v>
      </c>
      <c r="P1760" s="3" t="s">
        <v>673</v>
      </c>
      <c r="Q1760" s="8" t="s">
        <v>3208</v>
      </c>
      <c r="R1760" s="7" t="s">
        <v>3209</v>
      </c>
      <c r="S1760" s="9">
        <f>100+20+38+2+2+5+4+1</f>
        <v>172</v>
      </c>
      <c r="T1760" s="9">
        <v>1103</v>
      </c>
      <c r="U1760" s="9">
        <v>0</v>
      </c>
      <c r="V1760" s="9">
        <f t="shared" ref="V1760" si="1387">U1760*1.12</f>
        <v>0</v>
      </c>
      <c r="W1760" s="7"/>
      <c r="X1760" s="2">
        <v>2016</v>
      </c>
      <c r="Y1760" s="2" t="s">
        <v>9709</v>
      </c>
    </row>
    <row r="1761" spans="1:25" s="11" customFormat="1" ht="89.25" customHeight="1" outlineLevel="1" x14ac:dyDescent="0.25">
      <c r="A1761" s="1"/>
      <c r="B1761" s="2" t="s">
        <v>9714</v>
      </c>
      <c r="C1761" s="3" t="s">
        <v>83</v>
      </c>
      <c r="D1761" s="3" t="s">
        <v>3205</v>
      </c>
      <c r="E1761" s="3" t="s">
        <v>3206</v>
      </c>
      <c r="F1761" s="3" t="s">
        <v>3207</v>
      </c>
      <c r="G1761" s="19"/>
      <c r="H1761" s="2" t="s">
        <v>88</v>
      </c>
      <c r="I1761" s="4">
        <v>0</v>
      </c>
      <c r="J1761" s="5">
        <v>710000000</v>
      </c>
      <c r="K1761" s="5" t="s">
        <v>89</v>
      </c>
      <c r="L1761" s="6" t="s">
        <v>9737</v>
      </c>
      <c r="M1761" s="6" t="s">
        <v>9720</v>
      </c>
      <c r="N1761" s="7" t="s">
        <v>92</v>
      </c>
      <c r="O1761" s="7" t="s">
        <v>93</v>
      </c>
      <c r="P1761" s="3" t="s">
        <v>673</v>
      </c>
      <c r="Q1761" s="8" t="s">
        <v>3208</v>
      </c>
      <c r="R1761" s="7" t="s">
        <v>3209</v>
      </c>
      <c r="S1761" s="9">
        <f>100+20+38+2+2+5+4+1+150</f>
        <v>322</v>
      </c>
      <c r="T1761" s="9">
        <v>1103</v>
      </c>
      <c r="U1761" s="9">
        <f t="shared" ref="U1761" si="1388">T1761*S1761</f>
        <v>355166</v>
      </c>
      <c r="V1761" s="9">
        <f t="shared" ref="V1761" si="1389">U1761*1.12</f>
        <v>397785.92000000004</v>
      </c>
      <c r="W1761" s="7"/>
      <c r="X1761" s="2">
        <v>2016</v>
      </c>
      <c r="Y1761" s="2"/>
    </row>
    <row r="1762" spans="1:25" s="11" customFormat="1" ht="89.25" customHeight="1" outlineLevel="1" x14ac:dyDescent="0.25">
      <c r="A1762" s="1"/>
      <c r="B1762" s="2" t="s">
        <v>6378</v>
      </c>
      <c r="C1762" s="3" t="s">
        <v>83</v>
      </c>
      <c r="D1762" s="3" t="s">
        <v>3210</v>
      </c>
      <c r="E1762" s="3" t="s">
        <v>3211</v>
      </c>
      <c r="F1762" s="3" t="s">
        <v>3212</v>
      </c>
      <c r="G1762" s="19"/>
      <c r="H1762" s="2" t="s">
        <v>88</v>
      </c>
      <c r="I1762" s="4">
        <v>0.4</v>
      </c>
      <c r="J1762" s="5">
        <v>710000000</v>
      </c>
      <c r="K1762" s="5" t="s">
        <v>89</v>
      </c>
      <c r="L1762" s="2" t="s">
        <v>754</v>
      </c>
      <c r="M1762" s="6" t="s">
        <v>787</v>
      </c>
      <c r="N1762" s="7" t="s">
        <v>92</v>
      </c>
      <c r="O1762" s="7" t="s">
        <v>93</v>
      </c>
      <c r="P1762" s="3" t="s">
        <v>94</v>
      </c>
      <c r="Q1762" s="8" t="s">
        <v>3213</v>
      </c>
      <c r="R1762" s="7" t="s">
        <v>3214</v>
      </c>
      <c r="S1762" s="9">
        <f>300+10+112+5</f>
        <v>427</v>
      </c>
      <c r="T1762" s="9">
        <v>1518</v>
      </c>
      <c r="U1762" s="9">
        <v>0</v>
      </c>
      <c r="V1762" s="9">
        <f t="shared" si="1359"/>
        <v>0</v>
      </c>
      <c r="W1762" s="7" t="s">
        <v>97</v>
      </c>
      <c r="X1762" s="2">
        <v>2016</v>
      </c>
      <c r="Y1762" s="2" t="s">
        <v>7793</v>
      </c>
    </row>
    <row r="1763" spans="1:25" s="11" customFormat="1" ht="89.25" customHeight="1" outlineLevel="1" x14ac:dyDescent="0.25">
      <c r="A1763" s="1"/>
      <c r="B1763" s="2" t="s">
        <v>8254</v>
      </c>
      <c r="C1763" s="3" t="s">
        <v>83</v>
      </c>
      <c r="D1763" s="3" t="s">
        <v>3210</v>
      </c>
      <c r="E1763" s="3" t="s">
        <v>3211</v>
      </c>
      <c r="F1763" s="3" t="s">
        <v>3212</v>
      </c>
      <c r="G1763" s="19"/>
      <c r="H1763" s="2" t="s">
        <v>88</v>
      </c>
      <c r="I1763" s="4">
        <v>0</v>
      </c>
      <c r="J1763" s="5">
        <v>710000000</v>
      </c>
      <c r="K1763" s="5" t="s">
        <v>89</v>
      </c>
      <c r="L1763" s="2" t="s">
        <v>754</v>
      </c>
      <c r="M1763" s="6" t="s">
        <v>787</v>
      </c>
      <c r="N1763" s="7" t="s">
        <v>92</v>
      </c>
      <c r="O1763" s="7" t="s">
        <v>93</v>
      </c>
      <c r="P1763" s="3" t="s">
        <v>673</v>
      </c>
      <c r="Q1763" s="8" t="s">
        <v>3213</v>
      </c>
      <c r="R1763" s="7" t="s">
        <v>3214</v>
      </c>
      <c r="S1763" s="9">
        <f>300+10+112+5</f>
        <v>427</v>
      </c>
      <c r="T1763" s="9">
        <v>1518</v>
      </c>
      <c r="U1763" s="9">
        <f t="shared" ref="U1763" si="1390">T1763*S1763</f>
        <v>648186</v>
      </c>
      <c r="V1763" s="9">
        <f t="shared" ref="V1763" si="1391">U1763*1.12</f>
        <v>725968.32000000007</v>
      </c>
      <c r="W1763" s="7"/>
      <c r="X1763" s="2">
        <v>2016</v>
      </c>
      <c r="Y1763" s="2"/>
    </row>
    <row r="1764" spans="1:25" s="11" customFormat="1" ht="89.25" customHeight="1" outlineLevel="1" x14ac:dyDescent="0.25">
      <c r="A1764" s="1"/>
      <c r="B1764" s="2" t="s">
        <v>6379</v>
      </c>
      <c r="C1764" s="3" t="s">
        <v>83</v>
      </c>
      <c r="D1764" s="3" t="s">
        <v>3215</v>
      </c>
      <c r="E1764" s="3" t="s">
        <v>3216</v>
      </c>
      <c r="F1764" s="3" t="s">
        <v>3217</v>
      </c>
      <c r="G1764" s="19" t="s">
        <v>3218</v>
      </c>
      <c r="H1764" s="2" t="s">
        <v>88</v>
      </c>
      <c r="I1764" s="4">
        <v>0.4</v>
      </c>
      <c r="J1764" s="5">
        <v>710000000</v>
      </c>
      <c r="K1764" s="5" t="s">
        <v>89</v>
      </c>
      <c r="L1764" s="2" t="s">
        <v>754</v>
      </c>
      <c r="M1764" s="6" t="s">
        <v>787</v>
      </c>
      <c r="N1764" s="7" t="s">
        <v>92</v>
      </c>
      <c r="O1764" s="7" t="s">
        <v>93</v>
      </c>
      <c r="P1764" s="3" t="s">
        <v>94</v>
      </c>
      <c r="Q1764" s="8" t="s">
        <v>2439</v>
      </c>
      <c r="R1764" s="7" t="s">
        <v>2440</v>
      </c>
      <c r="S1764" s="9">
        <f>300+50+100+10</f>
        <v>460</v>
      </c>
      <c r="T1764" s="9">
        <v>223</v>
      </c>
      <c r="U1764" s="9">
        <v>0</v>
      </c>
      <c r="V1764" s="9">
        <f t="shared" si="1359"/>
        <v>0</v>
      </c>
      <c r="W1764" s="7" t="s">
        <v>97</v>
      </c>
      <c r="X1764" s="2">
        <v>2016</v>
      </c>
      <c r="Y1764" s="2" t="s">
        <v>7793</v>
      </c>
    </row>
    <row r="1765" spans="1:25" s="11" customFormat="1" ht="89.25" customHeight="1" outlineLevel="1" x14ac:dyDescent="0.25">
      <c r="A1765" s="1"/>
      <c r="B1765" s="2" t="s">
        <v>8255</v>
      </c>
      <c r="C1765" s="3" t="s">
        <v>83</v>
      </c>
      <c r="D1765" s="3" t="s">
        <v>3215</v>
      </c>
      <c r="E1765" s="3" t="s">
        <v>3216</v>
      </c>
      <c r="F1765" s="3" t="s">
        <v>3217</v>
      </c>
      <c r="G1765" s="19" t="s">
        <v>3218</v>
      </c>
      <c r="H1765" s="2" t="s">
        <v>88</v>
      </c>
      <c r="I1765" s="4">
        <v>0</v>
      </c>
      <c r="J1765" s="5">
        <v>710000000</v>
      </c>
      <c r="K1765" s="5" t="s">
        <v>89</v>
      </c>
      <c r="L1765" s="2" t="s">
        <v>754</v>
      </c>
      <c r="M1765" s="6" t="s">
        <v>787</v>
      </c>
      <c r="N1765" s="7" t="s">
        <v>92</v>
      </c>
      <c r="O1765" s="7" t="s">
        <v>93</v>
      </c>
      <c r="P1765" s="3" t="s">
        <v>673</v>
      </c>
      <c r="Q1765" s="8" t="s">
        <v>2439</v>
      </c>
      <c r="R1765" s="7" t="s">
        <v>2440</v>
      </c>
      <c r="S1765" s="9">
        <f>300+50+100+10</f>
        <v>460</v>
      </c>
      <c r="T1765" s="9">
        <v>223</v>
      </c>
      <c r="U1765" s="9">
        <v>0</v>
      </c>
      <c r="V1765" s="9">
        <f t="shared" ref="V1765" si="1392">U1765*1.12</f>
        <v>0</v>
      </c>
      <c r="W1765" s="7"/>
      <c r="X1765" s="2">
        <v>2016</v>
      </c>
      <c r="Y1765" s="2" t="s">
        <v>9709</v>
      </c>
    </row>
    <row r="1766" spans="1:25" s="11" customFormat="1" ht="89.25" customHeight="1" outlineLevel="1" x14ac:dyDescent="0.25">
      <c r="A1766" s="1"/>
      <c r="B1766" s="2" t="s">
        <v>9768</v>
      </c>
      <c r="C1766" s="3" t="s">
        <v>83</v>
      </c>
      <c r="D1766" s="3" t="s">
        <v>3215</v>
      </c>
      <c r="E1766" s="3" t="s">
        <v>3216</v>
      </c>
      <c r="F1766" s="3" t="s">
        <v>3217</v>
      </c>
      <c r="G1766" s="19" t="s">
        <v>3218</v>
      </c>
      <c r="H1766" s="2" t="s">
        <v>88</v>
      </c>
      <c r="I1766" s="4">
        <v>0</v>
      </c>
      <c r="J1766" s="5">
        <v>710000000</v>
      </c>
      <c r="K1766" s="5" t="s">
        <v>89</v>
      </c>
      <c r="L1766" s="6" t="s">
        <v>9737</v>
      </c>
      <c r="M1766" s="6" t="s">
        <v>9720</v>
      </c>
      <c r="N1766" s="7" t="s">
        <v>92</v>
      </c>
      <c r="O1766" s="7" t="s">
        <v>93</v>
      </c>
      <c r="P1766" s="3" t="s">
        <v>673</v>
      </c>
      <c r="Q1766" s="8" t="s">
        <v>2439</v>
      </c>
      <c r="R1766" s="7" t="s">
        <v>2440</v>
      </c>
      <c r="S1766" s="9">
        <f>300+50+100+10+24</f>
        <v>484</v>
      </c>
      <c r="T1766" s="9">
        <v>223</v>
      </c>
      <c r="U1766" s="9">
        <f t="shared" ref="U1766" si="1393">T1766*S1766</f>
        <v>107932</v>
      </c>
      <c r="V1766" s="9">
        <f t="shared" ref="V1766" si="1394">U1766*1.12</f>
        <v>120883.84000000001</v>
      </c>
      <c r="W1766" s="7"/>
      <c r="X1766" s="2">
        <v>2016</v>
      </c>
      <c r="Y1766" s="2"/>
    </row>
    <row r="1767" spans="1:25" s="11" customFormat="1" ht="89.25" customHeight="1" outlineLevel="1" x14ac:dyDescent="0.25">
      <c r="A1767" s="1"/>
      <c r="B1767" s="2" t="s">
        <v>6380</v>
      </c>
      <c r="C1767" s="3" t="s">
        <v>83</v>
      </c>
      <c r="D1767" s="3" t="s">
        <v>3215</v>
      </c>
      <c r="E1767" s="3" t="s">
        <v>3216</v>
      </c>
      <c r="F1767" s="3" t="s">
        <v>3217</v>
      </c>
      <c r="G1767" s="19" t="s">
        <v>3219</v>
      </c>
      <c r="H1767" s="2" t="s">
        <v>88</v>
      </c>
      <c r="I1767" s="4">
        <v>0.4</v>
      </c>
      <c r="J1767" s="5">
        <v>710000000</v>
      </c>
      <c r="K1767" s="5" t="s">
        <v>89</v>
      </c>
      <c r="L1767" s="2" t="s">
        <v>754</v>
      </c>
      <c r="M1767" s="6" t="s">
        <v>787</v>
      </c>
      <c r="N1767" s="7" t="s">
        <v>92</v>
      </c>
      <c r="O1767" s="7" t="s">
        <v>93</v>
      </c>
      <c r="P1767" s="3" t="s">
        <v>94</v>
      </c>
      <c r="Q1767" s="8" t="s">
        <v>2439</v>
      </c>
      <c r="R1767" s="7" t="s">
        <v>2440</v>
      </c>
      <c r="S1767" s="9">
        <v>100</v>
      </c>
      <c r="T1767" s="9">
        <v>250</v>
      </c>
      <c r="U1767" s="9">
        <v>0</v>
      </c>
      <c r="V1767" s="9">
        <f t="shared" si="1359"/>
        <v>0</v>
      </c>
      <c r="W1767" s="7" t="s">
        <v>97</v>
      </c>
      <c r="X1767" s="2">
        <v>2016</v>
      </c>
      <c r="Y1767" s="2" t="s">
        <v>7793</v>
      </c>
    </row>
    <row r="1768" spans="1:25" s="11" customFormat="1" ht="89.25" customHeight="1" outlineLevel="1" x14ac:dyDescent="0.25">
      <c r="A1768" s="1"/>
      <c r="B1768" s="2" t="s">
        <v>8256</v>
      </c>
      <c r="C1768" s="3" t="s">
        <v>83</v>
      </c>
      <c r="D1768" s="3" t="s">
        <v>3215</v>
      </c>
      <c r="E1768" s="3" t="s">
        <v>3216</v>
      </c>
      <c r="F1768" s="3" t="s">
        <v>3217</v>
      </c>
      <c r="G1768" s="19" t="s">
        <v>3219</v>
      </c>
      <c r="H1768" s="2" t="s">
        <v>88</v>
      </c>
      <c r="I1768" s="4">
        <v>0</v>
      </c>
      <c r="J1768" s="5">
        <v>710000000</v>
      </c>
      <c r="K1768" s="5" t="s">
        <v>89</v>
      </c>
      <c r="L1768" s="2" t="s">
        <v>754</v>
      </c>
      <c r="M1768" s="6" t="s">
        <v>787</v>
      </c>
      <c r="N1768" s="7" t="s">
        <v>92</v>
      </c>
      <c r="O1768" s="7" t="s">
        <v>93</v>
      </c>
      <c r="P1768" s="3" t="s">
        <v>673</v>
      </c>
      <c r="Q1768" s="8" t="s">
        <v>2439</v>
      </c>
      <c r="R1768" s="7" t="s">
        <v>2440</v>
      </c>
      <c r="S1768" s="9">
        <v>100</v>
      </c>
      <c r="T1768" s="9">
        <v>250</v>
      </c>
      <c r="U1768" s="9">
        <v>0</v>
      </c>
      <c r="V1768" s="9">
        <f t="shared" ref="V1768" si="1395">U1768*1.12</f>
        <v>0</v>
      </c>
      <c r="W1768" s="7"/>
      <c r="X1768" s="2">
        <v>2016</v>
      </c>
      <c r="Y1768" s="2" t="s">
        <v>9709</v>
      </c>
    </row>
    <row r="1769" spans="1:25" s="11" customFormat="1" ht="89.25" customHeight="1" outlineLevel="1" x14ac:dyDescent="0.25">
      <c r="A1769" s="1"/>
      <c r="B1769" s="2" t="s">
        <v>9769</v>
      </c>
      <c r="C1769" s="3" t="s">
        <v>83</v>
      </c>
      <c r="D1769" s="3" t="s">
        <v>3215</v>
      </c>
      <c r="E1769" s="3" t="s">
        <v>3216</v>
      </c>
      <c r="F1769" s="3" t="s">
        <v>3217</v>
      </c>
      <c r="G1769" s="19" t="s">
        <v>3219</v>
      </c>
      <c r="H1769" s="2" t="s">
        <v>88</v>
      </c>
      <c r="I1769" s="4">
        <v>0</v>
      </c>
      <c r="J1769" s="5">
        <v>710000000</v>
      </c>
      <c r="K1769" s="5" t="s">
        <v>89</v>
      </c>
      <c r="L1769" s="6" t="s">
        <v>9737</v>
      </c>
      <c r="M1769" s="6" t="s">
        <v>9720</v>
      </c>
      <c r="N1769" s="7" t="s">
        <v>92</v>
      </c>
      <c r="O1769" s="7" t="s">
        <v>93</v>
      </c>
      <c r="P1769" s="3" t="s">
        <v>673</v>
      </c>
      <c r="Q1769" s="8" t="s">
        <v>2439</v>
      </c>
      <c r="R1769" s="7" t="s">
        <v>2440</v>
      </c>
      <c r="S1769" s="9">
        <f>100+24</f>
        <v>124</v>
      </c>
      <c r="T1769" s="9">
        <v>250</v>
      </c>
      <c r="U1769" s="9">
        <f t="shared" ref="U1769" si="1396">T1769*S1769</f>
        <v>31000</v>
      </c>
      <c r="V1769" s="9">
        <f t="shared" ref="V1769" si="1397">U1769*1.12</f>
        <v>34720</v>
      </c>
      <c r="W1769" s="7"/>
      <c r="X1769" s="2">
        <v>2016</v>
      </c>
      <c r="Y1769" s="2"/>
    </row>
    <row r="1770" spans="1:25" s="11" customFormat="1" ht="89.25" customHeight="1" outlineLevel="1" x14ac:dyDescent="0.25">
      <c r="A1770" s="1"/>
      <c r="B1770" s="2" t="s">
        <v>6381</v>
      </c>
      <c r="C1770" s="3" t="s">
        <v>83</v>
      </c>
      <c r="D1770" s="3" t="s">
        <v>3220</v>
      </c>
      <c r="E1770" s="3" t="s">
        <v>3221</v>
      </c>
      <c r="F1770" s="3" t="s">
        <v>3222</v>
      </c>
      <c r="G1770" s="19" t="s">
        <v>3223</v>
      </c>
      <c r="H1770" s="2" t="s">
        <v>88</v>
      </c>
      <c r="I1770" s="4">
        <v>0.4</v>
      </c>
      <c r="J1770" s="5">
        <v>710000000</v>
      </c>
      <c r="K1770" s="5" t="s">
        <v>89</v>
      </c>
      <c r="L1770" s="2" t="s">
        <v>754</v>
      </c>
      <c r="M1770" s="6" t="s">
        <v>787</v>
      </c>
      <c r="N1770" s="7" t="s">
        <v>92</v>
      </c>
      <c r="O1770" s="7" t="s">
        <v>93</v>
      </c>
      <c r="P1770" s="3" t="s">
        <v>94</v>
      </c>
      <c r="Q1770" s="8" t="s">
        <v>3085</v>
      </c>
      <c r="R1770" s="7" t="s">
        <v>3086</v>
      </c>
      <c r="S1770" s="9">
        <v>10</v>
      </c>
      <c r="T1770" s="9">
        <v>8000</v>
      </c>
      <c r="U1770" s="9">
        <v>0</v>
      </c>
      <c r="V1770" s="9">
        <f t="shared" si="1359"/>
        <v>0</v>
      </c>
      <c r="W1770" s="7" t="s">
        <v>97</v>
      </c>
      <c r="X1770" s="2">
        <v>2016</v>
      </c>
      <c r="Y1770" s="2" t="s">
        <v>7793</v>
      </c>
    </row>
    <row r="1771" spans="1:25" s="11" customFormat="1" ht="89.25" customHeight="1" outlineLevel="1" x14ac:dyDescent="0.25">
      <c r="A1771" s="1"/>
      <c r="B1771" s="2" t="s">
        <v>8257</v>
      </c>
      <c r="C1771" s="3" t="s">
        <v>83</v>
      </c>
      <c r="D1771" s="3" t="s">
        <v>3220</v>
      </c>
      <c r="E1771" s="3" t="s">
        <v>3221</v>
      </c>
      <c r="F1771" s="3" t="s">
        <v>3222</v>
      </c>
      <c r="G1771" s="19" t="s">
        <v>3223</v>
      </c>
      <c r="H1771" s="2" t="s">
        <v>88</v>
      </c>
      <c r="I1771" s="4">
        <v>0</v>
      </c>
      <c r="J1771" s="5">
        <v>710000000</v>
      </c>
      <c r="K1771" s="5" t="s">
        <v>89</v>
      </c>
      <c r="L1771" s="2" t="s">
        <v>754</v>
      </c>
      <c r="M1771" s="6" t="s">
        <v>787</v>
      </c>
      <c r="N1771" s="7" t="s">
        <v>92</v>
      </c>
      <c r="O1771" s="7" t="s">
        <v>93</v>
      </c>
      <c r="P1771" s="3" t="s">
        <v>673</v>
      </c>
      <c r="Q1771" s="8" t="s">
        <v>3085</v>
      </c>
      <c r="R1771" s="7" t="s">
        <v>3086</v>
      </c>
      <c r="S1771" s="9">
        <v>10</v>
      </c>
      <c r="T1771" s="9">
        <v>8000</v>
      </c>
      <c r="U1771" s="9">
        <f t="shared" ref="U1771" si="1398">T1771*S1771</f>
        <v>80000</v>
      </c>
      <c r="V1771" s="9">
        <f t="shared" ref="V1771" si="1399">U1771*1.12</f>
        <v>89600.000000000015</v>
      </c>
      <c r="W1771" s="7"/>
      <c r="X1771" s="2">
        <v>2016</v>
      </c>
      <c r="Y1771" s="2"/>
    </row>
    <row r="1772" spans="1:25" s="11" customFormat="1" ht="89.25" customHeight="1" outlineLevel="1" x14ac:dyDescent="0.25">
      <c r="A1772" s="1"/>
      <c r="B1772" s="2" t="s">
        <v>6382</v>
      </c>
      <c r="C1772" s="3" t="s">
        <v>83</v>
      </c>
      <c r="D1772" s="3" t="s">
        <v>3220</v>
      </c>
      <c r="E1772" s="3" t="s">
        <v>3221</v>
      </c>
      <c r="F1772" s="3" t="s">
        <v>3222</v>
      </c>
      <c r="G1772" s="19"/>
      <c r="H1772" s="2" t="s">
        <v>88</v>
      </c>
      <c r="I1772" s="4">
        <v>0.4</v>
      </c>
      <c r="J1772" s="5">
        <v>710000000</v>
      </c>
      <c r="K1772" s="5" t="s">
        <v>89</v>
      </c>
      <c r="L1772" s="2" t="s">
        <v>754</v>
      </c>
      <c r="M1772" s="6" t="s">
        <v>787</v>
      </c>
      <c r="N1772" s="7" t="s">
        <v>92</v>
      </c>
      <c r="O1772" s="7" t="s">
        <v>93</v>
      </c>
      <c r="P1772" s="3" t="s">
        <v>94</v>
      </c>
      <c r="Q1772" s="8" t="s">
        <v>3085</v>
      </c>
      <c r="R1772" s="7" t="s">
        <v>3086</v>
      </c>
      <c r="S1772" s="9">
        <v>80</v>
      </c>
      <c r="T1772" s="9">
        <v>3750</v>
      </c>
      <c r="U1772" s="9">
        <v>0</v>
      </c>
      <c r="V1772" s="9">
        <f t="shared" si="1359"/>
        <v>0</v>
      </c>
      <c r="W1772" s="7" t="s">
        <v>97</v>
      </c>
      <c r="X1772" s="2">
        <v>2016</v>
      </c>
      <c r="Y1772" s="2" t="s">
        <v>7793</v>
      </c>
    </row>
    <row r="1773" spans="1:25" s="11" customFormat="1" ht="89.25" customHeight="1" outlineLevel="1" x14ac:dyDescent="0.25">
      <c r="A1773" s="1"/>
      <c r="B1773" s="2" t="s">
        <v>9715</v>
      </c>
      <c r="C1773" s="3" t="s">
        <v>83</v>
      </c>
      <c r="D1773" s="3" t="s">
        <v>3220</v>
      </c>
      <c r="E1773" s="3" t="s">
        <v>3221</v>
      </c>
      <c r="F1773" s="3" t="s">
        <v>3222</v>
      </c>
      <c r="G1773" s="19"/>
      <c r="H1773" s="2" t="s">
        <v>88</v>
      </c>
      <c r="I1773" s="4">
        <v>0</v>
      </c>
      <c r="J1773" s="5">
        <v>710000000</v>
      </c>
      <c r="K1773" s="5" t="s">
        <v>89</v>
      </c>
      <c r="L1773" s="2" t="s">
        <v>754</v>
      </c>
      <c r="M1773" s="6" t="s">
        <v>787</v>
      </c>
      <c r="N1773" s="7" t="s">
        <v>92</v>
      </c>
      <c r="O1773" s="7" t="s">
        <v>93</v>
      </c>
      <c r="P1773" s="3" t="s">
        <v>673</v>
      </c>
      <c r="Q1773" s="8" t="s">
        <v>3085</v>
      </c>
      <c r="R1773" s="7" t="s">
        <v>3086</v>
      </c>
      <c r="S1773" s="9">
        <v>80</v>
      </c>
      <c r="T1773" s="9">
        <v>3750</v>
      </c>
      <c r="U1773" s="9">
        <v>0</v>
      </c>
      <c r="V1773" s="9">
        <f t="shared" ref="V1773" si="1400">U1773*1.12</f>
        <v>0</v>
      </c>
      <c r="W1773" s="7"/>
      <c r="X1773" s="2">
        <v>2016</v>
      </c>
      <c r="Y1773" s="2" t="s">
        <v>9709</v>
      </c>
    </row>
    <row r="1774" spans="1:25" s="11" customFormat="1" ht="89.25" customHeight="1" outlineLevel="1" x14ac:dyDescent="0.25">
      <c r="A1774" s="1"/>
      <c r="B1774" s="2" t="s">
        <v>9716</v>
      </c>
      <c r="C1774" s="3" t="s">
        <v>83</v>
      </c>
      <c r="D1774" s="3" t="s">
        <v>3220</v>
      </c>
      <c r="E1774" s="3" t="s">
        <v>3221</v>
      </c>
      <c r="F1774" s="3" t="s">
        <v>3222</v>
      </c>
      <c r="G1774" s="19"/>
      <c r="H1774" s="2" t="s">
        <v>88</v>
      </c>
      <c r="I1774" s="4">
        <v>0</v>
      </c>
      <c r="J1774" s="5">
        <v>710000000</v>
      </c>
      <c r="K1774" s="5" t="s">
        <v>89</v>
      </c>
      <c r="L1774" s="6" t="s">
        <v>9737</v>
      </c>
      <c r="M1774" s="6" t="s">
        <v>9720</v>
      </c>
      <c r="N1774" s="7" t="s">
        <v>92</v>
      </c>
      <c r="O1774" s="7" t="s">
        <v>93</v>
      </c>
      <c r="P1774" s="3" t="s">
        <v>673</v>
      </c>
      <c r="Q1774" s="8" t="s">
        <v>3085</v>
      </c>
      <c r="R1774" s="7" t="s">
        <v>3086</v>
      </c>
      <c r="S1774" s="9">
        <f>80+80</f>
        <v>160</v>
      </c>
      <c r="T1774" s="9">
        <v>3750</v>
      </c>
      <c r="U1774" s="9">
        <f t="shared" ref="U1774" si="1401">T1774*S1774</f>
        <v>600000</v>
      </c>
      <c r="V1774" s="9">
        <f t="shared" ref="V1774" si="1402">U1774*1.12</f>
        <v>672000.00000000012</v>
      </c>
      <c r="W1774" s="7"/>
      <c r="X1774" s="2">
        <v>2016</v>
      </c>
      <c r="Y1774" s="2"/>
    </row>
    <row r="1775" spans="1:25" s="11" customFormat="1" ht="89.25" customHeight="1" outlineLevel="1" x14ac:dyDescent="0.25">
      <c r="A1775" s="1"/>
      <c r="B1775" s="2" t="s">
        <v>6383</v>
      </c>
      <c r="C1775" s="3" t="s">
        <v>83</v>
      </c>
      <c r="D1775" s="3" t="s">
        <v>3224</v>
      </c>
      <c r="E1775" s="3" t="s">
        <v>3225</v>
      </c>
      <c r="F1775" s="3" t="s">
        <v>3226</v>
      </c>
      <c r="G1775" s="19"/>
      <c r="H1775" s="2" t="s">
        <v>88</v>
      </c>
      <c r="I1775" s="4">
        <v>0.4</v>
      </c>
      <c r="J1775" s="5">
        <v>710000000</v>
      </c>
      <c r="K1775" s="3" t="s">
        <v>89</v>
      </c>
      <c r="L1775" s="2" t="s">
        <v>754</v>
      </c>
      <c r="M1775" s="3" t="s">
        <v>787</v>
      </c>
      <c r="N1775" s="7" t="s">
        <v>92</v>
      </c>
      <c r="O1775" s="7" t="s">
        <v>93</v>
      </c>
      <c r="P1775" s="3" t="s">
        <v>94</v>
      </c>
      <c r="Q1775" s="8" t="s">
        <v>3085</v>
      </c>
      <c r="R1775" s="7" t="s">
        <v>3086</v>
      </c>
      <c r="S1775" s="9">
        <f>120+10</f>
        <v>130</v>
      </c>
      <c r="T1775" s="9">
        <v>2321</v>
      </c>
      <c r="U1775" s="9">
        <v>0</v>
      </c>
      <c r="V1775" s="9">
        <f t="shared" si="1359"/>
        <v>0</v>
      </c>
      <c r="W1775" s="7" t="s">
        <v>97</v>
      </c>
      <c r="X1775" s="2">
        <v>2016</v>
      </c>
      <c r="Y1775" s="3" t="s">
        <v>7793</v>
      </c>
    </row>
    <row r="1776" spans="1:25" s="11" customFormat="1" ht="89.25" customHeight="1" outlineLevel="1" x14ac:dyDescent="0.25">
      <c r="A1776" s="1"/>
      <c r="B1776" s="2" t="s">
        <v>8258</v>
      </c>
      <c r="C1776" s="3" t="s">
        <v>83</v>
      </c>
      <c r="D1776" s="3" t="s">
        <v>3224</v>
      </c>
      <c r="E1776" s="3" t="s">
        <v>3225</v>
      </c>
      <c r="F1776" s="3" t="s">
        <v>3226</v>
      </c>
      <c r="G1776" s="19"/>
      <c r="H1776" s="2" t="s">
        <v>88</v>
      </c>
      <c r="I1776" s="4">
        <v>0</v>
      </c>
      <c r="J1776" s="5">
        <v>710000000</v>
      </c>
      <c r="K1776" s="3" t="s">
        <v>89</v>
      </c>
      <c r="L1776" s="2" t="s">
        <v>754</v>
      </c>
      <c r="M1776" s="3" t="s">
        <v>787</v>
      </c>
      <c r="N1776" s="7" t="s">
        <v>92</v>
      </c>
      <c r="O1776" s="7" t="s">
        <v>93</v>
      </c>
      <c r="P1776" s="3" t="s">
        <v>673</v>
      </c>
      <c r="Q1776" s="8" t="s">
        <v>3085</v>
      </c>
      <c r="R1776" s="7" t="s">
        <v>3086</v>
      </c>
      <c r="S1776" s="9">
        <f>120+10</f>
        <v>130</v>
      </c>
      <c r="T1776" s="9">
        <v>2321</v>
      </c>
      <c r="U1776" s="9">
        <f t="shared" ref="U1776" si="1403">T1776*S1776</f>
        <v>301730</v>
      </c>
      <c r="V1776" s="9">
        <f t="shared" ref="V1776" si="1404">U1776*1.12</f>
        <v>337937.60000000003</v>
      </c>
      <c r="W1776" s="7"/>
      <c r="X1776" s="2">
        <v>2016</v>
      </c>
      <c r="Y1776" s="3"/>
    </row>
    <row r="1777" spans="1:25" s="11" customFormat="1" ht="89.25" customHeight="1" outlineLevel="1" x14ac:dyDescent="0.25">
      <c r="A1777" s="1"/>
      <c r="B1777" s="2" t="s">
        <v>6384</v>
      </c>
      <c r="C1777" s="3" t="s">
        <v>83</v>
      </c>
      <c r="D1777" s="3" t="s">
        <v>3227</v>
      </c>
      <c r="E1777" s="3" t="s">
        <v>3228</v>
      </c>
      <c r="F1777" s="3" t="s">
        <v>3229</v>
      </c>
      <c r="G1777" s="19" t="s">
        <v>3230</v>
      </c>
      <c r="H1777" s="2" t="s">
        <v>88</v>
      </c>
      <c r="I1777" s="4">
        <v>0.4</v>
      </c>
      <c r="J1777" s="5">
        <v>710000000</v>
      </c>
      <c r="K1777" s="5" t="s">
        <v>89</v>
      </c>
      <c r="L1777" s="2" t="s">
        <v>754</v>
      </c>
      <c r="M1777" s="6" t="s">
        <v>787</v>
      </c>
      <c r="N1777" s="7" t="s">
        <v>92</v>
      </c>
      <c r="O1777" s="7" t="s">
        <v>93</v>
      </c>
      <c r="P1777" s="3" t="s">
        <v>94</v>
      </c>
      <c r="Q1777" s="8" t="s">
        <v>3085</v>
      </c>
      <c r="R1777" s="7" t="s">
        <v>3086</v>
      </c>
      <c r="S1777" s="9">
        <v>200</v>
      </c>
      <c r="T1777" s="9">
        <v>4554</v>
      </c>
      <c r="U1777" s="9">
        <v>0</v>
      </c>
      <c r="V1777" s="9">
        <f t="shared" si="1359"/>
        <v>0</v>
      </c>
      <c r="W1777" s="7" t="s">
        <v>97</v>
      </c>
      <c r="X1777" s="2">
        <v>2016</v>
      </c>
      <c r="Y1777" s="2" t="s">
        <v>7793</v>
      </c>
    </row>
    <row r="1778" spans="1:25" s="11" customFormat="1" ht="89.25" customHeight="1" outlineLevel="1" x14ac:dyDescent="0.25">
      <c r="A1778" s="1"/>
      <c r="B1778" s="2" t="s">
        <v>8259</v>
      </c>
      <c r="C1778" s="3" t="s">
        <v>83</v>
      </c>
      <c r="D1778" s="3" t="s">
        <v>3227</v>
      </c>
      <c r="E1778" s="3" t="s">
        <v>3228</v>
      </c>
      <c r="F1778" s="3" t="s">
        <v>3229</v>
      </c>
      <c r="G1778" s="19" t="s">
        <v>3230</v>
      </c>
      <c r="H1778" s="2" t="s">
        <v>88</v>
      </c>
      <c r="I1778" s="4">
        <v>0</v>
      </c>
      <c r="J1778" s="5">
        <v>710000000</v>
      </c>
      <c r="K1778" s="5" t="s">
        <v>89</v>
      </c>
      <c r="L1778" s="2" t="s">
        <v>754</v>
      </c>
      <c r="M1778" s="6" t="s">
        <v>787</v>
      </c>
      <c r="N1778" s="7" t="s">
        <v>92</v>
      </c>
      <c r="O1778" s="7" t="s">
        <v>93</v>
      </c>
      <c r="P1778" s="3" t="s">
        <v>673</v>
      </c>
      <c r="Q1778" s="8" t="s">
        <v>3085</v>
      </c>
      <c r="R1778" s="7" t="s">
        <v>3086</v>
      </c>
      <c r="S1778" s="9">
        <v>200</v>
      </c>
      <c r="T1778" s="9">
        <v>4554</v>
      </c>
      <c r="U1778" s="9">
        <v>0</v>
      </c>
      <c r="V1778" s="9">
        <f t="shared" ref="V1778" si="1405">U1778*1.12</f>
        <v>0</v>
      </c>
      <c r="W1778" s="7"/>
      <c r="X1778" s="2">
        <v>2016</v>
      </c>
      <c r="Y1778" s="2" t="s">
        <v>9709</v>
      </c>
    </row>
    <row r="1779" spans="1:25" s="11" customFormat="1" ht="89.25" customHeight="1" outlineLevel="1" x14ac:dyDescent="0.25">
      <c r="A1779" s="1"/>
      <c r="B1779" s="2" t="s">
        <v>9717</v>
      </c>
      <c r="C1779" s="3" t="s">
        <v>83</v>
      </c>
      <c r="D1779" s="3" t="s">
        <v>3227</v>
      </c>
      <c r="E1779" s="3" t="s">
        <v>3228</v>
      </c>
      <c r="F1779" s="3" t="s">
        <v>3229</v>
      </c>
      <c r="G1779" s="19" t="s">
        <v>3230</v>
      </c>
      <c r="H1779" s="2" t="s">
        <v>88</v>
      </c>
      <c r="I1779" s="4">
        <v>0</v>
      </c>
      <c r="J1779" s="5">
        <v>710000000</v>
      </c>
      <c r="K1779" s="5" t="s">
        <v>89</v>
      </c>
      <c r="L1779" s="6" t="s">
        <v>9737</v>
      </c>
      <c r="M1779" s="6" t="s">
        <v>9720</v>
      </c>
      <c r="N1779" s="7" t="s">
        <v>92</v>
      </c>
      <c r="O1779" s="7" t="s">
        <v>93</v>
      </c>
      <c r="P1779" s="3" t="s">
        <v>673</v>
      </c>
      <c r="Q1779" s="8" t="s">
        <v>3085</v>
      </c>
      <c r="R1779" s="7" t="s">
        <v>3086</v>
      </c>
      <c r="S1779" s="9">
        <f>200+100+100</f>
        <v>400</v>
      </c>
      <c r="T1779" s="9">
        <v>4554</v>
      </c>
      <c r="U1779" s="9">
        <f t="shared" ref="U1779" si="1406">T1779*S1779</f>
        <v>1821600</v>
      </c>
      <c r="V1779" s="9">
        <f t="shared" ref="V1779" si="1407">U1779*1.12</f>
        <v>2040192.0000000002</v>
      </c>
      <c r="W1779" s="7"/>
      <c r="X1779" s="2">
        <v>2016</v>
      </c>
      <c r="Y1779" s="2"/>
    </row>
    <row r="1780" spans="1:25" s="20" customFormat="1" ht="89.25" customHeight="1" outlineLevel="1" x14ac:dyDescent="0.25">
      <c r="A1780" s="1"/>
      <c r="B1780" s="2" t="s">
        <v>6385</v>
      </c>
      <c r="C1780" s="3" t="s">
        <v>83</v>
      </c>
      <c r="D1780" s="3" t="s">
        <v>3227</v>
      </c>
      <c r="E1780" s="3" t="s">
        <v>3228</v>
      </c>
      <c r="F1780" s="3" t="s">
        <v>3229</v>
      </c>
      <c r="G1780" s="19" t="s">
        <v>3231</v>
      </c>
      <c r="H1780" s="2" t="s">
        <v>88</v>
      </c>
      <c r="I1780" s="4">
        <v>0.4</v>
      </c>
      <c r="J1780" s="5">
        <v>710000000</v>
      </c>
      <c r="K1780" s="5" t="s">
        <v>89</v>
      </c>
      <c r="L1780" s="2" t="s">
        <v>754</v>
      </c>
      <c r="M1780" s="6" t="s">
        <v>787</v>
      </c>
      <c r="N1780" s="7" t="s">
        <v>92</v>
      </c>
      <c r="O1780" s="7" t="s">
        <v>93</v>
      </c>
      <c r="P1780" s="3" t="s">
        <v>94</v>
      </c>
      <c r="Q1780" s="8" t="s">
        <v>3085</v>
      </c>
      <c r="R1780" s="7" t="s">
        <v>3086</v>
      </c>
      <c r="S1780" s="9">
        <f>50+730</f>
        <v>780</v>
      </c>
      <c r="T1780" s="9">
        <v>2277</v>
      </c>
      <c r="U1780" s="9">
        <v>0</v>
      </c>
      <c r="V1780" s="9">
        <f t="shared" si="1359"/>
        <v>0</v>
      </c>
      <c r="W1780" s="7" t="s">
        <v>97</v>
      </c>
      <c r="X1780" s="2">
        <v>2016</v>
      </c>
      <c r="Y1780" s="2" t="s">
        <v>7793</v>
      </c>
    </row>
    <row r="1781" spans="1:25" s="20" customFormat="1" ht="89.25" customHeight="1" outlineLevel="1" x14ac:dyDescent="0.25">
      <c r="A1781" s="1"/>
      <c r="B1781" s="2" t="s">
        <v>8260</v>
      </c>
      <c r="C1781" s="3" t="s">
        <v>83</v>
      </c>
      <c r="D1781" s="3" t="s">
        <v>3227</v>
      </c>
      <c r="E1781" s="3" t="s">
        <v>3228</v>
      </c>
      <c r="F1781" s="3" t="s">
        <v>3229</v>
      </c>
      <c r="G1781" s="19" t="s">
        <v>3231</v>
      </c>
      <c r="H1781" s="2" t="s">
        <v>88</v>
      </c>
      <c r="I1781" s="4">
        <v>0</v>
      </c>
      <c r="J1781" s="5">
        <v>710000000</v>
      </c>
      <c r="K1781" s="5" t="s">
        <v>89</v>
      </c>
      <c r="L1781" s="2" t="s">
        <v>754</v>
      </c>
      <c r="M1781" s="6" t="s">
        <v>787</v>
      </c>
      <c r="N1781" s="7" t="s">
        <v>92</v>
      </c>
      <c r="O1781" s="7" t="s">
        <v>93</v>
      </c>
      <c r="P1781" s="3" t="s">
        <v>673</v>
      </c>
      <c r="Q1781" s="8" t="s">
        <v>3085</v>
      </c>
      <c r="R1781" s="7" t="s">
        <v>3086</v>
      </c>
      <c r="S1781" s="9">
        <f>50+730</f>
        <v>780</v>
      </c>
      <c r="T1781" s="9">
        <v>2277</v>
      </c>
      <c r="U1781" s="9">
        <v>0</v>
      </c>
      <c r="V1781" s="9">
        <f t="shared" ref="V1781" si="1408">U1781*1.12</f>
        <v>0</v>
      </c>
      <c r="W1781" s="7"/>
      <c r="X1781" s="2">
        <v>2016</v>
      </c>
      <c r="Y1781" s="2" t="s">
        <v>8409</v>
      </c>
    </row>
    <row r="1782" spans="1:25" s="20" customFormat="1" ht="89.25" customHeight="1" outlineLevel="1" x14ac:dyDescent="0.25">
      <c r="A1782" s="1"/>
      <c r="B1782" s="2" t="s">
        <v>9223</v>
      </c>
      <c r="C1782" s="3" t="s">
        <v>83</v>
      </c>
      <c r="D1782" s="3" t="s">
        <v>3227</v>
      </c>
      <c r="E1782" s="3" t="s">
        <v>3228</v>
      </c>
      <c r="F1782" s="3" t="s">
        <v>3229</v>
      </c>
      <c r="G1782" s="19" t="s">
        <v>3231</v>
      </c>
      <c r="H1782" s="2" t="s">
        <v>88</v>
      </c>
      <c r="I1782" s="4">
        <v>0</v>
      </c>
      <c r="J1782" s="5">
        <v>710000000</v>
      </c>
      <c r="K1782" s="5" t="s">
        <v>89</v>
      </c>
      <c r="L1782" s="5" t="s">
        <v>9114</v>
      </c>
      <c r="M1782" s="6" t="s">
        <v>787</v>
      </c>
      <c r="N1782" s="7" t="s">
        <v>92</v>
      </c>
      <c r="O1782" s="7" t="s">
        <v>93</v>
      </c>
      <c r="P1782" s="3" t="s">
        <v>673</v>
      </c>
      <c r="Q1782" s="8" t="s">
        <v>3085</v>
      </c>
      <c r="R1782" s="7" t="s">
        <v>3086</v>
      </c>
      <c r="S1782" s="9">
        <f>50+730+780</f>
        <v>1560</v>
      </c>
      <c r="T1782" s="9">
        <v>2277</v>
      </c>
      <c r="U1782" s="9">
        <f t="shared" ref="U1782" si="1409">T1782*S1782</f>
        <v>3552120</v>
      </c>
      <c r="V1782" s="9">
        <f t="shared" ref="V1782" si="1410">U1782*1.12</f>
        <v>3978374.4000000004</v>
      </c>
      <c r="W1782" s="7"/>
      <c r="X1782" s="2">
        <v>2016</v>
      </c>
      <c r="Y1782" s="2"/>
    </row>
    <row r="1783" spans="1:25" s="11" customFormat="1" ht="89.25" customHeight="1" outlineLevel="1" x14ac:dyDescent="0.25">
      <c r="A1783" s="1"/>
      <c r="B1783" s="2" t="s">
        <v>6386</v>
      </c>
      <c r="C1783" s="3" t="s">
        <v>83</v>
      </c>
      <c r="D1783" s="3" t="s">
        <v>3232</v>
      </c>
      <c r="E1783" s="3" t="s">
        <v>3233</v>
      </c>
      <c r="F1783" s="3" t="s">
        <v>3234</v>
      </c>
      <c r="G1783" s="19"/>
      <c r="H1783" s="2" t="s">
        <v>88</v>
      </c>
      <c r="I1783" s="4">
        <v>0.4</v>
      </c>
      <c r="J1783" s="5">
        <v>710000000</v>
      </c>
      <c r="K1783" s="5" t="s">
        <v>89</v>
      </c>
      <c r="L1783" s="2" t="s">
        <v>754</v>
      </c>
      <c r="M1783" s="6" t="s">
        <v>787</v>
      </c>
      <c r="N1783" s="7" t="s">
        <v>92</v>
      </c>
      <c r="O1783" s="7" t="s">
        <v>93</v>
      </c>
      <c r="P1783" s="3" t="s">
        <v>94</v>
      </c>
      <c r="Q1783" s="8" t="s">
        <v>3085</v>
      </c>
      <c r="R1783" s="7" t="s">
        <v>3086</v>
      </c>
      <c r="S1783" s="9">
        <f>50+760</f>
        <v>810</v>
      </c>
      <c r="T1783" s="9">
        <v>80</v>
      </c>
      <c r="U1783" s="9">
        <v>0</v>
      </c>
      <c r="V1783" s="9">
        <f t="shared" si="1359"/>
        <v>0</v>
      </c>
      <c r="W1783" s="7" t="s">
        <v>97</v>
      </c>
      <c r="X1783" s="2">
        <v>2016</v>
      </c>
      <c r="Y1783" s="2" t="s">
        <v>7793</v>
      </c>
    </row>
    <row r="1784" spans="1:25" s="11" customFormat="1" ht="89.25" customHeight="1" outlineLevel="1" x14ac:dyDescent="0.25">
      <c r="A1784" s="1"/>
      <c r="B1784" s="2" t="s">
        <v>8261</v>
      </c>
      <c r="C1784" s="3" t="s">
        <v>83</v>
      </c>
      <c r="D1784" s="3" t="s">
        <v>3232</v>
      </c>
      <c r="E1784" s="3" t="s">
        <v>3233</v>
      </c>
      <c r="F1784" s="3" t="s">
        <v>3234</v>
      </c>
      <c r="G1784" s="19"/>
      <c r="H1784" s="2" t="s">
        <v>88</v>
      </c>
      <c r="I1784" s="4">
        <v>0</v>
      </c>
      <c r="J1784" s="5">
        <v>710000000</v>
      </c>
      <c r="K1784" s="5" t="s">
        <v>89</v>
      </c>
      <c r="L1784" s="2" t="s">
        <v>754</v>
      </c>
      <c r="M1784" s="6" t="s">
        <v>787</v>
      </c>
      <c r="N1784" s="7" t="s">
        <v>92</v>
      </c>
      <c r="O1784" s="7" t="s">
        <v>93</v>
      </c>
      <c r="P1784" s="3" t="s">
        <v>673</v>
      </c>
      <c r="Q1784" s="8" t="s">
        <v>3085</v>
      </c>
      <c r="R1784" s="7" t="s">
        <v>3086</v>
      </c>
      <c r="S1784" s="9">
        <f>50+760</f>
        <v>810</v>
      </c>
      <c r="T1784" s="9">
        <v>80</v>
      </c>
      <c r="U1784" s="9">
        <v>0</v>
      </c>
      <c r="V1784" s="9">
        <f t="shared" ref="V1784" si="1411">U1784*1.12</f>
        <v>0</v>
      </c>
      <c r="W1784" s="7"/>
      <c r="X1784" s="2">
        <v>2016</v>
      </c>
      <c r="Y1784" s="2" t="s">
        <v>8409</v>
      </c>
    </row>
    <row r="1785" spans="1:25" s="11" customFormat="1" ht="89.25" customHeight="1" outlineLevel="1" x14ac:dyDescent="0.25">
      <c r="A1785" s="1"/>
      <c r="B1785" s="2" t="s">
        <v>9221</v>
      </c>
      <c r="C1785" s="3" t="s">
        <v>83</v>
      </c>
      <c r="D1785" s="3" t="s">
        <v>3232</v>
      </c>
      <c r="E1785" s="3" t="s">
        <v>3233</v>
      </c>
      <c r="F1785" s="3" t="s">
        <v>3234</v>
      </c>
      <c r="G1785" s="19"/>
      <c r="H1785" s="2" t="s">
        <v>88</v>
      </c>
      <c r="I1785" s="4">
        <v>0</v>
      </c>
      <c r="J1785" s="5">
        <v>710000000</v>
      </c>
      <c r="K1785" s="5" t="s">
        <v>89</v>
      </c>
      <c r="L1785" s="2" t="s">
        <v>9114</v>
      </c>
      <c r="M1785" s="6" t="s">
        <v>787</v>
      </c>
      <c r="N1785" s="7" t="s">
        <v>92</v>
      </c>
      <c r="O1785" s="7" t="s">
        <v>93</v>
      </c>
      <c r="P1785" s="3" t="s">
        <v>673</v>
      </c>
      <c r="Q1785" s="8" t="s">
        <v>3085</v>
      </c>
      <c r="R1785" s="7" t="s">
        <v>3086</v>
      </c>
      <c r="S1785" s="9">
        <f>50+760+810</f>
        <v>1620</v>
      </c>
      <c r="T1785" s="9">
        <v>80</v>
      </c>
      <c r="U1785" s="9">
        <f t="shared" ref="U1785" si="1412">T1785*S1785</f>
        <v>129600</v>
      </c>
      <c r="V1785" s="9">
        <f t="shared" ref="V1785" si="1413">U1785*1.12</f>
        <v>145152</v>
      </c>
      <c r="W1785" s="7"/>
      <c r="X1785" s="2">
        <v>2016</v>
      </c>
      <c r="Y1785" s="2"/>
    </row>
    <row r="1786" spans="1:25" s="11" customFormat="1" ht="89.25" customHeight="1" outlineLevel="1" x14ac:dyDescent="0.25">
      <c r="A1786" s="1"/>
      <c r="B1786" s="2" t="s">
        <v>6387</v>
      </c>
      <c r="C1786" s="3" t="s">
        <v>83</v>
      </c>
      <c r="D1786" s="3" t="s">
        <v>3235</v>
      </c>
      <c r="E1786" s="3" t="s">
        <v>3236</v>
      </c>
      <c r="F1786" s="3" t="s">
        <v>3237</v>
      </c>
      <c r="G1786" s="19"/>
      <c r="H1786" s="2" t="s">
        <v>88</v>
      </c>
      <c r="I1786" s="4">
        <v>0.4</v>
      </c>
      <c r="J1786" s="5">
        <v>710000000</v>
      </c>
      <c r="K1786" s="5" t="s">
        <v>89</v>
      </c>
      <c r="L1786" s="2" t="s">
        <v>754</v>
      </c>
      <c r="M1786" s="6" t="s">
        <v>787</v>
      </c>
      <c r="N1786" s="7" t="s">
        <v>92</v>
      </c>
      <c r="O1786" s="7" t="s">
        <v>93</v>
      </c>
      <c r="P1786" s="3" t="s">
        <v>94</v>
      </c>
      <c r="Q1786" s="8" t="s">
        <v>2439</v>
      </c>
      <c r="R1786" s="7" t="s">
        <v>2440</v>
      </c>
      <c r="S1786" s="9">
        <f>100+15+170+12+3</f>
        <v>300</v>
      </c>
      <c r="T1786" s="9">
        <v>375</v>
      </c>
      <c r="U1786" s="9">
        <v>0</v>
      </c>
      <c r="V1786" s="9">
        <f t="shared" si="1359"/>
        <v>0</v>
      </c>
      <c r="W1786" s="7" t="s">
        <v>97</v>
      </c>
      <c r="X1786" s="2">
        <v>2016</v>
      </c>
      <c r="Y1786" s="2" t="s">
        <v>7793</v>
      </c>
    </row>
    <row r="1787" spans="1:25" s="11" customFormat="1" ht="89.25" customHeight="1" outlineLevel="1" x14ac:dyDescent="0.25">
      <c r="A1787" s="1"/>
      <c r="B1787" s="2" t="s">
        <v>8262</v>
      </c>
      <c r="C1787" s="3" t="s">
        <v>83</v>
      </c>
      <c r="D1787" s="3" t="s">
        <v>3235</v>
      </c>
      <c r="E1787" s="3" t="s">
        <v>3236</v>
      </c>
      <c r="F1787" s="3" t="s">
        <v>3237</v>
      </c>
      <c r="G1787" s="19"/>
      <c r="H1787" s="2" t="s">
        <v>88</v>
      </c>
      <c r="I1787" s="4">
        <v>0</v>
      </c>
      <c r="J1787" s="5">
        <v>710000000</v>
      </c>
      <c r="K1787" s="5" t="s">
        <v>89</v>
      </c>
      <c r="L1787" s="2" t="s">
        <v>754</v>
      </c>
      <c r="M1787" s="6" t="s">
        <v>787</v>
      </c>
      <c r="N1787" s="7" t="s">
        <v>92</v>
      </c>
      <c r="O1787" s="7" t="s">
        <v>93</v>
      </c>
      <c r="P1787" s="3" t="s">
        <v>673</v>
      </c>
      <c r="Q1787" s="8" t="s">
        <v>2439</v>
      </c>
      <c r="R1787" s="7" t="s">
        <v>2440</v>
      </c>
      <c r="S1787" s="9">
        <f>100+15+170+12+3</f>
        <v>300</v>
      </c>
      <c r="T1787" s="9">
        <v>375</v>
      </c>
      <c r="U1787" s="9">
        <v>0</v>
      </c>
      <c r="V1787" s="9">
        <f t="shared" ref="V1787" si="1414">U1787*1.12</f>
        <v>0</v>
      </c>
      <c r="W1787" s="7"/>
      <c r="X1787" s="2">
        <v>2016</v>
      </c>
      <c r="Y1787" s="2" t="s">
        <v>8409</v>
      </c>
    </row>
    <row r="1788" spans="1:25" s="11" customFormat="1" ht="89.25" customHeight="1" outlineLevel="1" x14ac:dyDescent="0.25">
      <c r="A1788" s="1"/>
      <c r="B1788" s="2" t="s">
        <v>9225</v>
      </c>
      <c r="C1788" s="3" t="s">
        <v>83</v>
      </c>
      <c r="D1788" s="3" t="s">
        <v>3235</v>
      </c>
      <c r="E1788" s="3" t="s">
        <v>3236</v>
      </c>
      <c r="F1788" s="3" t="s">
        <v>3237</v>
      </c>
      <c r="G1788" s="19"/>
      <c r="H1788" s="2" t="s">
        <v>88</v>
      </c>
      <c r="I1788" s="4">
        <v>0</v>
      </c>
      <c r="J1788" s="5">
        <v>710000000</v>
      </c>
      <c r="K1788" s="5" t="s">
        <v>89</v>
      </c>
      <c r="L1788" s="5" t="s">
        <v>9114</v>
      </c>
      <c r="M1788" s="6" t="s">
        <v>787</v>
      </c>
      <c r="N1788" s="7" t="s">
        <v>92</v>
      </c>
      <c r="O1788" s="7" t="s">
        <v>93</v>
      </c>
      <c r="P1788" s="3" t="s">
        <v>673</v>
      </c>
      <c r="Q1788" s="8" t="s">
        <v>2439</v>
      </c>
      <c r="R1788" s="7" t="s">
        <v>2440</v>
      </c>
      <c r="S1788" s="9">
        <f>100+15+170+12+3+300</f>
        <v>600</v>
      </c>
      <c r="T1788" s="9">
        <v>375</v>
      </c>
      <c r="U1788" s="9">
        <f t="shared" ref="U1788" si="1415">T1788*S1788</f>
        <v>225000</v>
      </c>
      <c r="V1788" s="9">
        <f t="shared" ref="V1788" si="1416">U1788*1.12</f>
        <v>252000.00000000003</v>
      </c>
      <c r="W1788" s="7"/>
      <c r="X1788" s="2">
        <v>2016</v>
      </c>
      <c r="Y1788" s="2"/>
    </row>
    <row r="1789" spans="1:25" s="11" customFormat="1" ht="89.25" customHeight="1" outlineLevel="1" x14ac:dyDescent="0.25">
      <c r="A1789" s="1"/>
      <c r="B1789" s="2" t="s">
        <v>6388</v>
      </c>
      <c r="C1789" s="3" t="s">
        <v>83</v>
      </c>
      <c r="D1789" s="3" t="s">
        <v>3238</v>
      </c>
      <c r="E1789" s="3" t="s">
        <v>3239</v>
      </c>
      <c r="F1789" s="3" t="s">
        <v>3240</v>
      </c>
      <c r="G1789" s="19"/>
      <c r="H1789" s="2" t="s">
        <v>88</v>
      </c>
      <c r="I1789" s="4">
        <v>0.4</v>
      </c>
      <c r="J1789" s="5">
        <v>710000000</v>
      </c>
      <c r="K1789" s="5" t="s">
        <v>89</v>
      </c>
      <c r="L1789" s="2" t="s">
        <v>754</v>
      </c>
      <c r="M1789" s="6" t="s">
        <v>787</v>
      </c>
      <c r="N1789" s="7" t="s">
        <v>92</v>
      </c>
      <c r="O1789" s="7" t="s">
        <v>93</v>
      </c>
      <c r="P1789" s="3" t="s">
        <v>94</v>
      </c>
      <c r="Q1789" s="8">
        <v>796</v>
      </c>
      <c r="R1789" s="7" t="s">
        <v>118</v>
      </c>
      <c r="S1789" s="9">
        <v>300</v>
      </c>
      <c r="T1789" s="9">
        <v>45</v>
      </c>
      <c r="U1789" s="9">
        <v>0</v>
      </c>
      <c r="V1789" s="9">
        <f t="shared" si="1359"/>
        <v>0</v>
      </c>
      <c r="W1789" s="7" t="s">
        <v>97</v>
      </c>
      <c r="X1789" s="2">
        <v>2016</v>
      </c>
      <c r="Y1789" s="2" t="s">
        <v>7793</v>
      </c>
    </row>
    <row r="1790" spans="1:25" s="11" customFormat="1" ht="89.25" customHeight="1" outlineLevel="1" x14ac:dyDescent="0.25">
      <c r="A1790" s="1"/>
      <c r="B1790" s="2" t="s">
        <v>8263</v>
      </c>
      <c r="C1790" s="3" t="s">
        <v>83</v>
      </c>
      <c r="D1790" s="3" t="s">
        <v>3238</v>
      </c>
      <c r="E1790" s="3" t="s">
        <v>3239</v>
      </c>
      <c r="F1790" s="3" t="s">
        <v>3240</v>
      </c>
      <c r="G1790" s="19"/>
      <c r="H1790" s="2" t="s">
        <v>88</v>
      </c>
      <c r="I1790" s="4">
        <v>0</v>
      </c>
      <c r="J1790" s="5">
        <v>710000000</v>
      </c>
      <c r="K1790" s="5" t="s">
        <v>89</v>
      </c>
      <c r="L1790" s="2" t="s">
        <v>754</v>
      </c>
      <c r="M1790" s="6" t="s">
        <v>787</v>
      </c>
      <c r="N1790" s="7" t="s">
        <v>92</v>
      </c>
      <c r="O1790" s="7" t="s">
        <v>93</v>
      </c>
      <c r="P1790" s="3" t="s">
        <v>673</v>
      </c>
      <c r="Q1790" s="8">
        <v>796</v>
      </c>
      <c r="R1790" s="7" t="s">
        <v>118</v>
      </c>
      <c r="S1790" s="9">
        <v>300</v>
      </c>
      <c r="T1790" s="9">
        <v>45</v>
      </c>
      <c r="U1790" s="9">
        <v>0</v>
      </c>
      <c r="V1790" s="9">
        <f t="shared" ref="V1790" si="1417">U1790*1.12</f>
        <v>0</v>
      </c>
      <c r="W1790" s="7"/>
      <c r="X1790" s="2">
        <v>2016</v>
      </c>
      <c r="Y1790" s="2" t="s">
        <v>8409</v>
      </c>
    </row>
    <row r="1791" spans="1:25" s="11" customFormat="1" ht="89.25" customHeight="1" outlineLevel="1" x14ac:dyDescent="0.25">
      <c r="A1791" s="1"/>
      <c r="B1791" s="2" t="s">
        <v>9226</v>
      </c>
      <c r="C1791" s="3" t="s">
        <v>83</v>
      </c>
      <c r="D1791" s="3" t="s">
        <v>3238</v>
      </c>
      <c r="E1791" s="3" t="s">
        <v>3239</v>
      </c>
      <c r="F1791" s="3" t="s">
        <v>3240</v>
      </c>
      <c r="G1791" s="19"/>
      <c r="H1791" s="2" t="s">
        <v>88</v>
      </c>
      <c r="I1791" s="4">
        <v>0</v>
      </c>
      <c r="J1791" s="5">
        <v>710000000</v>
      </c>
      <c r="K1791" s="5" t="s">
        <v>89</v>
      </c>
      <c r="L1791" s="5" t="s">
        <v>9114</v>
      </c>
      <c r="M1791" s="6" t="s">
        <v>787</v>
      </c>
      <c r="N1791" s="7" t="s">
        <v>92</v>
      </c>
      <c r="O1791" s="7" t="s">
        <v>93</v>
      </c>
      <c r="P1791" s="3" t="s">
        <v>673</v>
      </c>
      <c r="Q1791" s="8">
        <v>796</v>
      </c>
      <c r="R1791" s="7" t="s">
        <v>118</v>
      </c>
      <c r="S1791" s="9">
        <f>300+300</f>
        <v>600</v>
      </c>
      <c r="T1791" s="9">
        <v>45</v>
      </c>
      <c r="U1791" s="9">
        <f t="shared" ref="U1791" si="1418">T1791*S1791</f>
        <v>27000</v>
      </c>
      <c r="V1791" s="9">
        <f t="shared" ref="V1791" si="1419">U1791*1.12</f>
        <v>30240.000000000004</v>
      </c>
      <c r="W1791" s="7"/>
      <c r="X1791" s="2">
        <v>2016</v>
      </c>
      <c r="Y1791" s="2"/>
    </row>
    <row r="1792" spans="1:25" s="11" customFormat="1" ht="89.25" customHeight="1" outlineLevel="1" x14ac:dyDescent="0.25">
      <c r="A1792" s="1"/>
      <c r="B1792" s="2" t="s">
        <v>6389</v>
      </c>
      <c r="C1792" s="3" t="s">
        <v>83</v>
      </c>
      <c r="D1792" s="3" t="s">
        <v>3241</v>
      </c>
      <c r="E1792" s="3" t="s">
        <v>3242</v>
      </c>
      <c r="F1792" s="3" t="s">
        <v>3243</v>
      </c>
      <c r="G1792" s="19"/>
      <c r="H1792" s="2" t="s">
        <v>88</v>
      </c>
      <c r="I1792" s="4">
        <v>0.4</v>
      </c>
      <c r="J1792" s="5">
        <v>710000000</v>
      </c>
      <c r="K1792" s="5" t="s">
        <v>89</v>
      </c>
      <c r="L1792" s="2" t="s">
        <v>754</v>
      </c>
      <c r="M1792" s="6" t="s">
        <v>787</v>
      </c>
      <c r="N1792" s="7" t="s">
        <v>92</v>
      </c>
      <c r="O1792" s="7" t="s">
        <v>93</v>
      </c>
      <c r="P1792" s="3" t="s">
        <v>94</v>
      </c>
      <c r="Q1792" s="8">
        <v>796</v>
      </c>
      <c r="R1792" s="7" t="s">
        <v>118</v>
      </c>
      <c r="S1792" s="9">
        <v>300</v>
      </c>
      <c r="T1792" s="9">
        <v>45</v>
      </c>
      <c r="U1792" s="9">
        <v>0</v>
      </c>
      <c r="V1792" s="9">
        <f t="shared" si="1359"/>
        <v>0</v>
      </c>
      <c r="W1792" s="7" t="s">
        <v>97</v>
      </c>
      <c r="X1792" s="2">
        <v>2016</v>
      </c>
      <c r="Y1792" s="2" t="s">
        <v>7793</v>
      </c>
    </row>
    <row r="1793" spans="1:25" s="11" customFormat="1" ht="89.25" customHeight="1" outlineLevel="1" x14ac:dyDescent="0.25">
      <c r="A1793" s="1"/>
      <c r="B1793" s="2" t="s">
        <v>8264</v>
      </c>
      <c r="C1793" s="3" t="s">
        <v>83</v>
      </c>
      <c r="D1793" s="3" t="s">
        <v>3241</v>
      </c>
      <c r="E1793" s="3" t="s">
        <v>3242</v>
      </c>
      <c r="F1793" s="3" t="s">
        <v>3243</v>
      </c>
      <c r="G1793" s="19"/>
      <c r="H1793" s="2" t="s">
        <v>88</v>
      </c>
      <c r="I1793" s="4">
        <v>0</v>
      </c>
      <c r="J1793" s="5">
        <v>710000000</v>
      </c>
      <c r="K1793" s="5" t="s">
        <v>89</v>
      </c>
      <c r="L1793" s="2" t="s">
        <v>754</v>
      </c>
      <c r="M1793" s="6" t="s">
        <v>787</v>
      </c>
      <c r="N1793" s="7" t="s">
        <v>92</v>
      </c>
      <c r="O1793" s="7" t="s">
        <v>93</v>
      </c>
      <c r="P1793" s="3" t="s">
        <v>673</v>
      </c>
      <c r="Q1793" s="8">
        <v>796</v>
      </c>
      <c r="R1793" s="7" t="s">
        <v>118</v>
      </c>
      <c r="S1793" s="9">
        <v>300</v>
      </c>
      <c r="T1793" s="9">
        <v>45</v>
      </c>
      <c r="U1793" s="9">
        <v>0</v>
      </c>
      <c r="V1793" s="9">
        <f t="shared" ref="V1793" si="1420">U1793*1.12</f>
        <v>0</v>
      </c>
      <c r="W1793" s="7"/>
      <c r="X1793" s="2">
        <v>2016</v>
      </c>
      <c r="Y1793" s="2" t="s">
        <v>8409</v>
      </c>
    </row>
    <row r="1794" spans="1:25" s="11" customFormat="1" ht="89.25" customHeight="1" outlineLevel="1" x14ac:dyDescent="0.25">
      <c r="A1794" s="1"/>
      <c r="B1794" s="2" t="s">
        <v>9227</v>
      </c>
      <c r="C1794" s="3" t="s">
        <v>83</v>
      </c>
      <c r="D1794" s="3" t="s">
        <v>3241</v>
      </c>
      <c r="E1794" s="3" t="s">
        <v>3242</v>
      </c>
      <c r="F1794" s="3" t="s">
        <v>3243</v>
      </c>
      <c r="G1794" s="19"/>
      <c r="H1794" s="2" t="s">
        <v>88</v>
      </c>
      <c r="I1794" s="4">
        <v>0</v>
      </c>
      <c r="J1794" s="5">
        <v>710000000</v>
      </c>
      <c r="K1794" s="5" t="s">
        <v>89</v>
      </c>
      <c r="L1794" s="5" t="s">
        <v>9114</v>
      </c>
      <c r="M1794" s="6" t="s">
        <v>787</v>
      </c>
      <c r="N1794" s="7" t="s">
        <v>92</v>
      </c>
      <c r="O1794" s="7" t="s">
        <v>93</v>
      </c>
      <c r="P1794" s="3" t="s">
        <v>673</v>
      </c>
      <c r="Q1794" s="8">
        <v>796</v>
      </c>
      <c r="R1794" s="7" t="s">
        <v>118</v>
      </c>
      <c r="S1794" s="9">
        <f>300+300</f>
        <v>600</v>
      </c>
      <c r="T1794" s="9">
        <v>45</v>
      </c>
      <c r="U1794" s="9">
        <f t="shared" ref="U1794" si="1421">T1794*S1794</f>
        <v>27000</v>
      </c>
      <c r="V1794" s="9">
        <f t="shared" ref="V1794" si="1422">U1794*1.12</f>
        <v>30240.000000000004</v>
      </c>
      <c r="W1794" s="7"/>
      <c r="X1794" s="2">
        <v>2016</v>
      </c>
      <c r="Y1794" s="2"/>
    </row>
    <row r="1795" spans="1:25" s="20" customFormat="1" ht="89.25" customHeight="1" outlineLevel="1" x14ac:dyDescent="0.25">
      <c r="A1795" s="1"/>
      <c r="B1795" s="2" t="s">
        <v>6390</v>
      </c>
      <c r="C1795" s="3" t="s">
        <v>83</v>
      </c>
      <c r="D1795" s="3" t="s">
        <v>3244</v>
      </c>
      <c r="E1795" s="3" t="s">
        <v>3245</v>
      </c>
      <c r="F1795" s="3" t="s">
        <v>3246</v>
      </c>
      <c r="G1795" s="19"/>
      <c r="H1795" s="2" t="s">
        <v>88</v>
      </c>
      <c r="I1795" s="4">
        <v>0.4</v>
      </c>
      <c r="J1795" s="5">
        <v>710000000</v>
      </c>
      <c r="K1795" s="3" t="s">
        <v>89</v>
      </c>
      <c r="L1795" s="2" t="s">
        <v>754</v>
      </c>
      <c r="M1795" s="3" t="s">
        <v>787</v>
      </c>
      <c r="N1795" s="7" t="s">
        <v>92</v>
      </c>
      <c r="O1795" s="7" t="s">
        <v>93</v>
      </c>
      <c r="P1795" s="3" t="s">
        <v>94</v>
      </c>
      <c r="Q1795" s="8">
        <v>796</v>
      </c>
      <c r="R1795" s="7" t="s">
        <v>118</v>
      </c>
      <c r="S1795" s="9">
        <v>300</v>
      </c>
      <c r="T1795" s="9">
        <v>45</v>
      </c>
      <c r="U1795" s="9">
        <v>0</v>
      </c>
      <c r="V1795" s="9">
        <f t="shared" si="1359"/>
        <v>0</v>
      </c>
      <c r="W1795" s="7" t="s">
        <v>97</v>
      </c>
      <c r="X1795" s="2">
        <v>2016</v>
      </c>
      <c r="Y1795" s="3" t="s">
        <v>7793</v>
      </c>
    </row>
    <row r="1796" spans="1:25" s="20" customFormat="1" ht="89.25" customHeight="1" outlineLevel="1" x14ac:dyDescent="0.25">
      <c r="A1796" s="1"/>
      <c r="B1796" s="2" t="s">
        <v>8265</v>
      </c>
      <c r="C1796" s="3" t="s">
        <v>83</v>
      </c>
      <c r="D1796" s="3" t="s">
        <v>3244</v>
      </c>
      <c r="E1796" s="3" t="s">
        <v>3245</v>
      </c>
      <c r="F1796" s="3" t="s">
        <v>3246</v>
      </c>
      <c r="G1796" s="19"/>
      <c r="H1796" s="2" t="s">
        <v>88</v>
      </c>
      <c r="I1796" s="4">
        <v>0</v>
      </c>
      <c r="J1796" s="5">
        <v>710000000</v>
      </c>
      <c r="K1796" s="3" t="s">
        <v>89</v>
      </c>
      <c r="L1796" s="2" t="s">
        <v>754</v>
      </c>
      <c r="M1796" s="3" t="s">
        <v>787</v>
      </c>
      <c r="N1796" s="7" t="s">
        <v>92</v>
      </c>
      <c r="O1796" s="7" t="s">
        <v>93</v>
      </c>
      <c r="P1796" s="3" t="s">
        <v>673</v>
      </c>
      <c r="Q1796" s="8">
        <v>796</v>
      </c>
      <c r="R1796" s="7" t="s">
        <v>118</v>
      </c>
      <c r="S1796" s="9">
        <v>300</v>
      </c>
      <c r="T1796" s="9">
        <v>45</v>
      </c>
      <c r="U1796" s="9">
        <v>0</v>
      </c>
      <c r="V1796" s="9">
        <f t="shared" ref="V1796" si="1423">U1796*1.12</f>
        <v>0</v>
      </c>
      <c r="W1796" s="7"/>
      <c r="X1796" s="2">
        <v>2016</v>
      </c>
      <c r="Y1796" s="2" t="s">
        <v>8409</v>
      </c>
    </row>
    <row r="1797" spans="1:25" s="20" customFormat="1" ht="89.25" customHeight="1" outlineLevel="1" x14ac:dyDescent="0.25">
      <c r="A1797" s="1"/>
      <c r="B1797" s="2" t="s">
        <v>9228</v>
      </c>
      <c r="C1797" s="3" t="s">
        <v>83</v>
      </c>
      <c r="D1797" s="3" t="s">
        <v>3244</v>
      </c>
      <c r="E1797" s="3" t="s">
        <v>3245</v>
      </c>
      <c r="F1797" s="3" t="s">
        <v>3246</v>
      </c>
      <c r="G1797" s="19"/>
      <c r="H1797" s="2" t="s">
        <v>88</v>
      </c>
      <c r="I1797" s="4">
        <v>0</v>
      </c>
      <c r="J1797" s="5">
        <v>710000000</v>
      </c>
      <c r="K1797" s="3" t="s">
        <v>89</v>
      </c>
      <c r="L1797" s="5" t="s">
        <v>9114</v>
      </c>
      <c r="M1797" s="3" t="s">
        <v>787</v>
      </c>
      <c r="N1797" s="7" t="s">
        <v>92</v>
      </c>
      <c r="O1797" s="7" t="s">
        <v>93</v>
      </c>
      <c r="P1797" s="3" t="s">
        <v>673</v>
      </c>
      <c r="Q1797" s="8">
        <v>796</v>
      </c>
      <c r="R1797" s="7" t="s">
        <v>118</v>
      </c>
      <c r="S1797" s="9">
        <f>300+100</f>
        <v>400</v>
      </c>
      <c r="T1797" s="9">
        <v>45</v>
      </c>
      <c r="U1797" s="9">
        <f t="shared" ref="U1797" si="1424">T1797*S1797</f>
        <v>18000</v>
      </c>
      <c r="V1797" s="9">
        <f t="shared" ref="V1797" si="1425">U1797*1.12</f>
        <v>20160.000000000004</v>
      </c>
      <c r="W1797" s="7"/>
      <c r="X1797" s="2">
        <v>2016</v>
      </c>
      <c r="Y1797" s="3"/>
    </row>
    <row r="1798" spans="1:25" s="20" customFormat="1" ht="89.25" customHeight="1" outlineLevel="1" x14ac:dyDescent="0.25">
      <c r="A1798" s="1"/>
      <c r="B1798" s="2" t="s">
        <v>6391</v>
      </c>
      <c r="C1798" s="3" t="s">
        <v>83</v>
      </c>
      <c r="D1798" s="3" t="s">
        <v>3247</v>
      </c>
      <c r="E1798" s="3" t="s">
        <v>3248</v>
      </c>
      <c r="F1798" s="3" t="s">
        <v>3249</v>
      </c>
      <c r="G1798" s="19" t="s">
        <v>3250</v>
      </c>
      <c r="H1798" s="2" t="s">
        <v>88</v>
      </c>
      <c r="I1798" s="4">
        <v>0.4</v>
      </c>
      <c r="J1798" s="5">
        <v>710000000</v>
      </c>
      <c r="K1798" s="5" t="s">
        <v>89</v>
      </c>
      <c r="L1798" s="2" t="s">
        <v>754</v>
      </c>
      <c r="M1798" s="6" t="s">
        <v>787</v>
      </c>
      <c r="N1798" s="7" t="s">
        <v>92</v>
      </c>
      <c r="O1798" s="7" t="s">
        <v>93</v>
      </c>
      <c r="P1798" s="3" t="s">
        <v>94</v>
      </c>
      <c r="Q1798" s="8" t="s">
        <v>3085</v>
      </c>
      <c r="R1798" s="7" t="s">
        <v>3086</v>
      </c>
      <c r="S1798" s="9">
        <f>800+20</f>
        <v>820</v>
      </c>
      <c r="T1798" s="9">
        <v>1786</v>
      </c>
      <c r="U1798" s="9">
        <v>0</v>
      </c>
      <c r="V1798" s="9">
        <f t="shared" si="1359"/>
        <v>0</v>
      </c>
      <c r="W1798" s="7" t="s">
        <v>97</v>
      </c>
      <c r="X1798" s="2">
        <v>2016</v>
      </c>
      <c r="Y1798" s="2" t="s">
        <v>7793</v>
      </c>
    </row>
    <row r="1799" spans="1:25" s="20" customFormat="1" ht="89.25" customHeight="1" outlineLevel="1" x14ac:dyDescent="0.25">
      <c r="A1799" s="1"/>
      <c r="B1799" s="2" t="s">
        <v>8266</v>
      </c>
      <c r="C1799" s="3" t="s">
        <v>83</v>
      </c>
      <c r="D1799" s="3" t="s">
        <v>3247</v>
      </c>
      <c r="E1799" s="3" t="s">
        <v>3248</v>
      </c>
      <c r="F1799" s="3" t="s">
        <v>3249</v>
      </c>
      <c r="G1799" s="19" t="s">
        <v>3250</v>
      </c>
      <c r="H1799" s="2" t="s">
        <v>88</v>
      </c>
      <c r="I1799" s="4">
        <v>0</v>
      </c>
      <c r="J1799" s="5">
        <v>710000000</v>
      </c>
      <c r="K1799" s="5" t="s">
        <v>89</v>
      </c>
      <c r="L1799" s="2" t="s">
        <v>754</v>
      </c>
      <c r="M1799" s="6" t="s">
        <v>787</v>
      </c>
      <c r="N1799" s="7" t="s">
        <v>92</v>
      </c>
      <c r="O1799" s="7" t="s">
        <v>93</v>
      </c>
      <c r="P1799" s="3" t="s">
        <v>673</v>
      </c>
      <c r="Q1799" s="8" t="s">
        <v>3085</v>
      </c>
      <c r="R1799" s="7" t="s">
        <v>3086</v>
      </c>
      <c r="S1799" s="9">
        <f>800+20</f>
        <v>820</v>
      </c>
      <c r="T1799" s="9">
        <v>1786</v>
      </c>
      <c r="U1799" s="9">
        <v>0</v>
      </c>
      <c r="V1799" s="9">
        <f t="shared" ref="V1799" si="1426">U1799*1.12</f>
        <v>0</v>
      </c>
      <c r="W1799" s="7"/>
      <c r="X1799" s="2">
        <v>2016</v>
      </c>
      <c r="Y1799" s="2" t="s">
        <v>9709</v>
      </c>
    </row>
    <row r="1800" spans="1:25" s="20" customFormat="1" ht="89.25" customHeight="1" outlineLevel="1" x14ac:dyDescent="0.25">
      <c r="A1800" s="1"/>
      <c r="B1800" s="2" t="s">
        <v>9718</v>
      </c>
      <c r="C1800" s="3" t="s">
        <v>83</v>
      </c>
      <c r="D1800" s="3" t="s">
        <v>3247</v>
      </c>
      <c r="E1800" s="3" t="s">
        <v>3248</v>
      </c>
      <c r="F1800" s="3" t="s">
        <v>3249</v>
      </c>
      <c r="G1800" s="19" t="s">
        <v>3250</v>
      </c>
      <c r="H1800" s="2" t="s">
        <v>88</v>
      </c>
      <c r="I1800" s="4">
        <v>0</v>
      </c>
      <c r="J1800" s="5">
        <v>710000000</v>
      </c>
      <c r="K1800" s="5" t="s">
        <v>89</v>
      </c>
      <c r="L1800" s="6" t="s">
        <v>9737</v>
      </c>
      <c r="M1800" s="6" t="s">
        <v>9720</v>
      </c>
      <c r="N1800" s="7" t="s">
        <v>92</v>
      </c>
      <c r="O1800" s="7" t="s">
        <v>93</v>
      </c>
      <c r="P1800" s="3" t="s">
        <v>673</v>
      </c>
      <c r="Q1800" s="8" t="s">
        <v>3085</v>
      </c>
      <c r="R1800" s="7" t="s">
        <v>3086</v>
      </c>
      <c r="S1800" s="9">
        <f>800+20+350</f>
        <v>1170</v>
      </c>
      <c r="T1800" s="9">
        <v>1786</v>
      </c>
      <c r="U1800" s="9">
        <f t="shared" ref="U1800" si="1427">T1800*S1800</f>
        <v>2089620</v>
      </c>
      <c r="V1800" s="9">
        <f t="shared" ref="V1800" si="1428">U1800*1.12</f>
        <v>2340374.4000000004</v>
      </c>
      <c r="W1800" s="7"/>
      <c r="X1800" s="2">
        <v>2016</v>
      </c>
      <c r="Y1800" s="2"/>
    </row>
    <row r="1801" spans="1:25" s="20" customFormat="1" ht="89.25" customHeight="1" outlineLevel="1" x14ac:dyDescent="0.25">
      <c r="A1801" s="1"/>
      <c r="B1801" s="2" t="s">
        <v>6392</v>
      </c>
      <c r="C1801" s="3" t="s">
        <v>83</v>
      </c>
      <c r="D1801" s="19" t="s">
        <v>3251</v>
      </c>
      <c r="E1801" s="19" t="s">
        <v>3248</v>
      </c>
      <c r="F1801" s="19" t="s">
        <v>3252</v>
      </c>
      <c r="G1801" s="19" t="s">
        <v>3250</v>
      </c>
      <c r="H1801" s="2" t="s">
        <v>88</v>
      </c>
      <c r="I1801" s="4">
        <v>0.4</v>
      </c>
      <c r="J1801" s="5">
        <v>710000000</v>
      </c>
      <c r="K1801" s="5" t="s">
        <v>89</v>
      </c>
      <c r="L1801" s="2" t="s">
        <v>754</v>
      </c>
      <c r="M1801" s="6" t="s">
        <v>787</v>
      </c>
      <c r="N1801" s="7" t="s">
        <v>92</v>
      </c>
      <c r="O1801" s="7" t="s">
        <v>93</v>
      </c>
      <c r="P1801" s="3" t="s">
        <v>94</v>
      </c>
      <c r="Q1801" s="8" t="s">
        <v>3085</v>
      </c>
      <c r="R1801" s="7" t="s">
        <v>3086</v>
      </c>
      <c r="S1801" s="9">
        <f>5+6</f>
        <v>11</v>
      </c>
      <c r="T1801" s="9">
        <v>1411</v>
      </c>
      <c r="U1801" s="9">
        <v>0</v>
      </c>
      <c r="V1801" s="9">
        <f t="shared" si="1359"/>
        <v>0</v>
      </c>
      <c r="W1801" s="7" t="s">
        <v>97</v>
      </c>
      <c r="X1801" s="2">
        <v>2016</v>
      </c>
      <c r="Y1801" s="2" t="s">
        <v>7793</v>
      </c>
    </row>
    <row r="1802" spans="1:25" s="20" customFormat="1" ht="89.25" customHeight="1" outlineLevel="1" x14ac:dyDescent="0.25">
      <c r="A1802" s="1"/>
      <c r="B1802" s="2" t="s">
        <v>8267</v>
      </c>
      <c r="C1802" s="3" t="s">
        <v>83</v>
      </c>
      <c r="D1802" s="19" t="s">
        <v>3251</v>
      </c>
      <c r="E1802" s="19" t="s">
        <v>3248</v>
      </c>
      <c r="F1802" s="19" t="s">
        <v>3252</v>
      </c>
      <c r="G1802" s="19" t="s">
        <v>3250</v>
      </c>
      <c r="H1802" s="2" t="s">
        <v>88</v>
      </c>
      <c r="I1802" s="4">
        <v>0</v>
      </c>
      <c r="J1802" s="5">
        <v>710000000</v>
      </c>
      <c r="K1802" s="5" t="s">
        <v>89</v>
      </c>
      <c r="L1802" s="2" t="s">
        <v>754</v>
      </c>
      <c r="M1802" s="6" t="s">
        <v>787</v>
      </c>
      <c r="N1802" s="7" t="s">
        <v>92</v>
      </c>
      <c r="O1802" s="7" t="s">
        <v>93</v>
      </c>
      <c r="P1802" s="3" t="s">
        <v>673</v>
      </c>
      <c r="Q1802" s="8" t="s">
        <v>3085</v>
      </c>
      <c r="R1802" s="7" t="s">
        <v>3086</v>
      </c>
      <c r="S1802" s="9">
        <f>5+6</f>
        <v>11</v>
      </c>
      <c r="T1802" s="9">
        <v>1411</v>
      </c>
      <c r="U1802" s="9">
        <f t="shared" ref="U1802" si="1429">T1802*S1802</f>
        <v>15521</v>
      </c>
      <c r="V1802" s="9">
        <f t="shared" ref="V1802" si="1430">U1802*1.12</f>
        <v>17383.52</v>
      </c>
      <c r="W1802" s="7"/>
      <c r="X1802" s="2">
        <v>2016</v>
      </c>
      <c r="Y1802" s="2"/>
    </row>
    <row r="1803" spans="1:25" s="11" customFormat="1" ht="89.25" customHeight="1" outlineLevel="1" x14ac:dyDescent="0.25">
      <c r="A1803" s="1"/>
      <c r="B1803" s="2" t="s">
        <v>6393</v>
      </c>
      <c r="C1803" s="3" t="s">
        <v>83</v>
      </c>
      <c r="D1803" s="3" t="s">
        <v>3253</v>
      </c>
      <c r="E1803" s="3" t="s">
        <v>3248</v>
      </c>
      <c r="F1803" s="3" t="s">
        <v>3254</v>
      </c>
      <c r="G1803" s="19"/>
      <c r="H1803" s="2" t="s">
        <v>88</v>
      </c>
      <c r="I1803" s="4">
        <v>0.4</v>
      </c>
      <c r="J1803" s="5">
        <v>710000000</v>
      </c>
      <c r="K1803" s="5" t="s">
        <v>89</v>
      </c>
      <c r="L1803" s="2" t="s">
        <v>754</v>
      </c>
      <c r="M1803" s="6" t="s">
        <v>787</v>
      </c>
      <c r="N1803" s="7" t="s">
        <v>92</v>
      </c>
      <c r="O1803" s="7" t="s">
        <v>93</v>
      </c>
      <c r="P1803" s="3" t="s">
        <v>94</v>
      </c>
      <c r="Q1803" s="8" t="s">
        <v>3085</v>
      </c>
      <c r="R1803" s="7" t="s">
        <v>3086</v>
      </c>
      <c r="S1803" s="9">
        <v>10</v>
      </c>
      <c r="T1803" s="9">
        <v>4464</v>
      </c>
      <c r="U1803" s="9">
        <v>0</v>
      </c>
      <c r="V1803" s="9">
        <f t="shared" si="1359"/>
        <v>0</v>
      </c>
      <c r="W1803" s="7" t="s">
        <v>97</v>
      </c>
      <c r="X1803" s="2">
        <v>2016</v>
      </c>
      <c r="Y1803" s="2" t="s">
        <v>7793</v>
      </c>
    </row>
    <row r="1804" spans="1:25" s="11" customFormat="1" ht="89.25" customHeight="1" outlineLevel="1" x14ac:dyDescent="0.25">
      <c r="A1804" s="1"/>
      <c r="B1804" s="2" t="s">
        <v>8268</v>
      </c>
      <c r="C1804" s="3" t="s">
        <v>83</v>
      </c>
      <c r="D1804" s="3" t="s">
        <v>3253</v>
      </c>
      <c r="E1804" s="3" t="s">
        <v>3248</v>
      </c>
      <c r="F1804" s="3" t="s">
        <v>3254</v>
      </c>
      <c r="G1804" s="19"/>
      <c r="H1804" s="2" t="s">
        <v>88</v>
      </c>
      <c r="I1804" s="4">
        <v>0</v>
      </c>
      <c r="J1804" s="5">
        <v>710000000</v>
      </c>
      <c r="K1804" s="5" t="s">
        <v>89</v>
      </c>
      <c r="L1804" s="2" t="s">
        <v>754</v>
      </c>
      <c r="M1804" s="6" t="s">
        <v>787</v>
      </c>
      <c r="N1804" s="7" t="s">
        <v>92</v>
      </c>
      <c r="O1804" s="7" t="s">
        <v>93</v>
      </c>
      <c r="P1804" s="3" t="s">
        <v>673</v>
      </c>
      <c r="Q1804" s="8" t="s">
        <v>3085</v>
      </c>
      <c r="R1804" s="7" t="s">
        <v>3086</v>
      </c>
      <c r="S1804" s="9">
        <v>10</v>
      </c>
      <c r="T1804" s="9">
        <v>4464</v>
      </c>
      <c r="U1804" s="9">
        <f t="shared" ref="U1804" si="1431">T1804*S1804</f>
        <v>44640</v>
      </c>
      <c r="V1804" s="9">
        <f t="shared" ref="V1804" si="1432">U1804*1.12</f>
        <v>49996.800000000003</v>
      </c>
      <c r="W1804" s="7"/>
      <c r="X1804" s="2">
        <v>2016</v>
      </c>
      <c r="Y1804" s="2"/>
    </row>
    <row r="1805" spans="1:25" s="11" customFormat="1" ht="89.25" customHeight="1" outlineLevel="1" x14ac:dyDescent="0.25">
      <c r="A1805" s="1"/>
      <c r="B1805" s="2" t="s">
        <v>6394</v>
      </c>
      <c r="C1805" s="3" t="s">
        <v>83</v>
      </c>
      <c r="D1805" s="3" t="s">
        <v>3255</v>
      </c>
      <c r="E1805" s="3" t="s">
        <v>3248</v>
      </c>
      <c r="F1805" s="3" t="s">
        <v>3256</v>
      </c>
      <c r="G1805" s="3" t="s">
        <v>3257</v>
      </c>
      <c r="H1805" s="2" t="s">
        <v>88</v>
      </c>
      <c r="I1805" s="4">
        <v>0.4</v>
      </c>
      <c r="J1805" s="5">
        <v>710000000</v>
      </c>
      <c r="K1805" s="5" t="s">
        <v>89</v>
      </c>
      <c r="L1805" s="2" t="s">
        <v>754</v>
      </c>
      <c r="M1805" s="6" t="s">
        <v>787</v>
      </c>
      <c r="N1805" s="7" t="s">
        <v>92</v>
      </c>
      <c r="O1805" s="7" t="s">
        <v>93</v>
      </c>
      <c r="P1805" s="3" t="s">
        <v>94</v>
      </c>
      <c r="Q1805" s="8" t="s">
        <v>3085</v>
      </c>
      <c r="R1805" s="7" t="s">
        <v>3086</v>
      </c>
      <c r="S1805" s="9">
        <v>8</v>
      </c>
      <c r="T1805" s="9">
        <v>1786</v>
      </c>
      <c r="U1805" s="9">
        <v>0</v>
      </c>
      <c r="V1805" s="9">
        <f t="shared" si="1359"/>
        <v>0</v>
      </c>
      <c r="W1805" s="7" t="s">
        <v>97</v>
      </c>
      <c r="X1805" s="2">
        <v>2016</v>
      </c>
      <c r="Y1805" s="2" t="s">
        <v>7793</v>
      </c>
    </row>
    <row r="1806" spans="1:25" s="11" customFormat="1" ht="89.25" customHeight="1" outlineLevel="1" x14ac:dyDescent="0.25">
      <c r="A1806" s="1"/>
      <c r="B1806" s="2" t="s">
        <v>8269</v>
      </c>
      <c r="C1806" s="3" t="s">
        <v>83</v>
      </c>
      <c r="D1806" s="3" t="s">
        <v>3255</v>
      </c>
      <c r="E1806" s="3" t="s">
        <v>3248</v>
      </c>
      <c r="F1806" s="3" t="s">
        <v>3256</v>
      </c>
      <c r="G1806" s="3" t="s">
        <v>3257</v>
      </c>
      <c r="H1806" s="2" t="s">
        <v>88</v>
      </c>
      <c r="I1806" s="4">
        <v>0</v>
      </c>
      <c r="J1806" s="5">
        <v>710000000</v>
      </c>
      <c r="K1806" s="5" t="s">
        <v>89</v>
      </c>
      <c r="L1806" s="2" t="s">
        <v>754</v>
      </c>
      <c r="M1806" s="6" t="s">
        <v>787</v>
      </c>
      <c r="N1806" s="7" t="s">
        <v>92</v>
      </c>
      <c r="O1806" s="7" t="s">
        <v>93</v>
      </c>
      <c r="P1806" s="3" t="s">
        <v>673</v>
      </c>
      <c r="Q1806" s="8" t="s">
        <v>3085</v>
      </c>
      <c r="R1806" s="7" t="s">
        <v>3086</v>
      </c>
      <c r="S1806" s="9">
        <v>8</v>
      </c>
      <c r="T1806" s="9">
        <v>1786</v>
      </c>
      <c r="U1806" s="9">
        <f t="shared" ref="U1806" si="1433">T1806*S1806</f>
        <v>14288</v>
      </c>
      <c r="V1806" s="9">
        <f t="shared" ref="V1806" si="1434">U1806*1.12</f>
        <v>16002.560000000001</v>
      </c>
      <c r="W1806" s="7"/>
      <c r="X1806" s="2">
        <v>2016</v>
      </c>
      <c r="Y1806" s="2"/>
    </row>
    <row r="1807" spans="1:25" s="11" customFormat="1" ht="89.25" customHeight="1" outlineLevel="1" x14ac:dyDescent="0.25">
      <c r="A1807" s="1"/>
      <c r="B1807" s="2" t="s">
        <v>6395</v>
      </c>
      <c r="C1807" s="3" t="s">
        <v>83</v>
      </c>
      <c r="D1807" s="3" t="s">
        <v>3258</v>
      </c>
      <c r="E1807" s="3" t="s">
        <v>3248</v>
      </c>
      <c r="F1807" s="3" t="s">
        <v>3259</v>
      </c>
      <c r="G1807" s="3"/>
      <c r="H1807" s="2" t="s">
        <v>88</v>
      </c>
      <c r="I1807" s="4">
        <v>0.4</v>
      </c>
      <c r="J1807" s="5">
        <v>710000000</v>
      </c>
      <c r="K1807" s="5" t="s">
        <v>89</v>
      </c>
      <c r="L1807" s="2" t="s">
        <v>754</v>
      </c>
      <c r="M1807" s="6" t="s">
        <v>787</v>
      </c>
      <c r="N1807" s="7" t="s">
        <v>92</v>
      </c>
      <c r="O1807" s="7" t="s">
        <v>93</v>
      </c>
      <c r="P1807" s="3" t="s">
        <v>94</v>
      </c>
      <c r="Q1807" s="8" t="s">
        <v>3085</v>
      </c>
      <c r="R1807" s="7" t="s">
        <v>3086</v>
      </c>
      <c r="S1807" s="9">
        <v>57</v>
      </c>
      <c r="T1807" s="9">
        <v>1411</v>
      </c>
      <c r="U1807" s="9">
        <v>0</v>
      </c>
      <c r="V1807" s="9">
        <f t="shared" si="1359"/>
        <v>0</v>
      </c>
      <c r="W1807" s="7" t="s">
        <v>97</v>
      </c>
      <c r="X1807" s="2">
        <v>2016</v>
      </c>
      <c r="Y1807" s="2" t="s">
        <v>7793</v>
      </c>
    </row>
    <row r="1808" spans="1:25" s="11" customFormat="1" ht="89.25" customHeight="1" outlineLevel="1" x14ac:dyDescent="0.25">
      <c r="A1808" s="1"/>
      <c r="B1808" s="2" t="s">
        <v>8270</v>
      </c>
      <c r="C1808" s="3" t="s">
        <v>83</v>
      </c>
      <c r="D1808" s="3" t="s">
        <v>3258</v>
      </c>
      <c r="E1808" s="3" t="s">
        <v>3248</v>
      </c>
      <c r="F1808" s="3" t="s">
        <v>3259</v>
      </c>
      <c r="G1808" s="3"/>
      <c r="H1808" s="2" t="s">
        <v>88</v>
      </c>
      <c r="I1808" s="4">
        <v>0</v>
      </c>
      <c r="J1808" s="5">
        <v>710000000</v>
      </c>
      <c r="K1808" s="5" t="s">
        <v>89</v>
      </c>
      <c r="L1808" s="2" t="s">
        <v>754</v>
      </c>
      <c r="M1808" s="6" t="s">
        <v>787</v>
      </c>
      <c r="N1808" s="7" t="s">
        <v>92</v>
      </c>
      <c r="O1808" s="7" t="s">
        <v>93</v>
      </c>
      <c r="P1808" s="3" t="s">
        <v>673</v>
      </c>
      <c r="Q1808" s="8" t="s">
        <v>3085</v>
      </c>
      <c r="R1808" s="7" t="s">
        <v>3086</v>
      </c>
      <c r="S1808" s="9">
        <v>57</v>
      </c>
      <c r="T1808" s="9">
        <v>1411</v>
      </c>
      <c r="U1808" s="9">
        <f t="shared" ref="U1808" si="1435">T1808*S1808</f>
        <v>80427</v>
      </c>
      <c r="V1808" s="9">
        <f t="shared" ref="V1808" si="1436">U1808*1.12</f>
        <v>90078.24</v>
      </c>
      <c r="W1808" s="7"/>
      <c r="X1808" s="2">
        <v>2016</v>
      </c>
      <c r="Y1808" s="2"/>
    </row>
    <row r="1809" spans="1:25" s="11" customFormat="1" ht="89.25" customHeight="1" outlineLevel="1" x14ac:dyDescent="0.25">
      <c r="A1809" s="1"/>
      <c r="B1809" s="2" t="s">
        <v>6396</v>
      </c>
      <c r="C1809" s="3" t="s">
        <v>83</v>
      </c>
      <c r="D1809" s="3" t="s">
        <v>3260</v>
      </c>
      <c r="E1809" s="3" t="s">
        <v>3248</v>
      </c>
      <c r="F1809" s="3" t="s">
        <v>3261</v>
      </c>
      <c r="G1809" s="19" t="s">
        <v>3262</v>
      </c>
      <c r="H1809" s="2" t="s">
        <v>88</v>
      </c>
      <c r="I1809" s="4">
        <v>0.4</v>
      </c>
      <c r="J1809" s="5">
        <v>710000000</v>
      </c>
      <c r="K1809" s="5" t="s">
        <v>89</v>
      </c>
      <c r="L1809" s="2" t="s">
        <v>754</v>
      </c>
      <c r="M1809" s="6" t="s">
        <v>787</v>
      </c>
      <c r="N1809" s="7" t="s">
        <v>92</v>
      </c>
      <c r="O1809" s="7" t="s">
        <v>93</v>
      </c>
      <c r="P1809" s="3" t="s">
        <v>94</v>
      </c>
      <c r="Q1809" s="8" t="s">
        <v>3085</v>
      </c>
      <c r="R1809" s="7" t="s">
        <v>3086</v>
      </c>
      <c r="S1809" s="9">
        <f>8+38</f>
        <v>46</v>
      </c>
      <c r="T1809" s="9">
        <v>1071</v>
      </c>
      <c r="U1809" s="9">
        <v>0</v>
      </c>
      <c r="V1809" s="9">
        <f t="shared" si="1359"/>
        <v>0</v>
      </c>
      <c r="W1809" s="7" t="s">
        <v>97</v>
      </c>
      <c r="X1809" s="2">
        <v>2016</v>
      </c>
      <c r="Y1809" s="2" t="s">
        <v>7793</v>
      </c>
    </row>
    <row r="1810" spans="1:25" s="11" customFormat="1" ht="89.25" customHeight="1" outlineLevel="1" x14ac:dyDescent="0.25">
      <c r="A1810" s="1"/>
      <c r="B1810" s="2" t="s">
        <v>8271</v>
      </c>
      <c r="C1810" s="3" t="s">
        <v>83</v>
      </c>
      <c r="D1810" s="3" t="s">
        <v>3260</v>
      </c>
      <c r="E1810" s="3" t="s">
        <v>3248</v>
      </c>
      <c r="F1810" s="3" t="s">
        <v>3261</v>
      </c>
      <c r="G1810" s="19" t="s">
        <v>3262</v>
      </c>
      <c r="H1810" s="2" t="s">
        <v>88</v>
      </c>
      <c r="I1810" s="4">
        <v>0</v>
      </c>
      <c r="J1810" s="5">
        <v>710000000</v>
      </c>
      <c r="K1810" s="5" t="s">
        <v>89</v>
      </c>
      <c r="L1810" s="2" t="s">
        <v>754</v>
      </c>
      <c r="M1810" s="6" t="s">
        <v>787</v>
      </c>
      <c r="N1810" s="7" t="s">
        <v>92</v>
      </c>
      <c r="O1810" s="7" t="s">
        <v>93</v>
      </c>
      <c r="P1810" s="3" t="s">
        <v>673</v>
      </c>
      <c r="Q1810" s="8" t="s">
        <v>3085</v>
      </c>
      <c r="R1810" s="7" t="s">
        <v>3086</v>
      </c>
      <c r="S1810" s="9">
        <f>8+38</f>
        <v>46</v>
      </c>
      <c r="T1810" s="9">
        <v>1071</v>
      </c>
      <c r="U1810" s="9">
        <f t="shared" ref="U1810" si="1437">T1810*S1810</f>
        <v>49266</v>
      </c>
      <c r="V1810" s="9">
        <f t="shared" ref="V1810" si="1438">U1810*1.12</f>
        <v>55177.920000000006</v>
      </c>
      <c r="W1810" s="7"/>
      <c r="X1810" s="2">
        <v>2016</v>
      </c>
      <c r="Y1810" s="2"/>
    </row>
    <row r="1811" spans="1:25" s="11" customFormat="1" ht="89.25" customHeight="1" outlineLevel="1" x14ac:dyDescent="0.25">
      <c r="A1811" s="1"/>
      <c r="B1811" s="2" t="s">
        <v>6397</v>
      </c>
      <c r="C1811" s="3" t="s">
        <v>83</v>
      </c>
      <c r="D1811" s="3" t="s">
        <v>3263</v>
      </c>
      <c r="E1811" s="3" t="s">
        <v>3264</v>
      </c>
      <c r="F1811" s="3" t="s">
        <v>3265</v>
      </c>
      <c r="G1811" s="19" t="s">
        <v>3266</v>
      </c>
      <c r="H1811" s="2" t="s">
        <v>88</v>
      </c>
      <c r="I1811" s="4">
        <v>0.4</v>
      </c>
      <c r="J1811" s="5">
        <v>710000000</v>
      </c>
      <c r="K1811" s="5" t="s">
        <v>89</v>
      </c>
      <c r="L1811" s="2" t="s">
        <v>754</v>
      </c>
      <c r="M1811" s="6" t="s">
        <v>787</v>
      </c>
      <c r="N1811" s="7" t="s">
        <v>92</v>
      </c>
      <c r="O1811" s="7" t="s">
        <v>93</v>
      </c>
      <c r="P1811" s="3" t="s">
        <v>94</v>
      </c>
      <c r="Q1811" s="8" t="s">
        <v>3085</v>
      </c>
      <c r="R1811" s="7" t="s">
        <v>3086</v>
      </c>
      <c r="S1811" s="9">
        <v>8</v>
      </c>
      <c r="T1811" s="9">
        <v>8000</v>
      </c>
      <c r="U1811" s="9">
        <v>0</v>
      </c>
      <c r="V1811" s="9">
        <f t="shared" si="1359"/>
        <v>0</v>
      </c>
      <c r="W1811" s="7" t="s">
        <v>97</v>
      </c>
      <c r="X1811" s="2">
        <v>2016</v>
      </c>
      <c r="Y1811" s="2" t="s">
        <v>7793</v>
      </c>
    </row>
    <row r="1812" spans="1:25" s="11" customFormat="1" ht="89.25" customHeight="1" outlineLevel="1" x14ac:dyDescent="0.25">
      <c r="A1812" s="1"/>
      <c r="B1812" s="2" t="s">
        <v>8272</v>
      </c>
      <c r="C1812" s="3" t="s">
        <v>83</v>
      </c>
      <c r="D1812" s="3" t="s">
        <v>3263</v>
      </c>
      <c r="E1812" s="3" t="s">
        <v>3264</v>
      </c>
      <c r="F1812" s="3" t="s">
        <v>3265</v>
      </c>
      <c r="G1812" s="19" t="s">
        <v>3266</v>
      </c>
      <c r="H1812" s="2" t="s">
        <v>88</v>
      </c>
      <c r="I1812" s="4">
        <v>0</v>
      </c>
      <c r="J1812" s="5">
        <v>710000000</v>
      </c>
      <c r="K1812" s="5" t="s">
        <v>89</v>
      </c>
      <c r="L1812" s="2" t="s">
        <v>754</v>
      </c>
      <c r="M1812" s="6" t="s">
        <v>787</v>
      </c>
      <c r="N1812" s="7" t="s">
        <v>92</v>
      </c>
      <c r="O1812" s="7" t="s">
        <v>93</v>
      </c>
      <c r="P1812" s="3" t="s">
        <v>673</v>
      </c>
      <c r="Q1812" s="8" t="s">
        <v>3085</v>
      </c>
      <c r="R1812" s="7" t="s">
        <v>3086</v>
      </c>
      <c r="S1812" s="9">
        <v>8</v>
      </c>
      <c r="T1812" s="9">
        <v>8000</v>
      </c>
      <c r="U1812" s="9">
        <f t="shared" ref="U1812" si="1439">T1812*S1812</f>
        <v>64000</v>
      </c>
      <c r="V1812" s="9">
        <f t="shared" ref="V1812" si="1440">U1812*1.12</f>
        <v>71680</v>
      </c>
      <c r="W1812" s="7"/>
      <c r="X1812" s="2">
        <v>2016</v>
      </c>
      <c r="Y1812" s="2"/>
    </row>
    <row r="1813" spans="1:25" s="11" customFormat="1" ht="89.25" customHeight="1" outlineLevel="1" x14ac:dyDescent="0.25">
      <c r="A1813" s="1"/>
      <c r="B1813" s="2" t="s">
        <v>6398</v>
      </c>
      <c r="C1813" s="3" t="s">
        <v>83</v>
      </c>
      <c r="D1813" s="3" t="s">
        <v>3267</v>
      </c>
      <c r="E1813" s="3" t="s">
        <v>3268</v>
      </c>
      <c r="F1813" s="3" t="s">
        <v>3269</v>
      </c>
      <c r="G1813" s="19"/>
      <c r="H1813" s="2" t="s">
        <v>88</v>
      </c>
      <c r="I1813" s="4">
        <v>0.4</v>
      </c>
      <c r="J1813" s="5">
        <v>710000000</v>
      </c>
      <c r="K1813" s="5" t="s">
        <v>89</v>
      </c>
      <c r="L1813" s="2" t="s">
        <v>754</v>
      </c>
      <c r="M1813" s="6" t="s">
        <v>787</v>
      </c>
      <c r="N1813" s="7" t="s">
        <v>92</v>
      </c>
      <c r="O1813" s="7" t="s">
        <v>93</v>
      </c>
      <c r="P1813" s="3" t="s">
        <v>94</v>
      </c>
      <c r="Q1813" s="8" t="s">
        <v>3197</v>
      </c>
      <c r="R1813" s="7" t="s">
        <v>2412</v>
      </c>
      <c r="S1813" s="9">
        <v>2</v>
      </c>
      <c r="T1813" s="9">
        <v>4259</v>
      </c>
      <c r="U1813" s="9">
        <v>0</v>
      </c>
      <c r="V1813" s="9">
        <f t="shared" si="1359"/>
        <v>0</v>
      </c>
      <c r="W1813" s="7" t="s">
        <v>97</v>
      </c>
      <c r="X1813" s="2">
        <v>2016</v>
      </c>
      <c r="Y1813" s="2" t="s">
        <v>7793</v>
      </c>
    </row>
    <row r="1814" spans="1:25" s="11" customFormat="1" ht="89.25" customHeight="1" outlineLevel="1" x14ac:dyDescent="0.25">
      <c r="A1814" s="1"/>
      <c r="B1814" s="2" t="s">
        <v>8273</v>
      </c>
      <c r="C1814" s="3" t="s">
        <v>83</v>
      </c>
      <c r="D1814" s="3" t="s">
        <v>3267</v>
      </c>
      <c r="E1814" s="3" t="s">
        <v>3268</v>
      </c>
      <c r="F1814" s="3" t="s">
        <v>3269</v>
      </c>
      <c r="G1814" s="19"/>
      <c r="H1814" s="2" t="s">
        <v>88</v>
      </c>
      <c r="I1814" s="4">
        <v>0</v>
      </c>
      <c r="J1814" s="5">
        <v>710000000</v>
      </c>
      <c r="K1814" s="5" t="s">
        <v>89</v>
      </c>
      <c r="L1814" s="2" t="s">
        <v>754</v>
      </c>
      <c r="M1814" s="6" t="s">
        <v>787</v>
      </c>
      <c r="N1814" s="7" t="s">
        <v>92</v>
      </c>
      <c r="O1814" s="7" t="s">
        <v>93</v>
      </c>
      <c r="P1814" s="3" t="s">
        <v>673</v>
      </c>
      <c r="Q1814" s="8" t="s">
        <v>3197</v>
      </c>
      <c r="R1814" s="7" t="s">
        <v>2412</v>
      </c>
      <c r="S1814" s="9">
        <v>2</v>
      </c>
      <c r="T1814" s="9">
        <v>4259</v>
      </c>
      <c r="U1814" s="9">
        <v>0</v>
      </c>
      <c r="V1814" s="9">
        <f t="shared" ref="V1814" si="1441">U1814*1.12</f>
        <v>0</v>
      </c>
      <c r="W1814" s="7"/>
      <c r="X1814" s="2">
        <v>2016</v>
      </c>
      <c r="Y1814" s="2" t="s">
        <v>9709</v>
      </c>
    </row>
    <row r="1815" spans="1:25" s="11" customFormat="1" ht="89.25" customHeight="1" outlineLevel="1" x14ac:dyDescent="0.25">
      <c r="A1815" s="1"/>
      <c r="B1815" s="2" t="s">
        <v>9719</v>
      </c>
      <c r="C1815" s="3" t="s">
        <v>83</v>
      </c>
      <c r="D1815" s="3" t="s">
        <v>3267</v>
      </c>
      <c r="E1815" s="3" t="s">
        <v>3268</v>
      </c>
      <c r="F1815" s="3" t="s">
        <v>3269</v>
      </c>
      <c r="G1815" s="19"/>
      <c r="H1815" s="2" t="s">
        <v>88</v>
      </c>
      <c r="I1815" s="4">
        <v>0</v>
      </c>
      <c r="J1815" s="5">
        <v>710000000</v>
      </c>
      <c r="K1815" s="5" t="s">
        <v>89</v>
      </c>
      <c r="L1815" s="6" t="s">
        <v>9737</v>
      </c>
      <c r="M1815" s="6" t="s">
        <v>9720</v>
      </c>
      <c r="N1815" s="7" t="s">
        <v>92</v>
      </c>
      <c r="O1815" s="7" t="s">
        <v>93</v>
      </c>
      <c r="P1815" s="3" t="s">
        <v>673</v>
      </c>
      <c r="Q1815" s="8" t="s">
        <v>3197</v>
      </c>
      <c r="R1815" s="7" t="s">
        <v>2412</v>
      </c>
      <c r="S1815" s="9">
        <f>2+2</f>
        <v>4</v>
      </c>
      <c r="T1815" s="9">
        <v>4259</v>
      </c>
      <c r="U1815" s="9">
        <f t="shared" ref="U1815" si="1442">T1815*S1815</f>
        <v>17036</v>
      </c>
      <c r="V1815" s="9">
        <f t="shared" ref="V1815" si="1443">U1815*1.12</f>
        <v>19080.320000000003</v>
      </c>
      <c r="W1815" s="7"/>
      <c r="X1815" s="2">
        <v>2016</v>
      </c>
      <c r="Y1815" s="2"/>
    </row>
    <row r="1816" spans="1:25" s="11" customFormat="1" ht="89.25" customHeight="1" outlineLevel="1" x14ac:dyDescent="0.25">
      <c r="A1816" s="1"/>
      <c r="B1816" s="2" t="s">
        <v>6399</v>
      </c>
      <c r="C1816" s="3" t="s">
        <v>83</v>
      </c>
      <c r="D1816" s="3" t="s">
        <v>3267</v>
      </c>
      <c r="E1816" s="3" t="s">
        <v>3268</v>
      </c>
      <c r="F1816" s="3" t="s">
        <v>3269</v>
      </c>
      <c r="G1816" s="3" t="s">
        <v>3270</v>
      </c>
      <c r="H1816" s="2" t="s">
        <v>88</v>
      </c>
      <c r="I1816" s="4">
        <v>0.4</v>
      </c>
      <c r="J1816" s="5">
        <v>710000000</v>
      </c>
      <c r="K1816" s="3" t="s">
        <v>89</v>
      </c>
      <c r="L1816" s="2" t="s">
        <v>754</v>
      </c>
      <c r="M1816" s="3" t="s">
        <v>787</v>
      </c>
      <c r="N1816" s="7" t="s">
        <v>92</v>
      </c>
      <c r="O1816" s="7" t="s">
        <v>93</v>
      </c>
      <c r="P1816" s="3" t="s">
        <v>94</v>
      </c>
      <c r="Q1816" s="8" t="s">
        <v>3197</v>
      </c>
      <c r="R1816" s="7" t="s">
        <v>2412</v>
      </c>
      <c r="S1816" s="9">
        <f>5+2+6.5+1+0.5</f>
        <v>15</v>
      </c>
      <c r="T1816" s="9">
        <v>7500</v>
      </c>
      <c r="U1816" s="9">
        <v>0</v>
      </c>
      <c r="V1816" s="9">
        <f t="shared" si="1359"/>
        <v>0</v>
      </c>
      <c r="W1816" s="7" t="s">
        <v>97</v>
      </c>
      <c r="X1816" s="2">
        <v>2016</v>
      </c>
      <c r="Y1816" s="3" t="s">
        <v>7793</v>
      </c>
    </row>
    <row r="1817" spans="1:25" s="11" customFormat="1" ht="89.25" customHeight="1" outlineLevel="1" x14ac:dyDescent="0.25">
      <c r="A1817" s="1"/>
      <c r="B1817" s="2" t="s">
        <v>8274</v>
      </c>
      <c r="C1817" s="3" t="s">
        <v>83</v>
      </c>
      <c r="D1817" s="3" t="s">
        <v>3267</v>
      </c>
      <c r="E1817" s="3" t="s">
        <v>3268</v>
      </c>
      <c r="F1817" s="3" t="s">
        <v>3269</v>
      </c>
      <c r="G1817" s="3" t="s">
        <v>3270</v>
      </c>
      <c r="H1817" s="2" t="s">
        <v>88</v>
      </c>
      <c r="I1817" s="4">
        <v>0</v>
      </c>
      <c r="J1817" s="5">
        <v>710000000</v>
      </c>
      <c r="K1817" s="3" t="s">
        <v>89</v>
      </c>
      <c r="L1817" s="2" t="s">
        <v>754</v>
      </c>
      <c r="M1817" s="3" t="s">
        <v>787</v>
      </c>
      <c r="N1817" s="7" t="s">
        <v>92</v>
      </c>
      <c r="O1817" s="7" t="s">
        <v>93</v>
      </c>
      <c r="P1817" s="3" t="s">
        <v>673</v>
      </c>
      <c r="Q1817" s="8" t="s">
        <v>3197</v>
      </c>
      <c r="R1817" s="7" t="s">
        <v>2412</v>
      </c>
      <c r="S1817" s="9">
        <f>5+2+6.5+1+0.5</f>
        <v>15</v>
      </c>
      <c r="T1817" s="9">
        <v>7500</v>
      </c>
      <c r="U1817" s="9">
        <v>0</v>
      </c>
      <c r="V1817" s="9">
        <f t="shared" ref="V1817" si="1444">U1817*1.12</f>
        <v>0</v>
      </c>
      <c r="W1817" s="7"/>
      <c r="X1817" s="2">
        <v>2016</v>
      </c>
      <c r="Y1817" s="2" t="s">
        <v>9709</v>
      </c>
    </row>
    <row r="1818" spans="1:25" s="11" customFormat="1" ht="89.25" customHeight="1" outlineLevel="1" x14ac:dyDescent="0.25">
      <c r="A1818" s="1"/>
      <c r="B1818" s="2" t="s">
        <v>8274</v>
      </c>
      <c r="C1818" s="3" t="s">
        <v>83</v>
      </c>
      <c r="D1818" s="3" t="s">
        <v>3267</v>
      </c>
      <c r="E1818" s="3" t="s">
        <v>3268</v>
      </c>
      <c r="F1818" s="3" t="s">
        <v>3269</v>
      </c>
      <c r="G1818" s="3" t="s">
        <v>3270</v>
      </c>
      <c r="H1818" s="2" t="s">
        <v>88</v>
      </c>
      <c r="I1818" s="4">
        <v>0</v>
      </c>
      <c r="J1818" s="5">
        <v>710000000</v>
      </c>
      <c r="K1818" s="3" t="s">
        <v>89</v>
      </c>
      <c r="L1818" s="6" t="s">
        <v>9737</v>
      </c>
      <c r="M1818" s="6" t="s">
        <v>9720</v>
      </c>
      <c r="N1818" s="7" t="s">
        <v>92</v>
      </c>
      <c r="O1818" s="7" t="s">
        <v>93</v>
      </c>
      <c r="P1818" s="3" t="s">
        <v>673</v>
      </c>
      <c r="Q1818" s="8" t="s">
        <v>3197</v>
      </c>
      <c r="R1818" s="7" t="s">
        <v>2412</v>
      </c>
      <c r="S1818" s="9">
        <f>5+2+6.5+1+0.5+15</f>
        <v>30</v>
      </c>
      <c r="T1818" s="9">
        <v>7500</v>
      </c>
      <c r="U1818" s="9">
        <f>S1818*T1818</f>
        <v>225000</v>
      </c>
      <c r="V1818" s="9">
        <f t="shared" ref="V1818" si="1445">U1818*1.12</f>
        <v>252000.00000000003</v>
      </c>
      <c r="W1818" s="7"/>
      <c r="X1818" s="2">
        <v>2016</v>
      </c>
      <c r="Y1818" s="3"/>
    </row>
    <row r="1819" spans="1:25" s="11" customFormat="1" ht="89.25" customHeight="1" outlineLevel="1" x14ac:dyDescent="0.25">
      <c r="A1819" s="1"/>
      <c r="B1819" s="2" t="s">
        <v>6400</v>
      </c>
      <c r="C1819" s="3" t="s">
        <v>83</v>
      </c>
      <c r="D1819" s="3" t="s">
        <v>3271</v>
      </c>
      <c r="E1819" s="3" t="s">
        <v>3272</v>
      </c>
      <c r="F1819" s="3" t="s">
        <v>3273</v>
      </c>
      <c r="G1819" s="19" t="s">
        <v>3274</v>
      </c>
      <c r="H1819" s="2" t="s">
        <v>88</v>
      </c>
      <c r="I1819" s="4">
        <v>0.4</v>
      </c>
      <c r="J1819" s="5">
        <v>710000000</v>
      </c>
      <c r="K1819" s="5" t="s">
        <v>89</v>
      </c>
      <c r="L1819" s="2" t="s">
        <v>754</v>
      </c>
      <c r="M1819" s="6" t="s">
        <v>787</v>
      </c>
      <c r="N1819" s="7" t="s">
        <v>92</v>
      </c>
      <c r="O1819" s="7" t="s">
        <v>93</v>
      </c>
      <c r="P1819" s="3" t="s">
        <v>94</v>
      </c>
      <c r="Q1819" s="8">
        <v>796</v>
      </c>
      <c r="R1819" s="7" t="s">
        <v>118</v>
      </c>
      <c r="S1819" s="9">
        <f>5000+1000+3800</f>
        <v>9800</v>
      </c>
      <c r="T1819" s="9">
        <v>3</v>
      </c>
      <c r="U1819" s="9">
        <v>0</v>
      </c>
      <c r="V1819" s="9">
        <f t="shared" si="1359"/>
        <v>0</v>
      </c>
      <c r="W1819" s="7" t="s">
        <v>97</v>
      </c>
      <c r="X1819" s="2">
        <v>2016</v>
      </c>
      <c r="Y1819" s="2" t="s">
        <v>7793</v>
      </c>
    </row>
    <row r="1820" spans="1:25" s="11" customFormat="1" ht="89.25" customHeight="1" outlineLevel="1" x14ac:dyDescent="0.25">
      <c r="A1820" s="1"/>
      <c r="B1820" s="2" t="s">
        <v>8275</v>
      </c>
      <c r="C1820" s="3" t="s">
        <v>83</v>
      </c>
      <c r="D1820" s="3" t="s">
        <v>3271</v>
      </c>
      <c r="E1820" s="3" t="s">
        <v>3272</v>
      </c>
      <c r="F1820" s="3" t="s">
        <v>3273</v>
      </c>
      <c r="G1820" s="19" t="s">
        <v>3274</v>
      </c>
      <c r="H1820" s="2" t="s">
        <v>88</v>
      </c>
      <c r="I1820" s="4">
        <v>0</v>
      </c>
      <c r="J1820" s="5">
        <v>710000000</v>
      </c>
      <c r="K1820" s="5" t="s">
        <v>89</v>
      </c>
      <c r="L1820" s="2" t="s">
        <v>754</v>
      </c>
      <c r="M1820" s="6" t="s">
        <v>787</v>
      </c>
      <c r="N1820" s="7" t="s">
        <v>92</v>
      </c>
      <c r="O1820" s="7" t="s">
        <v>93</v>
      </c>
      <c r="P1820" s="3" t="s">
        <v>673</v>
      </c>
      <c r="Q1820" s="8">
        <v>796</v>
      </c>
      <c r="R1820" s="7" t="s">
        <v>118</v>
      </c>
      <c r="S1820" s="9">
        <f>5000+1000+3800</f>
        <v>9800</v>
      </c>
      <c r="T1820" s="9">
        <v>3</v>
      </c>
      <c r="U1820" s="9">
        <v>0</v>
      </c>
      <c r="V1820" s="9">
        <f t="shared" ref="V1820" si="1446">U1820*1.12</f>
        <v>0</v>
      </c>
      <c r="W1820" s="7"/>
      <c r="X1820" s="2">
        <v>2016</v>
      </c>
      <c r="Y1820" s="2" t="s">
        <v>9709</v>
      </c>
    </row>
    <row r="1821" spans="1:25" s="11" customFormat="1" ht="89.25" customHeight="1" outlineLevel="1" x14ac:dyDescent="0.25">
      <c r="A1821" s="1"/>
      <c r="B1821" s="2" t="s">
        <v>9721</v>
      </c>
      <c r="C1821" s="3" t="s">
        <v>83</v>
      </c>
      <c r="D1821" s="3" t="s">
        <v>3271</v>
      </c>
      <c r="E1821" s="3" t="s">
        <v>3272</v>
      </c>
      <c r="F1821" s="3" t="s">
        <v>3273</v>
      </c>
      <c r="G1821" s="19" t="s">
        <v>3274</v>
      </c>
      <c r="H1821" s="2" t="s">
        <v>88</v>
      </c>
      <c r="I1821" s="4">
        <v>0</v>
      </c>
      <c r="J1821" s="5">
        <v>710000000</v>
      </c>
      <c r="K1821" s="5" t="s">
        <v>89</v>
      </c>
      <c r="L1821" s="6" t="s">
        <v>9737</v>
      </c>
      <c r="M1821" s="6" t="s">
        <v>9720</v>
      </c>
      <c r="N1821" s="7" t="s">
        <v>92</v>
      </c>
      <c r="O1821" s="7" t="s">
        <v>93</v>
      </c>
      <c r="P1821" s="3" t="s">
        <v>673</v>
      </c>
      <c r="Q1821" s="8">
        <v>796</v>
      </c>
      <c r="R1821" s="7" t="s">
        <v>118</v>
      </c>
      <c r="S1821" s="9">
        <f>5000+1000+3800+5000+3000</f>
        <v>17800</v>
      </c>
      <c r="T1821" s="9">
        <v>3</v>
      </c>
      <c r="U1821" s="9">
        <f t="shared" ref="U1821" si="1447">T1821*S1821</f>
        <v>53400</v>
      </c>
      <c r="V1821" s="9">
        <f t="shared" ref="V1821" si="1448">U1821*1.12</f>
        <v>59808.000000000007</v>
      </c>
      <c r="W1821" s="7"/>
      <c r="X1821" s="2">
        <v>2016</v>
      </c>
      <c r="Y1821" s="2"/>
    </row>
    <row r="1822" spans="1:25" s="20" customFormat="1" ht="89.25" customHeight="1" outlineLevel="1" x14ac:dyDescent="0.25">
      <c r="A1822" s="1"/>
      <c r="B1822" s="2" t="s">
        <v>6401</v>
      </c>
      <c r="C1822" s="3" t="s">
        <v>83</v>
      </c>
      <c r="D1822" s="3" t="s">
        <v>3271</v>
      </c>
      <c r="E1822" s="3" t="s">
        <v>3272</v>
      </c>
      <c r="F1822" s="3" t="s">
        <v>3273</v>
      </c>
      <c r="G1822" s="19" t="s">
        <v>3275</v>
      </c>
      <c r="H1822" s="2" t="s">
        <v>88</v>
      </c>
      <c r="I1822" s="4">
        <v>0.4</v>
      </c>
      <c r="J1822" s="5">
        <v>710000000</v>
      </c>
      <c r="K1822" s="5" t="s">
        <v>89</v>
      </c>
      <c r="L1822" s="2" t="s">
        <v>754</v>
      </c>
      <c r="M1822" s="6" t="s">
        <v>787</v>
      </c>
      <c r="N1822" s="7" t="s">
        <v>92</v>
      </c>
      <c r="O1822" s="7" t="s">
        <v>93</v>
      </c>
      <c r="P1822" s="3" t="s">
        <v>94</v>
      </c>
      <c r="Q1822" s="8">
        <v>796</v>
      </c>
      <c r="R1822" s="7" t="s">
        <v>118</v>
      </c>
      <c r="S1822" s="9">
        <f>1000+1200</f>
        <v>2200</v>
      </c>
      <c r="T1822" s="9">
        <v>4</v>
      </c>
      <c r="U1822" s="9">
        <v>0</v>
      </c>
      <c r="V1822" s="9">
        <f t="shared" si="1359"/>
        <v>0</v>
      </c>
      <c r="W1822" s="7" t="s">
        <v>97</v>
      </c>
      <c r="X1822" s="2">
        <v>2016</v>
      </c>
      <c r="Y1822" s="2" t="s">
        <v>7793</v>
      </c>
    </row>
    <row r="1823" spans="1:25" s="20" customFormat="1" ht="89.25" customHeight="1" outlineLevel="1" x14ac:dyDescent="0.25">
      <c r="A1823" s="1"/>
      <c r="B1823" s="2" t="s">
        <v>8276</v>
      </c>
      <c r="C1823" s="3" t="s">
        <v>83</v>
      </c>
      <c r="D1823" s="3" t="s">
        <v>3271</v>
      </c>
      <c r="E1823" s="3" t="s">
        <v>3272</v>
      </c>
      <c r="F1823" s="3" t="s">
        <v>3273</v>
      </c>
      <c r="G1823" s="19" t="s">
        <v>3275</v>
      </c>
      <c r="H1823" s="2" t="s">
        <v>88</v>
      </c>
      <c r="I1823" s="4">
        <v>0</v>
      </c>
      <c r="J1823" s="5">
        <v>710000000</v>
      </c>
      <c r="K1823" s="5" t="s">
        <v>89</v>
      </c>
      <c r="L1823" s="2" t="s">
        <v>754</v>
      </c>
      <c r="M1823" s="6" t="s">
        <v>787</v>
      </c>
      <c r="N1823" s="7" t="s">
        <v>92</v>
      </c>
      <c r="O1823" s="7" t="s">
        <v>93</v>
      </c>
      <c r="P1823" s="3" t="s">
        <v>673</v>
      </c>
      <c r="Q1823" s="8">
        <v>796</v>
      </c>
      <c r="R1823" s="7" t="s">
        <v>118</v>
      </c>
      <c r="S1823" s="9">
        <f>1000+1200</f>
        <v>2200</v>
      </c>
      <c r="T1823" s="9">
        <v>4</v>
      </c>
      <c r="U1823" s="9">
        <v>0</v>
      </c>
      <c r="V1823" s="9">
        <f t="shared" ref="V1823" si="1449">U1823*1.12</f>
        <v>0</v>
      </c>
      <c r="W1823" s="7"/>
      <c r="X1823" s="2">
        <v>2016</v>
      </c>
      <c r="Y1823" s="2" t="s">
        <v>9709</v>
      </c>
    </row>
    <row r="1824" spans="1:25" s="20" customFormat="1" ht="89.25" customHeight="1" outlineLevel="1" x14ac:dyDescent="0.25">
      <c r="A1824" s="1"/>
      <c r="B1824" s="2" t="s">
        <v>9722</v>
      </c>
      <c r="C1824" s="3" t="s">
        <v>83</v>
      </c>
      <c r="D1824" s="3" t="s">
        <v>3271</v>
      </c>
      <c r="E1824" s="3" t="s">
        <v>3272</v>
      </c>
      <c r="F1824" s="3" t="s">
        <v>3273</v>
      </c>
      <c r="G1824" s="19" t="s">
        <v>3275</v>
      </c>
      <c r="H1824" s="2" t="s">
        <v>88</v>
      </c>
      <c r="I1824" s="4">
        <v>0</v>
      </c>
      <c r="J1824" s="5">
        <v>710000000</v>
      </c>
      <c r="K1824" s="5" t="s">
        <v>89</v>
      </c>
      <c r="L1824" s="6" t="s">
        <v>9737</v>
      </c>
      <c r="M1824" s="6" t="s">
        <v>9720</v>
      </c>
      <c r="N1824" s="7" t="s">
        <v>92</v>
      </c>
      <c r="O1824" s="7" t="s">
        <v>93</v>
      </c>
      <c r="P1824" s="3" t="s">
        <v>673</v>
      </c>
      <c r="Q1824" s="8">
        <v>796</v>
      </c>
      <c r="R1824" s="7" t="s">
        <v>118</v>
      </c>
      <c r="S1824" s="9">
        <f>1000+1200+2200</f>
        <v>4400</v>
      </c>
      <c r="T1824" s="9">
        <v>4</v>
      </c>
      <c r="U1824" s="9">
        <f t="shared" ref="U1824" si="1450">T1824*S1824</f>
        <v>17600</v>
      </c>
      <c r="V1824" s="9">
        <f t="shared" ref="V1824" si="1451">U1824*1.12</f>
        <v>19712.000000000004</v>
      </c>
      <c r="W1824" s="7"/>
      <c r="X1824" s="2">
        <v>2016</v>
      </c>
      <c r="Y1824" s="2"/>
    </row>
    <row r="1825" spans="1:25" s="11" customFormat="1" ht="89.25" customHeight="1" outlineLevel="1" x14ac:dyDescent="0.25">
      <c r="A1825" s="1"/>
      <c r="B1825" s="2" t="s">
        <v>6402</v>
      </c>
      <c r="C1825" s="3" t="s">
        <v>83</v>
      </c>
      <c r="D1825" s="3" t="s">
        <v>3276</v>
      </c>
      <c r="E1825" s="3" t="s">
        <v>3272</v>
      </c>
      <c r="F1825" s="3" t="s">
        <v>3277</v>
      </c>
      <c r="G1825" s="19" t="s">
        <v>3278</v>
      </c>
      <c r="H1825" s="2" t="s">
        <v>88</v>
      </c>
      <c r="I1825" s="4">
        <v>0.4</v>
      </c>
      <c r="J1825" s="5">
        <v>710000000</v>
      </c>
      <c r="K1825" s="5" t="s">
        <v>89</v>
      </c>
      <c r="L1825" s="2" t="s">
        <v>754</v>
      </c>
      <c r="M1825" s="6" t="s">
        <v>787</v>
      </c>
      <c r="N1825" s="7" t="s">
        <v>92</v>
      </c>
      <c r="O1825" s="7" t="s">
        <v>93</v>
      </c>
      <c r="P1825" s="3" t="s">
        <v>94</v>
      </c>
      <c r="Q1825" s="8">
        <v>796</v>
      </c>
      <c r="R1825" s="7" t="s">
        <v>118</v>
      </c>
      <c r="S1825" s="9">
        <f>5000+100+1500</f>
        <v>6600</v>
      </c>
      <c r="T1825" s="9">
        <v>7</v>
      </c>
      <c r="U1825" s="9">
        <v>0</v>
      </c>
      <c r="V1825" s="9">
        <f t="shared" si="1359"/>
        <v>0</v>
      </c>
      <c r="W1825" s="7" t="s">
        <v>97</v>
      </c>
      <c r="X1825" s="2">
        <v>2016</v>
      </c>
      <c r="Y1825" s="2" t="s">
        <v>7793</v>
      </c>
    </row>
    <row r="1826" spans="1:25" s="11" customFormat="1" ht="89.25" customHeight="1" outlineLevel="1" x14ac:dyDescent="0.25">
      <c r="A1826" s="1"/>
      <c r="B1826" s="2" t="s">
        <v>8277</v>
      </c>
      <c r="C1826" s="3" t="s">
        <v>83</v>
      </c>
      <c r="D1826" s="3" t="s">
        <v>3276</v>
      </c>
      <c r="E1826" s="3" t="s">
        <v>3272</v>
      </c>
      <c r="F1826" s="3" t="s">
        <v>3277</v>
      </c>
      <c r="G1826" s="19" t="s">
        <v>3278</v>
      </c>
      <c r="H1826" s="2" t="s">
        <v>88</v>
      </c>
      <c r="I1826" s="4">
        <v>0</v>
      </c>
      <c r="J1826" s="5">
        <v>710000000</v>
      </c>
      <c r="K1826" s="5" t="s">
        <v>89</v>
      </c>
      <c r="L1826" s="2" t="s">
        <v>754</v>
      </c>
      <c r="M1826" s="6" t="s">
        <v>787</v>
      </c>
      <c r="N1826" s="7" t="s">
        <v>92</v>
      </c>
      <c r="O1826" s="7" t="s">
        <v>93</v>
      </c>
      <c r="P1826" s="3" t="s">
        <v>673</v>
      </c>
      <c r="Q1826" s="8">
        <v>796</v>
      </c>
      <c r="R1826" s="7" t="s">
        <v>118</v>
      </c>
      <c r="S1826" s="9">
        <f>5000+100+1500</f>
        <v>6600</v>
      </c>
      <c r="T1826" s="9">
        <v>7</v>
      </c>
      <c r="U1826" s="9">
        <v>0</v>
      </c>
      <c r="V1826" s="9">
        <f t="shared" ref="V1826" si="1452">U1826*1.12</f>
        <v>0</v>
      </c>
      <c r="W1826" s="7"/>
      <c r="X1826" s="2">
        <v>2016</v>
      </c>
      <c r="Y1826" s="2" t="s">
        <v>9709</v>
      </c>
    </row>
    <row r="1827" spans="1:25" s="11" customFormat="1" ht="89.25" customHeight="1" outlineLevel="1" x14ac:dyDescent="0.25">
      <c r="A1827" s="1"/>
      <c r="B1827" s="2" t="s">
        <v>9723</v>
      </c>
      <c r="C1827" s="3" t="s">
        <v>83</v>
      </c>
      <c r="D1827" s="3" t="s">
        <v>3276</v>
      </c>
      <c r="E1827" s="3" t="s">
        <v>3272</v>
      </c>
      <c r="F1827" s="3" t="s">
        <v>3277</v>
      </c>
      <c r="G1827" s="19" t="s">
        <v>3278</v>
      </c>
      <c r="H1827" s="2" t="s">
        <v>88</v>
      </c>
      <c r="I1827" s="4">
        <v>0</v>
      </c>
      <c r="J1827" s="5">
        <v>710000000</v>
      </c>
      <c r="K1827" s="5" t="s">
        <v>89</v>
      </c>
      <c r="L1827" s="6" t="s">
        <v>9737</v>
      </c>
      <c r="M1827" s="6" t="s">
        <v>9720</v>
      </c>
      <c r="N1827" s="7" t="s">
        <v>92</v>
      </c>
      <c r="O1827" s="7" t="s">
        <v>93</v>
      </c>
      <c r="P1827" s="3" t="s">
        <v>673</v>
      </c>
      <c r="Q1827" s="8">
        <v>796</v>
      </c>
      <c r="R1827" s="7" t="s">
        <v>118</v>
      </c>
      <c r="S1827" s="9">
        <f>5000+100+1500+5000</f>
        <v>11600</v>
      </c>
      <c r="T1827" s="9">
        <v>7</v>
      </c>
      <c r="U1827" s="9">
        <f t="shared" ref="U1827" si="1453">T1827*S1827</f>
        <v>81200</v>
      </c>
      <c r="V1827" s="9">
        <f t="shared" ref="V1827" si="1454">U1827*1.12</f>
        <v>90944.000000000015</v>
      </c>
      <c r="W1827" s="7"/>
      <c r="X1827" s="2">
        <v>2016</v>
      </c>
      <c r="Y1827" s="2"/>
    </row>
    <row r="1828" spans="1:25" s="11" customFormat="1" ht="89.25" customHeight="1" outlineLevel="1" x14ac:dyDescent="0.25">
      <c r="A1828" s="1"/>
      <c r="B1828" s="2" t="s">
        <v>6403</v>
      </c>
      <c r="C1828" s="3" t="s">
        <v>83</v>
      </c>
      <c r="D1828" s="3" t="s">
        <v>3276</v>
      </c>
      <c r="E1828" s="3" t="s">
        <v>3272</v>
      </c>
      <c r="F1828" s="3" t="s">
        <v>3277</v>
      </c>
      <c r="G1828" s="19" t="s">
        <v>3279</v>
      </c>
      <c r="H1828" s="2" t="s">
        <v>88</v>
      </c>
      <c r="I1828" s="4">
        <v>0.4</v>
      </c>
      <c r="J1828" s="5">
        <v>710000000</v>
      </c>
      <c r="K1828" s="5" t="s">
        <v>89</v>
      </c>
      <c r="L1828" s="2" t="s">
        <v>754</v>
      </c>
      <c r="M1828" s="6" t="s">
        <v>787</v>
      </c>
      <c r="N1828" s="7" t="s">
        <v>92</v>
      </c>
      <c r="O1828" s="7" t="s">
        <v>93</v>
      </c>
      <c r="P1828" s="3" t="s">
        <v>94</v>
      </c>
      <c r="Q1828" s="31">
        <v>796</v>
      </c>
      <c r="R1828" s="5" t="s">
        <v>118</v>
      </c>
      <c r="S1828" s="9">
        <f>100+1000+5000+1210</f>
        <v>7310</v>
      </c>
      <c r="T1828" s="9">
        <v>3</v>
      </c>
      <c r="U1828" s="9">
        <v>0</v>
      </c>
      <c r="V1828" s="9">
        <f t="shared" si="1359"/>
        <v>0</v>
      </c>
      <c r="W1828" s="7" t="s">
        <v>97</v>
      </c>
      <c r="X1828" s="2">
        <v>2016</v>
      </c>
      <c r="Y1828" s="2" t="s">
        <v>7793</v>
      </c>
    </row>
    <row r="1829" spans="1:25" s="11" customFormat="1" ht="89.25" customHeight="1" outlineLevel="1" x14ac:dyDescent="0.25">
      <c r="A1829" s="1"/>
      <c r="B1829" s="2" t="s">
        <v>8278</v>
      </c>
      <c r="C1829" s="3" t="s">
        <v>83</v>
      </c>
      <c r="D1829" s="3" t="s">
        <v>3276</v>
      </c>
      <c r="E1829" s="3" t="s">
        <v>3272</v>
      </c>
      <c r="F1829" s="3" t="s">
        <v>3277</v>
      </c>
      <c r="G1829" s="19" t="s">
        <v>3279</v>
      </c>
      <c r="H1829" s="2" t="s">
        <v>88</v>
      </c>
      <c r="I1829" s="4">
        <v>0</v>
      </c>
      <c r="J1829" s="5">
        <v>710000000</v>
      </c>
      <c r="K1829" s="5" t="s">
        <v>89</v>
      </c>
      <c r="L1829" s="2" t="s">
        <v>754</v>
      </c>
      <c r="M1829" s="6" t="s">
        <v>787</v>
      </c>
      <c r="N1829" s="7" t="s">
        <v>92</v>
      </c>
      <c r="O1829" s="7" t="s">
        <v>93</v>
      </c>
      <c r="P1829" s="3" t="s">
        <v>673</v>
      </c>
      <c r="Q1829" s="31">
        <v>796</v>
      </c>
      <c r="R1829" s="5" t="s">
        <v>118</v>
      </c>
      <c r="S1829" s="9">
        <f>100+1000+5000+1210</f>
        <v>7310</v>
      </c>
      <c r="T1829" s="9">
        <v>3</v>
      </c>
      <c r="U1829" s="9">
        <v>0</v>
      </c>
      <c r="V1829" s="9">
        <f t="shared" ref="V1829" si="1455">U1829*1.12</f>
        <v>0</v>
      </c>
      <c r="W1829" s="7"/>
      <c r="X1829" s="2">
        <v>2016</v>
      </c>
      <c r="Y1829" s="2" t="s">
        <v>9709</v>
      </c>
    </row>
    <row r="1830" spans="1:25" s="11" customFormat="1" ht="89.25" customHeight="1" outlineLevel="1" x14ac:dyDescent="0.25">
      <c r="A1830" s="1"/>
      <c r="B1830" s="2" t="s">
        <v>9724</v>
      </c>
      <c r="C1830" s="3" t="s">
        <v>83</v>
      </c>
      <c r="D1830" s="3" t="s">
        <v>3276</v>
      </c>
      <c r="E1830" s="3" t="s">
        <v>3272</v>
      </c>
      <c r="F1830" s="3" t="s">
        <v>3277</v>
      </c>
      <c r="G1830" s="19" t="s">
        <v>3279</v>
      </c>
      <c r="H1830" s="2" t="s">
        <v>88</v>
      </c>
      <c r="I1830" s="4">
        <v>0</v>
      </c>
      <c r="J1830" s="5">
        <v>710000000</v>
      </c>
      <c r="K1830" s="5" t="s">
        <v>89</v>
      </c>
      <c r="L1830" s="6" t="s">
        <v>9737</v>
      </c>
      <c r="M1830" s="6" t="s">
        <v>9720</v>
      </c>
      <c r="N1830" s="7" t="s">
        <v>92</v>
      </c>
      <c r="O1830" s="7" t="s">
        <v>93</v>
      </c>
      <c r="P1830" s="3" t="s">
        <v>673</v>
      </c>
      <c r="Q1830" s="31">
        <v>796</v>
      </c>
      <c r="R1830" s="5" t="s">
        <v>118</v>
      </c>
      <c r="S1830" s="9">
        <f>100+1000+5000+1210+3000+4000</f>
        <v>14310</v>
      </c>
      <c r="T1830" s="9">
        <v>3</v>
      </c>
      <c r="U1830" s="9">
        <f t="shared" ref="U1830" si="1456">T1830*S1830</f>
        <v>42930</v>
      </c>
      <c r="V1830" s="9">
        <f t="shared" ref="V1830" si="1457">U1830*1.12</f>
        <v>48081.600000000006</v>
      </c>
      <c r="W1830" s="7"/>
      <c r="X1830" s="2">
        <v>2016</v>
      </c>
      <c r="Y1830" s="2"/>
    </row>
    <row r="1831" spans="1:25" s="20" customFormat="1" ht="89.25" customHeight="1" outlineLevel="1" x14ac:dyDescent="0.25">
      <c r="A1831" s="16"/>
      <c r="B1831" s="2" t="s">
        <v>6404</v>
      </c>
      <c r="C1831" s="3" t="s">
        <v>83</v>
      </c>
      <c r="D1831" s="3" t="s">
        <v>3276</v>
      </c>
      <c r="E1831" s="3" t="s">
        <v>3272</v>
      </c>
      <c r="F1831" s="3" t="s">
        <v>3277</v>
      </c>
      <c r="G1831" s="19" t="s">
        <v>3280</v>
      </c>
      <c r="H1831" s="2" t="s">
        <v>88</v>
      </c>
      <c r="I1831" s="4">
        <v>0.4</v>
      </c>
      <c r="J1831" s="5">
        <v>710000000</v>
      </c>
      <c r="K1831" s="5" t="s">
        <v>89</v>
      </c>
      <c r="L1831" s="2" t="s">
        <v>754</v>
      </c>
      <c r="M1831" s="6" t="s">
        <v>787</v>
      </c>
      <c r="N1831" s="7" t="s">
        <v>92</v>
      </c>
      <c r="O1831" s="7" t="s">
        <v>93</v>
      </c>
      <c r="P1831" s="3" t="s">
        <v>94</v>
      </c>
      <c r="Q1831" s="8">
        <v>796</v>
      </c>
      <c r="R1831" s="7" t="s">
        <v>118</v>
      </c>
      <c r="S1831" s="9">
        <v>25</v>
      </c>
      <c r="T1831" s="9">
        <v>196</v>
      </c>
      <c r="U1831" s="9">
        <v>0</v>
      </c>
      <c r="V1831" s="9">
        <f t="shared" si="1359"/>
        <v>0</v>
      </c>
      <c r="W1831" s="7" t="s">
        <v>97</v>
      </c>
      <c r="X1831" s="2">
        <v>2016</v>
      </c>
      <c r="Y1831" s="2" t="s">
        <v>7793</v>
      </c>
    </row>
    <row r="1832" spans="1:25" s="20" customFormat="1" ht="89.25" customHeight="1" outlineLevel="1" x14ac:dyDescent="0.25">
      <c r="A1832" s="16"/>
      <c r="B1832" s="2" t="s">
        <v>8279</v>
      </c>
      <c r="C1832" s="3" t="s">
        <v>83</v>
      </c>
      <c r="D1832" s="3" t="s">
        <v>3276</v>
      </c>
      <c r="E1832" s="3" t="s">
        <v>3272</v>
      </c>
      <c r="F1832" s="3" t="s">
        <v>3277</v>
      </c>
      <c r="G1832" s="19" t="s">
        <v>3280</v>
      </c>
      <c r="H1832" s="2" t="s">
        <v>88</v>
      </c>
      <c r="I1832" s="4">
        <v>0</v>
      </c>
      <c r="J1832" s="5">
        <v>710000000</v>
      </c>
      <c r="K1832" s="5" t="s">
        <v>89</v>
      </c>
      <c r="L1832" s="2" t="s">
        <v>754</v>
      </c>
      <c r="M1832" s="6" t="s">
        <v>787</v>
      </c>
      <c r="N1832" s="7" t="s">
        <v>92</v>
      </c>
      <c r="O1832" s="7" t="s">
        <v>93</v>
      </c>
      <c r="P1832" s="3" t="s">
        <v>673</v>
      </c>
      <c r="Q1832" s="8">
        <v>796</v>
      </c>
      <c r="R1832" s="7" t="s">
        <v>118</v>
      </c>
      <c r="S1832" s="9">
        <v>25</v>
      </c>
      <c r="T1832" s="9">
        <v>196</v>
      </c>
      <c r="U1832" s="9">
        <f t="shared" ref="U1832" si="1458">T1832*S1832</f>
        <v>4900</v>
      </c>
      <c r="V1832" s="9">
        <f t="shared" ref="V1832" si="1459">U1832*1.12</f>
        <v>5488.0000000000009</v>
      </c>
      <c r="W1832" s="7"/>
      <c r="X1832" s="2">
        <v>2016</v>
      </c>
      <c r="Y1832" s="2"/>
    </row>
    <row r="1833" spans="1:25" s="11" customFormat="1" ht="89.25" customHeight="1" outlineLevel="1" x14ac:dyDescent="0.25">
      <c r="A1833" s="16"/>
      <c r="B1833" s="2" t="s">
        <v>6405</v>
      </c>
      <c r="C1833" s="3" t="s">
        <v>83</v>
      </c>
      <c r="D1833" s="3" t="s">
        <v>3281</v>
      </c>
      <c r="E1833" s="3" t="s">
        <v>3282</v>
      </c>
      <c r="F1833" s="3" t="s">
        <v>3283</v>
      </c>
      <c r="G1833" s="19"/>
      <c r="H1833" s="2" t="s">
        <v>88</v>
      </c>
      <c r="I1833" s="4">
        <v>0.4</v>
      </c>
      <c r="J1833" s="5">
        <v>710000000</v>
      </c>
      <c r="K1833" s="5" t="s">
        <v>89</v>
      </c>
      <c r="L1833" s="2" t="s">
        <v>754</v>
      </c>
      <c r="M1833" s="6" t="s">
        <v>787</v>
      </c>
      <c r="N1833" s="7" t="s">
        <v>92</v>
      </c>
      <c r="O1833" s="7" t="s">
        <v>93</v>
      </c>
      <c r="P1833" s="3" t="s">
        <v>94</v>
      </c>
      <c r="Q1833" s="8" t="s">
        <v>544</v>
      </c>
      <c r="R1833" s="7" t="s">
        <v>111</v>
      </c>
      <c r="S1833" s="9">
        <f>5+2</f>
        <v>7</v>
      </c>
      <c r="T1833" s="9">
        <v>446</v>
      </c>
      <c r="U1833" s="9">
        <v>0</v>
      </c>
      <c r="V1833" s="9">
        <f t="shared" si="1359"/>
        <v>0</v>
      </c>
      <c r="W1833" s="7" t="s">
        <v>97</v>
      </c>
      <c r="X1833" s="2">
        <v>2016</v>
      </c>
      <c r="Y1833" s="2" t="s">
        <v>7793</v>
      </c>
    </row>
    <row r="1834" spans="1:25" s="11" customFormat="1" ht="89.25" customHeight="1" outlineLevel="1" x14ac:dyDescent="0.25">
      <c r="A1834" s="16"/>
      <c r="B1834" s="2" t="s">
        <v>8280</v>
      </c>
      <c r="C1834" s="3" t="s">
        <v>83</v>
      </c>
      <c r="D1834" s="3" t="s">
        <v>3281</v>
      </c>
      <c r="E1834" s="3" t="s">
        <v>3282</v>
      </c>
      <c r="F1834" s="3" t="s">
        <v>3283</v>
      </c>
      <c r="G1834" s="19"/>
      <c r="H1834" s="2" t="s">
        <v>88</v>
      </c>
      <c r="I1834" s="4">
        <v>0</v>
      </c>
      <c r="J1834" s="5">
        <v>710000000</v>
      </c>
      <c r="K1834" s="5" t="s">
        <v>89</v>
      </c>
      <c r="L1834" s="2" t="s">
        <v>754</v>
      </c>
      <c r="M1834" s="6" t="s">
        <v>787</v>
      </c>
      <c r="N1834" s="7" t="s">
        <v>92</v>
      </c>
      <c r="O1834" s="7" t="s">
        <v>93</v>
      </c>
      <c r="P1834" s="3" t="s">
        <v>673</v>
      </c>
      <c r="Q1834" s="8" t="s">
        <v>544</v>
      </c>
      <c r="R1834" s="7" t="s">
        <v>111</v>
      </c>
      <c r="S1834" s="9">
        <f>5+2</f>
        <v>7</v>
      </c>
      <c r="T1834" s="9">
        <v>446</v>
      </c>
      <c r="U1834" s="9">
        <f t="shared" ref="U1834" si="1460">T1834*S1834</f>
        <v>3122</v>
      </c>
      <c r="V1834" s="9">
        <f t="shared" ref="V1834" si="1461">U1834*1.12</f>
        <v>3496.6400000000003</v>
      </c>
      <c r="W1834" s="7"/>
      <c r="X1834" s="2">
        <v>2016</v>
      </c>
      <c r="Y1834" s="2"/>
    </row>
    <row r="1835" spans="1:25" s="11" customFormat="1" ht="89.25" customHeight="1" outlineLevel="1" x14ac:dyDescent="0.25">
      <c r="A1835" s="16"/>
      <c r="B1835" s="2" t="s">
        <v>6406</v>
      </c>
      <c r="C1835" s="3" t="s">
        <v>83</v>
      </c>
      <c r="D1835" s="3" t="s">
        <v>3284</v>
      </c>
      <c r="E1835" s="3" t="s">
        <v>3285</v>
      </c>
      <c r="F1835" s="3" t="s">
        <v>3286</v>
      </c>
      <c r="G1835" s="19" t="s">
        <v>3287</v>
      </c>
      <c r="H1835" s="2" t="s">
        <v>88</v>
      </c>
      <c r="I1835" s="4">
        <v>0.4</v>
      </c>
      <c r="J1835" s="5">
        <v>710000000</v>
      </c>
      <c r="K1835" s="5" t="s">
        <v>89</v>
      </c>
      <c r="L1835" s="2" t="s">
        <v>754</v>
      </c>
      <c r="M1835" s="6" t="s">
        <v>787</v>
      </c>
      <c r="N1835" s="7" t="s">
        <v>92</v>
      </c>
      <c r="O1835" s="7" t="s">
        <v>93</v>
      </c>
      <c r="P1835" s="3" t="s">
        <v>94</v>
      </c>
      <c r="Q1835" s="8">
        <v>796</v>
      </c>
      <c r="R1835" s="7" t="s">
        <v>118</v>
      </c>
      <c r="S1835" s="9">
        <v>1000</v>
      </c>
      <c r="T1835" s="9">
        <v>4</v>
      </c>
      <c r="U1835" s="9">
        <v>0</v>
      </c>
      <c r="V1835" s="9">
        <f t="shared" si="1359"/>
        <v>0</v>
      </c>
      <c r="W1835" s="7" t="s">
        <v>97</v>
      </c>
      <c r="X1835" s="2">
        <v>2016</v>
      </c>
      <c r="Y1835" s="2" t="s">
        <v>7793</v>
      </c>
    </row>
    <row r="1836" spans="1:25" s="11" customFormat="1" ht="89.25" customHeight="1" outlineLevel="1" x14ac:dyDescent="0.25">
      <c r="A1836" s="16"/>
      <c r="B1836" s="2" t="s">
        <v>6406</v>
      </c>
      <c r="C1836" s="3" t="s">
        <v>83</v>
      </c>
      <c r="D1836" s="3" t="s">
        <v>3284</v>
      </c>
      <c r="E1836" s="3" t="s">
        <v>3285</v>
      </c>
      <c r="F1836" s="3" t="s">
        <v>3286</v>
      </c>
      <c r="G1836" s="19" t="s">
        <v>3287</v>
      </c>
      <c r="H1836" s="2" t="s">
        <v>88</v>
      </c>
      <c r="I1836" s="4">
        <v>0</v>
      </c>
      <c r="J1836" s="5">
        <v>710000000</v>
      </c>
      <c r="K1836" s="5" t="s">
        <v>89</v>
      </c>
      <c r="L1836" s="2" t="s">
        <v>754</v>
      </c>
      <c r="M1836" s="6" t="s">
        <v>787</v>
      </c>
      <c r="N1836" s="7" t="s">
        <v>92</v>
      </c>
      <c r="O1836" s="7" t="s">
        <v>93</v>
      </c>
      <c r="P1836" s="3" t="s">
        <v>673</v>
      </c>
      <c r="Q1836" s="8">
        <v>796</v>
      </c>
      <c r="R1836" s="7" t="s">
        <v>118</v>
      </c>
      <c r="S1836" s="9">
        <v>1000</v>
      </c>
      <c r="T1836" s="9">
        <v>4</v>
      </c>
      <c r="U1836" s="9">
        <f t="shared" ref="U1836" si="1462">T1836*S1836</f>
        <v>4000</v>
      </c>
      <c r="V1836" s="9">
        <f t="shared" ref="V1836" si="1463">U1836*1.12</f>
        <v>4480</v>
      </c>
      <c r="W1836" s="7"/>
      <c r="X1836" s="2">
        <v>2016</v>
      </c>
      <c r="Y1836" s="2"/>
    </row>
    <row r="1837" spans="1:25" s="11" customFormat="1" ht="89.25" customHeight="1" outlineLevel="1" x14ac:dyDescent="0.25">
      <c r="A1837" s="1"/>
      <c r="B1837" s="2" t="s">
        <v>6407</v>
      </c>
      <c r="C1837" s="3" t="s">
        <v>83</v>
      </c>
      <c r="D1837" s="3" t="s">
        <v>3288</v>
      </c>
      <c r="E1837" s="3" t="s">
        <v>3289</v>
      </c>
      <c r="F1837" s="3" t="s">
        <v>3290</v>
      </c>
      <c r="G1837" s="19"/>
      <c r="H1837" s="2" t="s">
        <v>88</v>
      </c>
      <c r="I1837" s="4">
        <v>0.4</v>
      </c>
      <c r="J1837" s="5">
        <v>710000000</v>
      </c>
      <c r="K1837" s="5" t="s">
        <v>89</v>
      </c>
      <c r="L1837" s="2" t="s">
        <v>754</v>
      </c>
      <c r="M1837" s="6" t="s">
        <v>787</v>
      </c>
      <c r="N1837" s="7" t="s">
        <v>92</v>
      </c>
      <c r="O1837" s="7" t="s">
        <v>93</v>
      </c>
      <c r="P1837" s="3" t="s">
        <v>94</v>
      </c>
      <c r="Q1837" s="8">
        <v>796</v>
      </c>
      <c r="R1837" s="7" t="s">
        <v>118</v>
      </c>
      <c r="S1837" s="9">
        <f>10000+500+20</f>
        <v>10520</v>
      </c>
      <c r="T1837" s="9">
        <v>4</v>
      </c>
      <c r="U1837" s="9">
        <v>0</v>
      </c>
      <c r="V1837" s="9">
        <f t="shared" si="1359"/>
        <v>0</v>
      </c>
      <c r="W1837" s="7" t="s">
        <v>97</v>
      </c>
      <c r="X1837" s="2">
        <v>2016</v>
      </c>
      <c r="Y1837" s="2" t="s">
        <v>7793</v>
      </c>
    </row>
    <row r="1838" spans="1:25" s="11" customFormat="1" ht="89.25" customHeight="1" outlineLevel="1" x14ac:dyDescent="0.25">
      <c r="A1838" s="1"/>
      <c r="B1838" s="2" t="s">
        <v>8281</v>
      </c>
      <c r="C1838" s="3" t="s">
        <v>83</v>
      </c>
      <c r="D1838" s="3" t="s">
        <v>3288</v>
      </c>
      <c r="E1838" s="3" t="s">
        <v>3289</v>
      </c>
      <c r="F1838" s="3" t="s">
        <v>3290</v>
      </c>
      <c r="G1838" s="19"/>
      <c r="H1838" s="2" t="s">
        <v>88</v>
      </c>
      <c r="I1838" s="4">
        <v>0</v>
      </c>
      <c r="J1838" s="5">
        <v>710000000</v>
      </c>
      <c r="K1838" s="5" t="s">
        <v>89</v>
      </c>
      <c r="L1838" s="2" t="s">
        <v>754</v>
      </c>
      <c r="M1838" s="6" t="s">
        <v>787</v>
      </c>
      <c r="N1838" s="7" t="s">
        <v>92</v>
      </c>
      <c r="O1838" s="7" t="s">
        <v>93</v>
      </c>
      <c r="P1838" s="3" t="s">
        <v>673</v>
      </c>
      <c r="Q1838" s="8">
        <v>796</v>
      </c>
      <c r="R1838" s="7" t="s">
        <v>118</v>
      </c>
      <c r="S1838" s="9">
        <f>10000+500+20</f>
        <v>10520</v>
      </c>
      <c r="T1838" s="9">
        <v>4</v>
      </c>
      <c r="U1838" s="9">
        <f t="shared" ref="U1838" si="1464">T1838*S1838</f>
        <v>42080</v>
      </c>
      <c r="V1838" s="9">
        <f t="shared" ref="V1838" si="1465">U1838*1.12</f>
        <v>47129.600000000006</v>
      </c>
      <c r="W1838" s="7"/>
      <c r="X1838" s="2">
        <v>2016</v>
      </c>
      <c r="Y1838" s="2"/>
    </row>
    <row r="1839" spans="1:25" s="11" customFormat="1" ht="89.25" customHeight="1" outlineLevel="1" x14ac:dyDescent="0.25">
      <c r="A1839" s="1"/>
      <c r="B1839" s="2" t="s">
        <v>6408</v>
      </c>
      <c r="C1839" s="3" t="s">
        <v>83</v>
      </c>
      <c r="D1839" s="3" t="s">
        <v>3291</v>
      </c>
      <c r="E1839" s="3" t="s">
        <v>3292</v>
      </c>
      <c r="F1839" s="3" t="s">
        <v>3293</v>
      </c>
      <c r="G1839" s="19" t="s">
        <v>3294</v>
      </c>
      <c r="H1839" s="2" t="s">
        <v>88</v>
      </c>
      <c r="I1839" s="4">
        <v>0.4</v>
      </c>
      <c r="J1839" s="5">
        <v>710000000</v>
      </c>
      <c r="K1839" s="5" t="s">
        <v>89</v>
      </c>
      <c r="L1839" s="2" t="s">
        <v>754</v>
      </c>
      <c r="M1839" s="6" t="s">
        <v>787</v>
      </c>
      <c r="N1839" s="7" t="s">
        <v>92</v>
      </c>
      <c r="O1839" s="7" t="s">
        <v>93</v>
      </c>
      <c r="P1839" s="3" t="s">
        <v>94</v>
      </c>
      <c r="Q1839" s="8" t="s">
        <v>522</v>
      </c>
      <c r="R1839" s="7" t="s">
        <v>523</v>
      </c>
      <c r="S1839" s="9">
        <f>2+10+70</f>
        <v>82</v>
      </c>
      <c r="T1839" s="9">
        <v>196</v>
      </c>
      <c r="U1839" s="9">
        <v>0</v>
      </c>
      <c r="V1839" s="9">
        <f t="shared" si="1359"/>
        <v>0</v>
      </c>
      <c r="W1839" s="7" t="s">
        <v>97</v>
      </c>
      <c r="X1839" s="2">
        <v>2016</v>
      </c>
      <c r="Y1839" s="2" t="s">
        <v>7793</v>
      </c>
    </row>
    <row r="1840" spans="1:25" s="11" customFormat="1" ht="89.25" customHeight="1" outlineLevel="1" x14ac:dyDescent="0.25">
      <c r="A1840" s="1"/>
      <c r="B1840" s="2" t="s">
        <v>8282</v>
      </c>
      <c r="C1840" s="3" t="s">
        <v>83</v>
      </c>
      <c r="D1840" s="3" t="s">
        <v>3291</v>
      </c>
      <c r="E1840" s="3" t="s">
        <v>3292</v>
      </c>
      <c r="F1840" s="3" t="s">
        <v>3293</v>
      </c>
      <c r="G1840" s="19" t="s">
        <v>3294</v>
      </c>
      <c r="H1840" s="2" t="s">
        <v>88</v>
      </c>
      <c r="I1840" s="4">
        <v>0</v>
      </c>
      <c r="J1840" s="5">
        <v>710000000</v>
      </c>
      <c r="K1840" s="5" t="s">
        <v>89</v>
      </c>
      <c r="L1840" s="2" t="s">
        <v>754</v>
      </c>
      <c r="M1840" s="6" t="s">
        <v>787</v>
      </c>
      <c r="N1840" s="7" t="s">
        <v>92</v>
      </c>
      <c r="O1840" s="7" t="s">
        <v>93</v>
      </c>
      <c r="P1840" s="3" t="s">
        <v>673</v>
      </c>
      <c r="Q1840" s="8" t="s">
        <v>522</v>
      </c>
      <c r="R1840" s="7" t="s">
        <v>523</v>
      </c>
      <c r="S1840" s="9">
        <f>2+10+70</f>
        <v>82</v>
      </c>
      <c r="T1840" s="9">
        <v>196</v>
      </c>
      <c r="U1840" s="9">
        <f t="shared" ref="U1840" si="1466">T1840*S1840</f>
        <v>16072</v>
      </c>
      <c r="V1840" s="9">
        <f t="shared" ref="V1840" si="1467">U1840*1.12</f>
        <v>18000.640000000003</v>
      </c>
      <c r="W1840" s="7"/>
      <c r="X1840" s="2">
        <v>2016</v>
      </c>
      <c r="Y1840" s="2"/>
    </row>
    <row r="1841" spans="1:25" s="11" customFormat="1" ht="89.25" customHeight="1" outlineLevel="1" x14ac:dyDescent="0.25">
      <c r="A1841" s="1"/>
      <c r="B1841" s="2" t="s">
        <v>6409</v>
      </c>
      <c r="C1841" s="3" t="s">
        <v>83</v>
      </c>
      <c r="D1841" s="3" t="s">
        <v>3295</v>
      </c>
      <c r="E1841" s="3" t="s">
        <v>3296</v>
      </c>
      <c r="F1841" s="3" t="s">
        <v>3297</v>
      </c>
      <c r="G1841" s="19" t="s">
        <v>3298</v>
      </c>
      <c r="H1841" s="2" t="s">
        <v>88</v>
      </c>
      <c r="I1841" s="4">
        <v>0.4</v>
      </c>
      <c r="J1841" s="5">
        <v>710000000</v>
      </c>
      <c r="K1841" s="5" t="s">
        <v>89</v>
      </c>
      <c r="L1841" s="2" t="s">
        <v>754</v>
      </c>
      <c r="M1841" s="6" t="s">
        <v>787</v>
      </c>
      <c r="N1841" s="7" t="s">
        <v>92</v>
      </c>
      <c r="O1841" s="7" t="s">
        <v>93</v>
      </c>
      <c r="P1841" s="3" t="s">
        <v>94</v>
      </c>
      <c r="Q1841" s="8">
        <v>796</v>
      </c>
      <c r="R1841" s="7" t="s">
        <v>118</v>
      </c>
      <c r="S1841" s="9">
        <f>300+60+10+5+25+0.2</f>
        <v>400.2</v>
      </c>
      <c r="T1841" s="9">
        <v>13.39</v>
      </c>
      <c r="U1841" s="9">
        <v>0</v>
      </c>
      <c r="V1841" s="9">
        <f t="shared" si="1359"/>
        <v>0</v>
      </c>
      <c r="W1841" s="7" t="s">
        <v>97</v>
      </c>
      <c r="X1841" s="2">
        <v>2016</v>
      </c>
      <c r="Y1841" s="2" t="s">
        <v>7793</v>
      </c>
    </row>
    <row r="1842" spans="1:25" s="11" customFormat="1" ht="89.25" customHeight="1" outlineLevel="1" x14ac:dyDescent="0.25">
      <c r="A1842" s="1"/>
      <c r="B1842" s="2" t="s">
        <v>8283</v>
      </c>
      <c r="C1842" s="3" t="s">
        <v>83</v>
      </c>
      <c r="D1842" s="3" t="s">
        <v>3295</v>
      </c>
      <c r="E1842" s="3" t="s">
        <v>3296</v>
      </c>
      <c r="F1842" s="3" t="s">
        <v>3297</v>
      </c>
      <c r="G1842" s="19" t="s">
        <v>3298</v>
      </c>
      <c r="H1842" s="2" t="s">
        <v>88</v>
      </c>
      <c r="I1842" s="4">
        <v>0</v>
      </c>
      <c r="J1842" s="5">
        <v>710000000</v>
      </c>
      <c r="K1842" s="5" t="s">
        <v>89</v>
      </c>
      <c r="L1842" s="2" t="s">
        <v>754</v>
      </c>
      <c r="M1842" s="6" t="s">
        <v>787</v>
      </c>
      <c r="N1842" s="7" t="s">
        <v>92</v>
      </c>
      <c r="O1842" s="7" t="s">
        <v>93</v>
      </c>
      <c r="P1842" s="3" t="s">
        <v>673</v>
      </c>
      <c r="Q1842" s="8">
        <v>796</v>
      </c>
      <c r="R1842" s="7" t="s">
        <v>118</v>
      </c>
      <c r="S1842" s="9">
        <f>300+60+10+5+25+0.2</f>
        <v>400.2</v>
      </c>
      <c r="T1842" s="9">
        <v>13.39</v>
      </c>
      <c r="U1842" s="9">
        <f t="shared" ref="U1842" si="1468">T1842*S1842</f>
        <v>5358.6779999999999</v>
      </c>
      <c r="V1842" s="9">
        <f t="shared" ref="V1842" si="1469">U1842*1.12</f>
        <v>6001.7193600000001</v>
      </c>
      <c r="W1842" s="7"/>
      <c r="X1842" s="2">
        <v>2016</v>
      </c>
      <c r="Y1842" s="2"/>
    </row>
    <row r="1843" spans="1:25" s="11" customFormat="1" ht="89.25" customHeight="1" outlineLevel="1" x14ac:dyDescent="0.25">
      <c r="A1843" s="1"/>
      <c r="B1843" s="2" t="s">
        <v>6410</v>
      </c>
      <c r="C1843" s="3" t="s">
        <v>83</v>
      </c>
      <c r="D1843" s="3" t="s">
        <v>3299</v>
      </c>
      <c r="E1843" s="3" t="s">
        <v>3300</v>
      </c>
      <c r="F1843" s="3" t="s">
        <v>3301</v>
      </c>
      <c r="G1843" s="19" t="s">
        <v>3302</v>
      </c>
      <c r="H1843" s="2" t="s">
        <v>88</v>
      </c>
      <c r="I1843" s="4">
        <v>0.4</v>
      </c>
      <c r="J1843" s="5">
        <v>710000000</v>
      </c>
      <c r="K1843" s="5" t="s">
        <v>89</v>
      </c>
      <c r="L1843" s="2" t="s">
        <v>754</v>
      </c>
      <c r="M1843" s="6" t="s">
        <v>787</v>
      </c>
      <c r="N1843" s="7" t="s">
        <v>92</v>
      </c>
      <c r="O1843" s="7" t="s">
        <v>93</v>
      </c>
      <c r="P1843" s="3" t="s">
        <v>94</v>
      </c>
      <c r="Q1843" s="8">
        <v>796</v>
      </c>
      <c r="R1843" s="7" t="s">
        <v>118</v>
      </c>
      <c r="S1843" s="9">
        <v>5</v>
      </c>
      <c r="T1843" s="9">
        <v>532</v>
      </c>
      <c r="U1843" s="9">
        <v>0</v>
      </c>
      <c r="V1843" s="9">
        <f t="shared" si="1359"/>
        <v>0</v>
      </c>
      <c r="W1843" s="7" t="s">
        <v>97</v>
      </c>
      <c r="X1843" s="2">
        <v>2016</v>
      </c>
      <c r="Y1843" s="2" t="s">
        <v>7793</v>
      </c>
    </row>
    <row r="1844" spans="1:25" s="11" customFormat="1" ht="89.25" customHeight="1" outlineLevel="1" x14ac:dyDescent="0.25">
      <c r="A1844" s="1"/>
      <c r="B1844" s="2" t="s">
        <v>8284</v>
      </c>
      <c r="C1844" s="3" t="s">
        <v>83</v>
      </c>
      <c r="D1844" s="3" t="s">
        <v>3299</v>
      </c>
      <c r="E1844" s="3" t="s">
        <v>3300</v>
      </c>
      <c r="F1844" s="3" t="s">
        <v>3301</v>
      </c>
      <c r="G1844" s="19" t="s">
        <v>3302</v>
      </c>
      <c r="H1844" s="2" t="s">
        <v>88</v>
      </c>
      <c r="I1844" s="4">
        <v>0</v>
      </c>
      <c r="J1844" s="5">
        <v>710000000</v>
      </c>
      <c r="K1844" s="5" t="s">
        <v>89</v>
      </c>
      <c r="L1844" s="2" t="s">
        <v>754</v>
      </c>
      <c r="M1844" s="6" t="s">
        <v>787</v>
      </c>
      <c r="N1844" s="7" t="s">
        <v>92</v>
      </c>
      <c r="O1844" s="7" t="s">
        <v>93</v>
      </c>
      <c r="P1844" s="3" t="s">
        <v>673</v>
      </c>
      <c r="Q1844" s="8">
        <v>796</v>
      </c>
      <c r="R1844" s="7" t="s">
        <v>118</v>
      </c>
      <c r="S1844" s="9">
        <v>5</v>
      </c>
      <c r="T1844" s="9">
        <v>532</v>
      </c>
      <c r="U1844" s="9">
        <f t="shared" ref="U1844" si="1470">T1844*S1844</f>
        <v>2660</v>
      </c>
      <c r="V1844" s="9">
        <f t="shared" ref="V1844" si="1471">U1844*1.12</f>
        <v>2979.2000000000003</v>
      </c>
      <c r="W1844" s="7"/>
      <c r="X1844" s="2">
        <v>2016</v>
      </c>
      <c r="Y1844" s="2"/>
    </row>
    <row r="1845" spans="1:25" s="11" customFormat="1" ht="89.25" customHeight="1" outlineLevel="1" x14ac:dyDescent="0.25">
      <c r="A1845" s="1"/>
      <c r="B1845" s="2" t="s">
        <v>6411</v>
      </c>
      <c r="C1845" s="3" t="s">
        <v>83</v>
      </c>
      <c r="D1845" s="3" t="s">
        <v>3303</v>
      </c>
      <c r="E1845" s="3" t="s">
        <v>3300</v>
      </c>
      <c r="F1845" s="3" t="s">
        <v>3304</v>
      </c>
      <c r="G1845" s="19" t="s">
        <v>3305</v>
      </c>
      <c r="H1845" s="2" t="s">
        <v>88</v>
      </c>
      <c r="I1845" s="4">
        <v>0.4</v>
      </c>
      <c r="J1845" s="5">
        <v>710000000</v>
      </c>
      <c r="K1845" s="5" t="s">
        <v>89</v>
      </c>
      <c r="L1845" s="2" t="s">
        <v>754</v>
      </c>
      <c r="M1845" s="6" t="s">
        <v>787</v>
      </c>
      <c r="N1845" s="7" t="s">
        <v>92</v>
      </c>
      <c r="O1845" s="7" t="s">
        <v>93</v>
      </c>
      <c r="P1845" s="3" t="s">
        <v>94</v>
      </c>
      <c r="Q1845" s="8" t="s">
        <v>544</v>
      </c>
      <c r="R1845" s="7" t="s">
        <v>111</v>
      </c>
      <c r="S1845" s="9">
        <f>5+2.8+5+4+6+1</f>
        <v>23.8</v>
      </c>
      <c r="T1845" s="9">
        <v>709.82</v>
      </c>
      <c r="U1845" s="9">
        <v>0</v>
      </c>
      <c r="V1845" s="9">
        <f t="shared" si="1359"/>
        <v>0</v>
      </c>
      <c r="W1845" s="7" t="s">
        <v>97</v>
      </c>
      <c r="X1845" s="2">
        <v>2016</v>
      </c>
      <c r="Y1845" s="2" t="s">
        <v>7793</v>
      </c>
    </row>
    <row r="1846" spans="1:25" s="11" customFormat="1" ht="89.25" customHeight="1" outlineLevel="1" x14ac:dyDescent="0.25">
      <c r="A1846" s="1"/>
      <c r="B1846" s="2" t="s">
        <v>8285</v>
      </c>
      <c r="C1846" s="3" t="s">
        <v>83</v>
      </c>
      <c r="D1846" s="3" t="s">
        <v>3303</v>
      </c>
      <c r="E1846" s="3" t="s">
        <v>3300</v>
      </c>
      <c r="F1846" s="3" t="s">
        <v>3304</v>
      </c>
      <c r="G1846" s="19" t="s">
        <v>3305</v>
      </c>
      <c r="H1846" s="2" t="s">
        <v>88</v>
      </c>
      <c r="I1846" s="4">
        <v>0</v>
      </c>
      <c r="J1846" s="5">
        <v>710000000</v>
      </c>
      <c r="K1846" s="5" t="s">
        <v>89</v>
      </c>
      <c r="L1846" s="2" t="s">
        <v>754</v>
      </c>
      <c r="M1846" s="6" t="s">
        <v>787</v>
      </c>
      <c r="N1846" s="7" t="s">
        <v>92</v>
      </c>
      <c r="O1846" s="7" t="s">
        <v>93</v>
      </c>
      <c r="P1846" s="3" t="s">
        <v>673</v>
      </c>
      <c r="Q1846" s="8" t="s">
        <v>544</v>
      </c>
      <c r="R1846" s="7" t="s">
        <v>111</v>
      </c>
      <c r="S1846" s="9">
        <f>5+2.8+5+4+6+1</f>
        <v>23.8</v>
      </c>
      <c r="T1846" s="9">
        <v>709.82</v>
      </c>
      <c r="U1846" s="9">
        <v>0</v>
      </c>
      <c r="V1846" s="9">
        <f t="shared" ref="V1846" si="1472">U1846*1.12</f>
        <v>0</v>
      </c>
      <c r="W1846" s="7"/>
      <c r="X1846" s="2">
        <v>2016</v>
      </c>
      <c r="Y1846" s="2" t="s">
        <v>9709</v>
      </c>
    </row>
    <row r="1847" spans="1:25" s="11" customFormat="1" ht="89.25" customHeight="1" outlineLevel="1" x14ac:dyDescent="0.25">
      <c r="A1847" s="1"/>
      <c r="B1847" s="2" t="s">
        <v>8285</v>
      </c>
      <c r="C1847" s="3" t="s">
        <v>83</v>
      </c>
      <c r="D1847" s="3" t="s">
        <v>3303</v>
      </c>
      <c r="E1847" s="3" t="s">
        <v>3300</v>
      </c>
      <c r="F1847" s="3" t="s">
        <v>3304</v>
      </c>
      <c r="G1847" s="19" t="s">
        <v>3305</v>
      </c>
      <c r="H1847" s="2" t="s">
        <v>88</v>
      </c>
      <c r="I1847" s="4">
        <v>0</v>
      </c>
      <c r="J1847" s="5">
        <v>710000000</v>
      </c>
      <c r="K1847" s="5" t="s">
        <v>89</v>
      </c>
      <c r="L1847" s="6" t="s">
        <v>9737</v>
      </c>
      <c r="M1847" s="6" t="s">
        <v>9720</v>
      </c>
      <c r="N1847" s="7" t="s">
        <v>92</v>
      </c>
      <c r="O1847" s="7" t="s">
        <v>93</v>
      </c>
      <c r="P1847" s="3" t="s">
        <v>673</v>
      </c>
      <c r="Q1847" s="8" t="s">
        <v>544</v>
      </c>
      <c r="R1847" s="7" t="s">
        <v>111</v>
      </c>
      <c r="S1847" s="9">
        <f>5+2.8+5+4+6+1+23.8</f>
        <v>47.6</v>
      </c>
      <c r="T1847" s="9">
        <v>709.82</v>
      </c>
      <c r="U1847" s="9">
        <f t="shared" ref="U1847" si="1473">T1847*S1847</f>
        <v>33787.432000000001</v>
      </c>
      <c r="V1847" s="9">
        <f t="shared" ref="V1847" si="1474">U1847*1.12</f>
        <v>37841.923840000003</v>
      </c>
      <c r="W1847" s="7"/>
      <c r="X1847" s="2">
        <v>2016</v>
      </c>
      <c r="Y1847" s="2"/>
    </row>
    <row r="1848" spans="1:25" s="20" customFormat="1" ht="89.25" customHeight="1" outlineLevel="1" x14ac:dyDescent="0.25">
      <c r="A1848" s="1"/>
      <c r="B1848" s="2" t="s">
        <v>6412</v>
      </c>
      <c r="C1848" s="3" t="s">
        <v>83</v>
      </c>
      <c r="D1848" s="3" t="s">
        <v>3306</v>
      </c>
      <c r="E1848" s="3" t="s">
        <v>3307</v>
      </c>
      <c r="F1848" s="3" t="s">
        <v>3308</v>
      </c>
      <c r="G1848" s="19" t="s">
        <v>3309</v>
      </c>
      <c r="H1848" s="2" t="s">
        <v>88</v>
      </c>
      <c r="I1848" s="4">
        <v>0.4</v>
      </c>
      <c r="J1848" s="5">
        <v>710000000</v>
      </c>
      <c r="K1848" s="5" t="s">
        <v>89</v>
      </c>
      <c r="L1848" s="2" t="s">
        <v>754</v>
      </c>
      <c r="M1848" s="6" t="s">
        <v>787</v>
      </c>
      <c r="N1848" s="7" t="s">
        <v>92</v>
      </c>
      <c r="O1848" s="7" t="s">
        <v>93</v>
      </c>
      <c r="P1848" s="3" t="s">
        <v>94</v>
      </c>
      <c r="Q1848" s="8">
        <v>796</v>
      </c>
      <c r="R1848" s="7" t="s">
        <v>118</v>
      </c>
      <c r="S1848" s="9">
        <f>12+50+8+84</f>
        <v>154</v>
      </c>
      <c r="T1848" s="9">
        <v>62.5</v>
      </c>
      <c r="U1848" s="9">
        <v>0</v>
      </c>
      <c r="V1848" s="9">
        <f t="shared" si="1359"/>
        <v>0</v>
      </c>
      <c r="W1848" s="7" t="s">
        <v>97</v>
      </c>
      <c r="X1848" s="2">
        <v>2016</v>
      </c>
      <c r="Y1848" s="2" t="s">
        <v>7793</v>
      </c>
    </row>
    <row r="1849" spans="1:25" s="20" customFormat="1" ht="89.25" customHeight="1" outlineLevel="1" x14ac:dyDescent="0.25">
      <c r="A1849" s="1"/>
      <c r="B1849" s="2" t="s">
        <v>8286</v>
      </c>
      <c r="C1849" s="3" t="s">
        <v>83</v>
      </c>
      <c r="D1849" s="3" t="s">
        <v>3306</v>
      </c>
      <c r="E1849" s="3" t="s">
        <v>3307</v>
      </c>
      <c r="F1849" s="3" t="s">
        <v>3308</v>
      </c>
      <c r="G1849" s="19" t="s">
        <v>3309</v>
      </c>
      <c r="H1849" s="2" t="s">
        <v>88</v>
      </c>
      <c r="I1849" s="4">
        <v>0</v>
      </c>
      <c r="J1849" s="5">
        <v>710000000</v>
      </c>
      <c r="K1849" s="5" t="s">
        <v>89</v>
      </c>
      <c r="L1849" s="2" t="s">
        <v>754</v>
      </c>
      <c r="M1849" s="6" t="s">
        <v>787</v>
      </c>
      <c r="N1849" s="7" t="s">
        <v>92</v>
      </c>
      <c r="O1849" s="7" t="s">
        <v>93</v>
      </c>
      <c r="P1849" s="3" t="s">
        <v>673</v>
      </c>
      <c r="Q1849" s="8">
        <v>796</v>
      </c>
      <c r="R1849" s="7" t="s">
        <v>118</v>
      </c>
      <c r="S1849" s="9">
        <f>12+50+8+84</f>
        <v>154</v>
      </c>
      <c r="T1849" s="9">
        <v>62.5</v>
      </c>
      <c r="U1849" s="9">
        <v>0</v>
      </c>
      <c r="V1849" s="9">
        <f t="shared" ref="V1849" si="1475">U1849*1.12</f>
        <v>0</v>
      </c>
      <c r="W1849" s="7"/>
      <c r="X1849" s="2">
        <v>2016</v>
      </c>
      <c r="Y1849" s="2" t="s">
        <v>9709</v>
      </c>
    </row>
    <row r="1850" spans="1:25" s="20" customFormat="1" ht="89.25" customHeight="1" outlineLevel="1" x14ac:dyDescent="0.25">
      <c r="A1850" s="1"/>
      <c r="B1850" s="2" t="s">
        <v>9725</v>
      </c>
      <c r="C1850" s="3" t="s">
        <v>83</v>
      </c>
      <c r="D1850" s="3" t="s">
        <v>3306</v>
      </c>
      <c r="E1850" s="3" t="s">
        <v>3307</v>
      </c>
      <c r="F1850" s="3" t="s">
        <v>3308</v>
      </c>
      <c r="G1850" s="19" t="s">
        <v>3309</v>
      </c>
      <c r="H1850" s="2" t="s">
        <v>88</v>
      </c>
      <c r="I1850" s="4">
        <v>0</v>
      </c>
      <c r="J1850" s="5">
        <v>710000000</v>
      </c>
      <c r="K1850" s="5" t="s">
        <v>89</v>
      </c>
      <c r="L1850" s="6" t="s">
        <v>9737</v>
      </c>
      <c r="M1850" s="6" t="s">
        <v>9720</v>
      </c>
      <c r="N1850" s="7" t="s">
        <v>92</v>
      </c>
      <c r="O1850" s="7" t="s">
        <v>93</v>
      </c>
      <c r="P1850" s="3" t="s">
        <v>673</v>
      </c>
      <c r="Q1850" s="8">
        <v>796</v>
      </c>
      <c r="R1850" s="7" t="s">
        <v>118</v>
      </c>
      <c r="S1850" s="9">
        <f>12+50+8+84+154</f>
        <v>308</v>
      </c>
      <c r="T1850" s="9">
        <v>62.5</v>
      </c>
      <c r="U1850" s="9">
        <f t="shared" ref="U1850" si="1476">T1850*S1850</f>
        <v>19250</v>
      </c>
      <c r="V1850" s="9">
        <f t="shared" ref="V1850" si="1477">U1850*1.12</f>
        <v>21560.000000000004</v>
      </c>
      <c r="W1850" s="7"/>
      <c r="X1850" s="2">
        <v>2016</v>
      </c>
      <c r="Y1850" s="2"/>
    </row>
    <row r="1851" spans="1:25" s="20" customFormat="1" ht="89.25" customHeight="1" outlineLevel="1" x14ac:dyDescent="0.25">
      <c r="A1851" s="1"/>
      <c r="B1851" s="2" t="s">
        <v>6413</v>
      </c>
      <c r="C1851" s="3" t="s">
        <v>83</v>
      </c>
      <c r="D1851" s="3" t="s">
        <v>3310</v>
      </c>
      <c r="E1851" s="3" t="s">
        <v>3289</v>
      </c>
      <c r="F1851" s="3" t="s">
        <v>3311</v>
      </c>
      <c r="G1851" s="3" t="s">
        <v>3312</v>
      </c>
      <c r="H1851" s="2" t="s">
        <v>88</v>
      </c>
      <c r="I1851" s="4">
        <v>0.4</v>
      </c>
      <c r="J1851" s="5">
        <v>710000000</v>
      </c>
      <c r="K1851" s="3" t="s">
        <v>89</v>
      </c>
      <c r="L1851" s="2" t="s">
        <v>754</v>
      </c>
      <c r="M1851" s="3" t="s">
        <v>787</v>
      </c>
      <c r="N1851" s="7" t="s">
        <v>92</v>
      </c>
      <c r="O1851" s="7" t="s">
        <v>93</v>
      </c>
      <c r="P1851" s="3" t="s">
        <v>94</v>
      </c>
      <c r="Q1851" s="8">
        <v>796</v>
      </c>
      <c r="R1851" s="7" t="s">
        <v>118</v>
      </c>
      <c r="S1851" s="9">
        <f>200+56+56</f>
        <v>312</v>
      </c>
      <c r="T1851" s="9">
        <v>4</v>
      </c>
      <c r="U1851" s="9">
        <v>0</v>
      </c>
      <c r="V1851" s="9">
        <f t="shared" si="1359"/>
        <v>0</v>
      </c>
      <c r="W1851" s="7" t="s">
        <v>97</v>
      </c>
      <c r="X1851" s="2">
        <v>2016</v>
      </c>
      <c r="Y1851" s="3" t="s">
        <v>7793</v>
      </c>
    </row>
    <row r="1852" spans="1:25" s="20" customFormat="1" ht="89.25" customHeight="1" outlineLevel="1" x14ac:dyDescent="0.25">
      <c r="A1852" s="1"/>
      <c r="B1852" s="2" t="s">
        <v>8287</v>
      </c>
      <c r="C1852" s="3" t="s">
        <v>83</v>
      </c>
      <c r="D1852" s="3" t="s">
        <v>3310</v>
      </c>
      <c r="E1852" s="3" t="s">
        <v>3289</v>
      </c>
      <c r="F1852" s="3" t="s">
        <v>3311</v>
      </c>
      <c r="G1852" s="3" t="s">
        <v>3312</v>
      </c>
      <c r="H1852" s="2" t="s">
        <v>88</v>
      </c>
      <c r="I1852" s="4">
        <v>0</v>
      </c>
      <c r="J1852" s="5">
        <v>710000000</v>
      </c>
      <c r="K1852" s="3" t="s">
        <v>89</v>
      </c>
      <c r="L1852" s="2" t="s">
        <v>754</v>
      </c>
      <c r="M1852" s="3" t="s">
        <v>787</v>
      </c>
      <c r="N1852" s="7" t="s">
        <v>92</v>
      </c>
      <c r="O1852" s="7" t="s">
        <v>93</v>
      </c>
      <c r="P1852" s="3" t="s">
        <v>673</v>
      </c>
      <c r="Q1852" s="8">
        <v>796</v>
      </c>
      <c r="R1852" s="7" t="s">
        <v>118</v>
      </c>
      <c r="S1852" s="9">
        <f>200+56+56</f>
        <v>312</v>
      </c>
      <c r="T1852" s="9">
        <v>4</v>
      </c>
      <c r="U1852" s="9">
        <f>S1852*T1852</f>
        <v>1248</v>
      </c>
      <c r="V1852" s="9">
        <f t="shared" ref="V1852" si="1478">U1852*1.12</f>
        <v>1397.7600000000002</v>
      </c>
      <c r="W1852" s="7"/>
      <c r="X1852" s="2">
        <v>2016</v>
      </c>
      <c r="Y1852" s="3"/>
    </row>
    <row r="1853" spans="1:25" s="20" customFormat="1" ht="89.25" customHeight="1" outlineLevel="1" x14ac:dyDescent="0.25">
      <c r="A1853" s="1"/>
      <c r="B1853" s="2" t="s">
        <v>6414</v>
      </c>
      <c r="C1853" s="3" t="s">
        <v>83</v>
      </c>
      <c r="D1853" s="3" t="s">
        <v>3313</v>
      </c>
      <c r="E1853" s="3" t="s">
        <v>2924</v>
      </c>
      <c r="F1853" s="3" t="s">
        <v>3314</v>
      </c>
      <c r="G1853" s="19" t="s">
        <v>3315</v>
      </c>
      <c r="H1853" s="2" t="s">
        <v>88</v>
      </c>
      <c r="I1853" s="4">
        <v>0.4</v>
      </c>
      <c r="J1853" s="5">
        <v>710000000</v>
      </c>
      <c r="K1853" s="5" t="s">
        <v>89</v>
      </c>
      <c r="L1853" s="2" t="s">
        <v>754</v>
      </c>
      <c r="M1853" s="6" t="s">
        <v>787</v>
      </c>
      <c r="N1853" s="7" t="s">
        <v>92</v>
      </c>
      <c r="O1853" s="7" t="s">
        <v>93</v>
      </c>
      <c r="P1853" s="3" t="s">
        <v>94</v>
      </c>
      <c r="Q1853" s="8">
        <v>796</v>
      </c>
      <c r="R1853" s="7" t="s">
        <v>118</v>
      </c>
      <c r="S1853" s="9">
        <v>5</v>
      </c>
      <c r="T1853" s="9">
        <v>714</v>
      </c>
      <c r="U1853" s="9">
        <v>0</v>
      </c>
      <c r="V1853" s="9">
        <f t="shared" si="1359"/>
        <v>0</v>
      </c>
      <c r="W1853" s="7" t="s">
        <v>97</v>
      </c>
      <c r="X1853" s="2">
        <v>2016</v>
      </c>
      <c r="Y1853" s="2" t="s">
        <v>7793</v>
      </c>
    </row>
    <row r="1854" spans="1:25" s="20" customFormat="1" ht="89.25" customHeight="1" outlineLevel="1" x14ac:dyDescent="0.25">
      <c r="A1854" s="1"/>
      <c r="B1854" s="2" t="s">
        <v>8288</v>
      </c>
      <c r="C1854" s="3" t="s">
        <v>83</v>
      </c>
      <c r="D1854" s="3" t="s">
        <v>3313</v>
      </c>
      <c r="E1854" s="3" t="s">
        <v>2924</v>
      </c>
      <c r="F1854" s="3" t="s">
        <v>3314</v>
      </c>
      <c r="G1854" s="19" t="s">
        <v>3315</v>
      </c>
      <c r="H1854" s="2" t="s">
        <v>88</v>
      </c>
      <c r="I1854" s="4">
        <v>0</v>
      </c>
      <c r="J1854" s="5">
        <v>710000000</v>
      </c>
      <c r="K1854" s="5" t="s">
        <v>89</v>
      </c>
      <c r="L1854" s="2" t="s">
        <v>754</v>
      </c>
      <c r="M1854" s="6" t="s">
        <v>787</v>
      </c>
      <c r="N1854" s="7" t="s">
        <v>92</v>
      </c>
      <c r="O1854" s="7" t="s">
        <v>93</v>
      </c>
      <c r="P1854" s="3" t="s">
        <v>673</v>
      </c>
      <c r="Q1854" s="8">
        <v>796</v>
      </c>
      <c r="R1854" s="7" t="s">
        <v>118</v>
      </c>
      <c r="S1854" s="9">
        <v>5</v>
      </c>
      <c r="T1854" s="9">
        <v>714</v>
      </c>
      <c r="U1854" s="9">
        <v>0</v>
      </c>
      <c r="V1854" s="9">
        <f t="shared" ref="V1854" si="1479">U1854*1.12</f>
        <v>0</v>
      </c>
      <c r="W1854" s="7"/>
      <c r="X1854" s="2">
        <v>2016</v>
      </c>
      <c r="Y1854" s="2" t="s">
        <v>9709</v>
      </c>
    </row>
    <row r="1855" spans="1:25" s="20" customFormat="1" ht="89.25" customHeight="1" outlineLevel="1" x14ac:dyDescent="0.25">
      <c r="A1855" s="1"/>
      <c r="B1855" s="2" t="s">
        <v>9770</v>
      </c>
      <c r="C1855" s="3" t="s">
        <v>83</v>
      </c>
      <c r="D1855" s="3" t="s">
        <v>3313</v>
      </c>
      <c r="E1855" s="3" t="s">
        <v>2924</v>
      </c>
      <c r="F1855" s="3" t="s">
        <v>3314</v>
      </c>
      <c r="G1855" s="19" t="s">
        <v>3315</v>
      </c>
      <c r="H1855" s="2" t="s">
        <v>88</v>
      </c>
      <c r="I1855" s="4">
        <v>0</v>
      </c>
      <c r="J1855" s="5">
        <v>710000000</v>
      </c>
      <c r="K1855" s="5" t="s">
        <v>89</v>
      </c>
      <c r="L1855" s="6" t="s">
        <v>9737</v>
      </c>
      <c r="M1855" s="6" t="s">
        <v>9720</v>
      </c>
      <c r="N1855" s="7" t="s">
        <v>92</v>
      </c>
      <c r="O1855" s="7" t="s">
        <v>93</v>
      </c>
      <c r="P1855" s="3" t="s">
        <v>673</v>
      </c>
      <c r="Q1855" s="8">
        <v>796</v>
      </c>
      <c r="R1855" s="7" t="s">
        <v>118</v>
      </c>
      <c r="S1855" s="9">
        <f>5+5</f>
        <v>10</v>
      </c>
      <c r="T1855" s="9">
        <v>714</v>
      </c>
      <c r="U1855" s="9">
        <f t="shared" ref="U1855" si="1480">T1855*S1855</f>
        <v>7140</v>
      </c>
      <c r="V1855" s="9">
        <f t="shared" ref="V1855" si="1481">U1855*1.12</f>
        <v>7996.8000000000011</v>
      </c>
      <c r="W1855" s="7"/>
      <c r="X1855" s="2">
        <v>2016</v>
      </c>
      <c r="Y1855" s="2"/>
    </row>
    <row r="1856" spans="1:25" s="20" customFormat="1" ht="89.25" customHeight="1" outlineLevel="1" x14ac:dyDescent="0.25">
      <c r="A1856" s="1"/>
      <c r="B1856" s="2" t="s">
        <v>6415</v>
      </c>
      <c r="C1856" s="3" t="s">
        <v>83</v>
      </c>
      <c r="D1856" s="3" t="s">
        <v>3316</v>
      </c>
      <c r="E1856" s="3" t="s">
        <v>2924</v>
      </c>
      <c r="F1856" s="3" t="s">
        <v>3317</v>
      </c>
      <c r="G1856" s="19" t="s">
        <v>3318</v>
      </c>
      <c r="H1856" s="2" t="s">
        <v>88</v>
      </c>
      <c r="I1856" s="4">
        <v>0.4</v>
      </c>
      <c r="J1856" s="5">
        <v>710000000</v>
      </c>
      <c r="K1856" s="5" t="s">
        <v>89</v>
      </c>
      <c r="L1856" s="2" t="s">
        <v>754</v>
      </c>
      <c r="M1856" s="6" t="s">
        <v>787</v>
      </c>
      <c r="N1856" s="7" t="s">
        <v>92</v>
      </c>
      <c r="O1856" s="7" t="s">
        <v>93</v>
      </c>
      <c r="P1856" s="3" t="s">
        <v>94</v>
      </c>
      <c r="Q1856" s="8">
        <v>796</v>
      </c>
      <c r="R1856" s="7" t="s">
        <v>118</v>
      </c>
      <c r="S1856" s="9">
        <f>50+10+11+5</f>
        <v>76</v>
      </c>
      <c r="T1856" s="9">
        <v>268</v>
      </c>
      <c r="U1856" s="9">
        <v>0</v>
      </c>
      <c r="V1856" s="9">
        <f t="shared" si="1359"/>
        <v>0</v>
      </c>
      <c r="W1856" s="7" t="s">
        <v>97</v>
      </c>
      <c r="X1856" s="2">
        <v>2016</v>
      </c>
      <c r="Y1856" s="2" t="s">
        <v>7793</v>
      </c>
    </row>
    <row r="1857" spans="1:25" s="20" customFormat="1" ht="89.25" customHeight="1" outlineLevel="1" x14ac:dyDescent="0.25">
      <c r="A1857" s="1"/>
      <c r="B1857" s="2" t="s">
        <v>8289</v>
      </c>
      <c r="C1857" s="3" t="s">
        <v>83</v>
      </c>
      <c r="D1857" s="3" t="s">
        <v>3316</v>
      </c>
      <c r="E1857" s="3" t="s">
        <v>2924</v>
      </c>
      <c r="F1857" s="3" t="s">
        <v>3317</v>
      </c>
      <c r="G1857" s="19" t="s">
        <v>3318</v>
      </c>
      <c r="H1857" s="2" t="s">
        <v>88</v>
      </c>
      <c r="I1857" s="4">
        <v>0</v>
      </c>
      <c r="J1857" s="5">
        <v>710000000</v>
      </c>
      <c r="K1857" s="5" t="s">
        <v>89</v>
      </c>
      <c r="L1857" s="2" t="s">
        <v>754</v>
      </c>
      <c r="M1857" s="6" t="s">
        <v>787</v>
      </c>
      <c r="N1857" s="7" t="s">
        <v>92</v>
      </c>
      <c r="O1857" s="7" t="s">
        <v>93</v>
      </c>
      <c r="P1857" s="3" t="s">
        <v>673</v>
      </c>
      <c r="Q1857" s="8">
        <v>796</v>
      </c>
      <c r="R1857" s="7" t="s">
        <v>118</v>
      </c>
      <c r="S1857" s="9">
        <f>50+10+11+5</f>
        <v>76</v>
      </c>
      <c r="T1857" s="9">
        <v>268</v>
      </c>
      <c r="U1857" s="9">
        <f t="shared" ref="U1857" si="1482">T1857*S1857</f>
        <v>20368</v>
      </c>
      <c r="V1857" s="9">
        <f t="shared" ref="V1857" si="1483">U1857*1.12</f>
        <v>22812.160000000003</v>
      </c>
      <c r="W1857" s="7"/>
      <c r="X1857" s="2">
        <v>2016</v>
      </c>
      <c r="Y1857" s="2"/>
    </row>
    <row r="1858" spans="1:25" s="20" customFormat="1" ht="89.25" customHeight="1" outlineLevel="1" x14ac:dyDescent="0.25">
      <c r="A1858" s="1"/>
      <c r="B1858" s="2" t="s">
        <v>6416</v>
      </c>
      <c r="C1858" s="3" t="s">
        <v>83</v>
      </c>
      <c r="D1858" s="3" t="s">
        <v>2923</v>
      </c>
      <c r="E1858" s="3" t="s">
        <v>2924</v>
      </c>
      <c r="F1858" s="3" t="s">
        <v>2925</v>
      </c>
      <c r="G1858" s="19" t="s">
        <v>3319</v>
      </c>
      <c r="H1858" s="2" t="s">
        <v>88</v>
      </c>
      <c r="I1858" s="4">
        <v>0.4</v>
      </c>
      <c r="J1858" s="5">
        <v>710000000</v>
      </c>
      <c r="K1858" s="5" t="s">
        <v>89</v>
      </c>
      <c r="L1858" s="2" t="s">
        <v>754</v>
      </c>
      <c r="M1858" s="6" t="s">
        <v>787</v>
      </c>
      <c r="N1858" s="7" t="s">
        <v>92</v>
      </c>
      <c r="O1858" s="7" t="s">
        <v>93</v>
      </c>
      <c r="P1858" s="3" t="s">
        <v>94</v>
      </c>
      <c r="Q1858" s="8">
        <v>796</v>
      </c>
      <c r="R1858" s="7" t="s">
        <v>118</v>
      </c>
      <c r="S1858" s="9">
        <f>12+8+200</f>
        <v>220</v>
      </c>
      <c r="T1858" s="9">
        <v>107</v>
      </c>
      <c r="U1858" s="9">
        <v>0</v>
      </c>
      <c r="V1858" s="9">
        <f t="shared" si="1359"/>
        <v>0</v>
      </c>
      <c r="W1858" s="7" t="s">
        <v>97</v>
      </c>
      <c r="X1858" s="2">
        <v>2016</v>
      </c>
      <c r="Y1858" s="2" t="s">
        <v>7793</v>
      </c>
    </row>
    <row r="1859" spans="1:25" s="20" customFormat="1" ht="89.25" customHeight="1" outlineLevel="1" x14ac:dyDescent="0.25">
      <c r="A1859" s="1"/>
      <c r="B1859" s="2" t="s">
        <v>8290</v>
      </c>
      <c r="C1859" s="3" t="s">
        <v>83</v>
      </c>
      <c r="D1859" s="3" t="s">
        <v>2923</v>
      </c>
      <c r="E1859" s="3" t="s">
        <v>2924</v>
      </c>
      <c r="F1859" s="3" t="s">
        <v>2925</v>
      </c>
      <c r="G1859" s="19" t="s">
        <v>3319</v>
      </c>
      <c r="H1859" s="2" t="s">
        <v>88</v>
      </c>
      <c r="I1859" s="4">
        <v>0</v>
      </c>
      <c r="J1859" s="5">
        <v>710000000</v>
      </c>
      <c r="K1859" s="5" t="s">
        <v>89</v>
      </c>
      <c r="L1859" s="2" t="s">
        <v>754</v>
      </c>
      <c r="M1859" s="6" t="s">
        <v>787</v>
      </c>
      <c r="N1859" s="7" t="s">
        <v>92</v>
      </c>
      <c r="O1859" s="7" t="s">
        <v>93</v>
      </c>
      <c r="P1859" s="3" t="s">
        <v>673</v>
      </c>
      <c r="Q1859" s="8">
        <v>796</v>
      </c>
      <c r="R1859" s="7" t="s">
        <v>118</v>
      </c>
      <c r="S1859" s="9">
        <f>12+8+200</f>
        <v>220</v>
      </c>
      <c r="T1859" s="9">
        <v>107</v>
      </c>
      <c r="U1859" s="9">
        <f t="shared" ref="U1859" si="1484">T1859*S1859</f>
        <v>23540</v>
      </c>
      <c r="V1859" s="9">
        <f t="shared" ref="V1859" si="1485">U1859*1.12</f>
        <v>26364.800000000003</v>
      </c>
      <c r="W1859" s="7"/>
      <c r="X1859" s="2">
        <v>2016</v>
      </c>
      <c r="Y1859" s="2"/>
    </row>
    <row r="1860" spans="1:25" s="11" customFormat="1" ht="89.25" customHeight="1" outlineLevel="1" x14ac:dyDescent="0.25">
      <c r="A1860" s="1"/>
      <c r="B1860" s="2" t="s">
        <v>6417</v>
      </c>
      <c r="C1860" s="3" t="s">
        <v>83</v>
      </c>
      <c r="D1860" s="3" t="s">
        <v>3320</v>
      </c>
      <c r="E1860" s="3" t="s">
        <v>2924</v>
      </c>
      <c r="F1860" s="3" t="s">
        <v>3321</v>
      </c>
      <c r="G1860" s="19"/>
      <c r="H1860" s="2" t="s">
        <v>88</v>
      </c>
      <c r="I1860" s="4">
        <v>0.4</v>
      </c>
      <c r="J1860" s="5">
        <v>710000000</v>
      </c>
      <c r="K1860" s="5" t="s">
        <v>89</v>
      </c>
      <c r="L1860" s="2" t="s">
        <v>754</v>
      </c>
      <c r="M1860" s="6" t="s">
        <v>787</v>
      </c>
      <c r="N1860" s="7" t="s">
        <v>92</v>
      </c>
      <c r="O1860" s="7" t="s">
        <v>93</v>
      </c>
      <c r="P1860" s="3" t="s">
        <v>94</v>
      </c>
      <c r="Q1860" s="8">
        <v>796</v>
      </c>
      <c r="R1860" s="7" t="s">
        <v>118</v>
      </c>
      <c r="S1860" s="9">
        <f>22+9+2</f>
        <v>33</v>
      </c>
      <c r="T1860" s="9">
        <v>348.21</v>
      </c>
      <c r="U1860" s="9">
        <v>0</v>
      </c>
      <c r="V1860" s="9">
        <f t="shared" si="1359"/>
        <v>0</v>
      </c>
      <c r="W1860" s="7" t="s">
        <v>97</v>
      </c>
      <c r="X1860" s="2">
        <v>2016</v>
      </c>
      <c r="Y1860" s="2" t="s">
        <v>7793</v>
      </c>
    </row>
    <row r="1861" spans="1:25" s="11" customFormat="1" ht="89.25" customHeight="1" outlineLevel="1" x14ac:dyDescent="0.25">
      <c r="A1861" s="1"/>
      <c r="B1861" s="2" t="s">
        <v>8291</v>
      </c>
      <c r="C1861" s="3" t="s">
        <v>83</v>
      </c>
      <c r="D1861" s="3" t="s">
        <v>3320</v>
      </c>
      <c r="E1861" s="3" t="s">
        <v>2924</v>
      </c>
      <c r="F1861" s="3" t="s">
        <v>3321</v>
      </c>
      <c r="G1861" s="19"/>
      <c r="H1861" s="2" t="s">
        <v>88</v>
      </c>
      <c r="I1861" s="4">
        <v>0</v>
      </c>
      <c r="J1861" s="5">
        <v>710000000</v>
      </c>
      <c r="K1861" s="5" t="s">
        <v>89</v>
      </c>
      <c r="L1861" s="2" t="s">
        <v>754</v>
      </c>
      <c r="M1861" s="6" t="s">
        <v>787</v>
      </c>
      <c r="N1861" s="7" t="s">
        <v>92</v>
      </c>
      <c r="O1861" s="7" t="s">
        <v>93</v>
      </c>
      <c r="P1861" s="3" t="s">
        <v>673</v>
      </c>
      <c r="Q1861" s="8">
        <v>796</v>
      </c>
      <c r="R1861" s="7" t="s">
        <v>118</v>
      </c>
      <c r="S1861" s="9">
        <f>22+9+2</f>
        <v>33</v>
      </c>
      <c r="T1861" s="9">
        <v>348.21</v>
      </c>
      <c r="U1861" s="9">
        <v>0</v>
      </c>
      <c r="V1861" s="9">
        <f t="shared" ref="V1861" si="1486">U1861*1.12</f>
        <v>0</v>
      </c>
      <c r="W1861" s="7"/>
      <c r="X1861" s="2">
        <v>2016</v>
      </c>
      <c r="Y1861" s="2" t="s">
        <v>9709</v>
      </c>
    </row>
    <row r="1862" spans="1:25" s="11" customFormat="1" ht="89.25" customHeight="1" outlineLevel="1" x14ac:dyDescent="0.25">
      <c r="A1862" s="1"/>
      <c r="B1862" s="2" t="s">
        <v>9726</v>
      </c>
      <c r="C1862" s="3" t="s">
        <v>83</v>
      </c>
      <c r="D1862" s="3" t="s">
        <v>3320</v>
      </c>
      <c r="E1862" s="3" t="s">
        <v>2924</v>
      </c>
      <c r="F1862" s="3" t="s">
        <v>3321</v>
      </c>
      <c r="G1862" s="19"/>
      <c r="H1862" s="2" t="s">
        <v>88</v>
      </c>
      <c r="I1862" s="4">
        <v>0</v>
      </c>
      <c r="J1862" s="5">
        <v>710000000</v>
      </c>
      <c r="K1862" s="5" t="s">
        <v>89</v>
      </c>
      <c r="L1862" s="6" t="s">
        <v>9737</v>
      </c>
      <c r="M1862" s="6" t="s">
        <v>9720</v>
      </c>
      <c r="N1862" s="7" t="s">
        <v>92</v>
      </c>
      <c r="O1862" s="7" t="s">
        <v>93</v>
      </c>
      <c r="P1862" s="3" t="s">
        <v>673</v>
      </c>
      <c r="Q1862" s="8">
        <v>796</v>
      </c>
      <c r="R1862" s="7" t="s">
        <v>118</v>
      </c>
      <c r="S1862" s="9">
        <f>22+9+2+10</f>
        <v>43</v>
      </c>
      <c r="T1862" s="9">
        <v>348.21</v>
      </c>
      <c r="U1862" s="9">
        <f t="shared" ref="U1862" si="1487">T1862*S1862</f>
        <v>14973.029999999999</v>
      </c>
      <c r="V1862" s="9">
        <f t="shared" ref="V1862" si="1488">U1862*1.12</f>
        <v>16769.793600000001</v>
      </c>
      <c r="W1862" s="7"/>
      <c r="X1862" s="2">
        <v>2016</v>
      </c>
      <c r="Y1862" s="2"/>
    </row>
    <row r="1863" spans="1:25" s="11" customFormat="1" ht="89.25" customHeight="1" outlineLevel="1" x14ac:dyDescent="0.25">
      <c r="A1863" s="1"/>
      <c r="B1863" s="2" t="s">
        <v>6418</v>
      </c>
      <c r="C1863" s="3" t="s">
        <v>83</v>
      </c>
      <c r="D1863" s="3" t="s">
        <v>3322</v>
      </c>
      <c r="E1863" s="3" t="s">
        <v>2924</v>
      </c>
      <c r="F1863" s="3" t="s">
        <v>3323</v>
      </c>
      <c r="G1863" s="19"/>
      <c r="H1863" s="2" t="s">
        <v>88</v>
      </c>
      <c r="I1863" s="4">
        <v>0.4</v>
      </c>
      <c r="J1863" s="5">
        <v>710000000</v>
      </c>
      <c r="K1863" s="5" t="s">
        <v>89</v>
      </c>
      <c r="L1863" s="2" t="s">
        <v>754</v>
      </c>
      <c r="M1863" s="6" t="s">
        <v>787</v>
      </c>
      <c r="N1863" s="7" t="s">
        <v>92</v>
      </c>
      <c r="O1863" s="7" t="s">
        <v>93</v>
      </c>
      <c r="P1863" s="3" t="s">
        <v>94</v>
      </c>
      <c r="Q1863" s="8" t="s">
        <v>3197</v>
      </c>
      <c r="R1863" s="7" t="s">
        <v>2412</v>
      </c>
      <c r="S1863" s="9">
        <f>18+14+4</f>
        <v>36</v>
      </c>
      <c r="T1863" s="9">
        <v>537</v>
      </c>
      <c r="U1863" s="9">
        <v>0</v>
      </c>
      <c r="V1863" s="9">
        <f t="shared" si="1359"/>
        <v>0</v>
      </c>
      <c r="W1863" s="7" t="s">
        <v>97</v>
      </c>
      <c r="X1863" s="2">
        <v>2016</v>
      </c>
      <c r="Y1863" s="2" t="s">
        <v>7793</v>
      </c>
    </row>
    <row r="1864" spans="1:25" s="11" customFormat="1" ht="89.25" customHeight="1" outlineLevel="1" x14ac:dyDescent="0.25">
      <c r="A1864" s="1"/>
      <c r="B1864" s="2" t="s">
        <v>8292</v>
      </c>
      <c r="C1864" s="3" t="s">
        <v>83</v>
      </c>
      <c r="D1864" s="3" t="s">
        <v>3322</v>
      </c>
      <c r="E1864" s="3" t="s">
        <v>2924</v>
      </c>
      <c r="F1864" s="3" t="s">
        <v>3323</v>
      </c>
      <c r="G1864" s="19"/>
      <c r="H1864" s="2" t="s">
        <v>88</v>
      </c>
      <c r="I1864" s="4">
        <v>0</v>
      </c>
      <c r="J1864" s="5">
        <v>710000000</v>
      </c>
      <c r="K1864" s="5" t="s">
        <v>89</v>
      </c>
      <c r="L1864" s="2" t="s">
        <v>754</v>
      </c>
      <c r="M1864" s="6" t="s">
        <v>787</v>
      </c>
      <c r="N1864" s="7" t="s">
        <v>92</v>
      </c>
      <c r="O1864" s="7" t="s">
        <v>93</v>
      </c>
      <c r="P1864" s="3" t="s">
        <v>673</v>
      </c>
      <c r="Q1864" s="8" t="s">
        <v>3197</v>
      </c>
      <c r="R1864" s="7" t="s">
        <v>2412</v>
      </c>
      <c r="S1864" s="9">
        <f>18+14+4</f>
        <v>36</v>
      </c>
      <c r="T1864" s="9">
        <v>537</v>
      </c>
      <c r="U1864" s="9">
        <v>0</v>
      </c>
      <c r="V1864" s="9">
        <f t="shared" ref="V1864" si="1489">U1864*1.12</f>
        <v>0</v>
      </c>
      <c r="W1864" s="7"/>
      <c r="X1864" s="2">
        <v>2016</v>
      </c>
      <c r="Y1864" s="2" t="s">
        <v>9709</v>
      </c>
    </row>
    <row r="1865" spans="1:25" s="11" customFormat="1" ht="89.25" customHeight="1" outlineLevel="1" x14ac:dyDescent="0.25">
      <c r="A1865" s="1"/>
      <c r="B1865" s="2" t="s">
        <v>9771</v>
      </c>
      <c r="C1865" s="3" t="s">
        <v>83</v>
      </c>
      <c r="D1865" s="3" t="s">
        <v>3322</v>
      </c>
      <c r="E1865" s="3" t="s">
        <v>2924</v>
      </c>
      <c r="F1865" s="3" t="s">
        <v>3323</v>
      </c>
      <c r="G1865" s="19"/>
      <c r="H1865" s="2" t="s">
        <v>88</v>
      </c>
      <c r="I1865" s="4">
        <v>0</v>
      </c>
      <c r="J1865" s="5">
        <v>710000000</v>
      </c>
      <c r="K1865" s="5" t="s">
        <v>89</v>
      </c>
      <c r="L1865" s="6" t="s">
        <v>9737</v>
      </c>
      <c r="M1865" s="6" t="s">
        <v>9720</v>
      </c>
      <c r="N1865" s="7" t="s">
        <v>92</v>
      </c>
      <c r="O1865" s="7" t="s">
        <v>93</v>
      </c>
      <c r="P1865" s="3" t="s">
        <v>673</v>
      </c>
      <c r="Q1865" s="8" t="s">
        <v>3197</v>
      </c>
      <c r="R1865" s="7" t="s">
        <v>2412</v>
      </c>
      <c r="S1865" s="9">
        <f>18+14+4+36</f>
        <v>72</v>
      </c>
      <c r="T1865" s="9">
        <v>537</v>
      </c>
      <c r="U1865" s="9">
        <f t="shared" ref="U1865" si="1490">T1865*S1865</f>
        <v>38664</v>
      </c>
      <c r="V1865" s="9">
        <f t="shared" ref="V1865" si="1491">U1865*1.12</f>
        <v>43303.680000000008</v>
      </c>
      <c r="W1865" s="7"/>
      <c r="X1865" s="2">
        <v>2016</v>
      </c>
      <c r="Y1865" s="2"/>
    </row>
    <row r="1866" spans="1:25" s="11" customFormat="1" ht="89.25" customHeight="1" outlineLevel="1" x14ac:dyDescent="0.25">
      <c r="A1866" s="1"/>
      <c r="B1866" s="2" t="s">
        <v>6419</v>
      </c>
      <c r="C1866" s="3" t="s">
        <v>83</v>
      </c>
      <c r="D1866" s="3" t="s">
        <v>3324</v>
      </c>
      <c r="E1866" s="3" t="s">
        <v>3325</v>
      </c>
      <c r="F1866" s="3" t="s">
        <v>3326</v>
      </c>
      <c r="G1866" s="19" t="s">
        <v>3327</v>
      </c>
      <c r="H1866" s="2" t="s">
        <v>88</v>
      </c>
      <c r="I1866" s="4">
        <v>0.4</v>
      </c>
      <c r="J1866" s="5">
        <v>710000000</v>
      </c>
      <c r="K1866" s="5" t="s">
        <v>89</v>
      </c>
      <c r="L1866" s="2" t="s">
        <v>754</v>
      </c>
      <c r="M1866" s="6" t="s">
        <v>787</v>
      </c>
      <c r="N1866" s="7" t="s">
        <v>92</v>
      </c>
      <c r="O1866" s="7" t="s">
        <v>93</v>
      </c>
      <c r="P1866" s="3" t="s">
        <v>94</v>
      </c>
      <c r="Q1866" s="8">
        <v>796</v>
      </c>
      <c r="R1866" s="7" t="s">
        <v>118</v>
      </c>
      <c r="S1866" s="9">
        <f>150+10+26+5+1+2+5</f>
        <v>199</v>
      </c>
      <c r="T1866" s="9">
        <v>612</v>
      </c>
      <c r="U1866" s="9">
        <v>0</v>
      </c>
      <c r="V1866" s="9">
        <f t="shared" si="1359"/>
        <v>0</v>
      </c>
      <c r="W1866" s="7" t="s">
        <v>97</v>
      </c>
      <c r="X1866" s="2">
        <v>2016</v>
      </c>
      <c r="Y1866" s="2" t="s">
        <v>7793</v>
      </c>
    </row>
    <row r="1867" spans="1:25" s="11" customFormat="1" ht="89.25" customHeight="1" outlineLevel="1" x14ac:dyDescent="0.25">
      <c r="A1867" s="1"/>
      <c r="B1867" s="2" t="s">
        <v>8293</v>
      </c>
      <c r="C1867" s="3" t="s">
        <v>83</v>
      </c>
      <c r="D1867" s="3" t="s">
        <v>3324</v>
      </c>
      <c r="E1867" s="3" t="s">
        <v>3325</v>
      </c>
      <c r="F1867" s="3" t="s">
        <v>3326</v>
      </c>
      <c r="G1867" s="19" t="s">
        <v>3327</v>
      </c>
      <c r="H1867" s="2" t="s">
        <v>88</v>
      </c>
      <c r="I1867" s="4">
        <v>0</v>
      </c>
      <c r="J1867" s="5">
        <v>710000000</v>
      </c>
      <c r="K1867" s="5" t="s">
        <v>89</v>
      </c>
      <c r="L1867" s="2" t="s">
        <v>754</v>
      </c>
      <c r="M1867" s="6" t="s">
        <v>787</v>
      </c>
      <c r="N1867" s="7" t="s">
        <v>92</v>
      </c>
      <c r="O1867" s="7" t="s">
        <v>93</v>
      </c>
      <c r="P1867" s="3" t="s">
        <v>673</v>
      </c>
      <c r="Q1867" s="8">
        <v>796</v>
      </c>
      <c r="R1867" s="7" t="s">
        <v>118</v>
      </c>
      <c r="S1867" s="9">
        <f>150+10+26+5+1+2+5</f>
        <v>199</v>
      </c>
      <c r="T1867" s="9">
        <v>612</v>
      </c>
      <c r="U1867" s="9">
        <f t="shared" ref="U1867" si="1492">T1867*S1867</f>
        <v>121788</v>
      </c>
      <c r="V1867" s="9">
        <f t="shared" ref="V1867" si="1493">U1867*1.12</f>
        <v>136402.56000000003</v>
      </c>
      <c r="W1867" s="7"/>
      <c r="X1867" s="2">
        <v>2016</v>
      </c>
      <c r="Y1867" s="2"/>
    </row>
    <row r="1868" spans="1:25" s="11" customFormat="1" ht="89.25" customHeight="1" outlineLevel="1" x14ac:dyDescent="0.25">
      <c r="A1868" s="1"/>
      <c r="B1868" s="2" t="s">
        <v>6420</v>
      </c>
      <c r="C1868" s="3" t="s">
        <v>83</v>
      </c>
      <c r="D1868" s="3" t="s">
        <v>3328</v>
      </c>
      <c r="E1868" s="3" t="s">
        <v>3325</v>
      </c>
      <c r="F1868" s="3" t="s">
        <v>3329</v>
      </c>
      <c r="G1868" s="19" t="s">
        <v>3330</v>
      </c>
      <c r="H1868" s="2" t="s">
        <v>88</v>
      </c>
      <c r="I1868" s="4">
        <v>0.4</v>
      </c>
      <c r="J1868" s="5">
        <v>710000000</v>
      </c>
      <c r="K1868" s="5" t="s">
        <v>89</v>
      </c>
      <c r="L1868" s="2" t="s">
        <v>754</v>
      </c>
      <c r="M1868" s="6" t="s">
        <v>787</v>
      </c>
      <c r="N1868" s="7" t="s">
        <v>92</v>
      </c>
      <c r="O1868" s="7" t="s">
        <v>93</v>
      </c>
      <c r="P1868" s="3" t="s">
        <v>94</v>
      </c>
      <c r="Q1868" s="8">
        <v>796</v>
      </c>
      <c r="R1868" s="7" t="s">
        <v>118</v>
      </c>
      <c r="S1868" s="9">
        <f>300+20+45+2+3</f>
        <v>370</v>
      </c>
      <c r="T1868" s="9">
        <v>537</v>
      </c>
      <c r="U1868" s="9">
        <v>0</v>
      </c>
      <c r="V1868" s="9">
        <f t="shared" si="1359"/>
        <v>0</v>
      </c>
      <c r="W1868" s="7" t="s">
        <v>97</v>
      </c>
      <c r="X1868" s="2">
        <v>2016</v>
      </c>
      <c r="Y1868" s="2" t="s">
        <v>7793</v>
      </c>
    </row>
    <row r="1869" spans="1:25" s="11" customFormat="1" ht="89.25" customHeight="1" outlineLevel="1" x14ac:dyDescent="0.25">
      <c r="A1869" s="1"/>
      <c r="B1869" s="2" t="s">
        <v>8294</v>
      </c>
      <c r="C1869" s="3" t="s">
        <v>83</v>
      </c>
      <c r="D1869" s="3" t="s">
        <v>3328</v>
      </c>
      <c r="E1869" s="3" t="s">
        <v>3325</v>
      </c>
      <c r="F1869" s="3" t="s">
        <v>3329</v>
      </c>
      <c r="G1869" s="19" t="s">
        <v>3330</v>
      </c>
      <c r="H1869" s="2" t="s">
        <v>88</v>
      </c>
      <c r="I1869" s="4">
        <v>0</v>
      </c>
      <c r="J1869" s="5">
        <v>710000000</v>
      </c>
      <c r="K1869" s="5" t="s">
        <v>89</v>
      </c>
      <c r="L1869" s="2" t="s">
        <v>754</v>
      </c>
      <c r="M1869" s="6" t="s">
        <v>787</v>
      </c>
      <c r="N1869" s="7" t="s">
        <v>92</v>
      </c>
      <c r="O1869" s="7" t="s">
        <v>93</v>
      </c>
      <c r="P1869" s="3" t="s">
        <v>673</v>
      </c>
      <c r="Q1869" s="8">
        <v>796</v>
      </c>
      <c r="R1869" s="7" t="s">
        <v>118</v>
      </c>
      <c r="S1869" s="9">
        <f>300+20+45+2+3</f>
        <v>370</v>
      </c>
      <c r="T1869" s="9">
        <v>537</v>
      </c>
      <c r="U1869" s="9">
        <f t="shared" ref="U1869" si="1494">T1869*S1869</f>
        <v>198690</v>
      </c>
      <c r="V1869" s="9">
        <f t="shared" ref="V1869" si="1495">U1869*1.12</f>
        <v>222532.80000000002</v>
      </c>
      <c r="W1869" s="7"/>
      <c r="X1869" s="2">
        <v>2016</v>
      </c>
      <c r="Y1869" s="2"/>
    </row>
    <row r="1870" spans="1:25" s="11" customFormat="1" ht="89.25" customHeight="1" outlineLevel="1" x14ac:dyDescent="0.25">
      <c r="A1870" s="1"/>
      <c r="B1870" s="2" t="s">
        <v>6421</v>
      </c>
      <c r="C1870" s="3" t="s">
        <v>83</v>
      </c>
      <c r="D1870" s="3" t="s">
        <v>3331</v>
      </c>
      <c r="E1870" s="3" t="s">
        <v>2569</v>
      </c>
      <c r="F1870" s="3" t="s">
        <v>3332</v>
      </c>
      <c r="G1870" s="19" t="s">
        <v>3333</v>
      </c>
      <c r="H1870" s="2" t="s">
        <v>88</v>
      </c>
      <c r="I1870" s="4">
        <v>0.4</v>
      </c>
      <c r="J1870" s="5">
        <v>710000000</v>
      </c>
      <c r="K1870" s="5" t="s">
        <v>89</v>
      </c>
      <c r="L1870" s="2" t="s">
        <v>754</v>
      </c>
      <c r="M1870" s="6" t="s">
        <v>787</v>
      </c>
      <c r="N1870" s="7" t="s">
        <v>92</v>
      </c>
      <c r="O1870" s="7" t="s">
        <v>93</v>
      </c>
      <c r="P1870" s="3" t="s">
        <v>94</v>
      </c>
      <c r="Q1870" s="8" t="s">
        <v>228</v>
      </c>
      <c r="R1870" s="7" t="s">
        <v>229</v>
      </c>
      <c r="S1870" s="9">
        <f>15+1+15+0.5+1</f>
        <v>32.5</v>
      </c>
      <c r="T1870" s="9">
        <v>19196</v>
      </c>
      <c r="U1870" s="9">
        <v>0</v>
      </c>
      <c r="V1870" s="9">
        <f t="shared" si="1359"/>
        <v>0</v>
      </c>
      <c r="W1870" s="7" t="s">
        <v>97</v>
      </c>
      <c r="X1870" s="2">
        <v>2016</v>
      </c>
      <c r="Y1870" s="2" t="s">
        <v>7793</v>
      </c>
    </row>
    <row r="1871" spans="1:25" s="11" customFormat="1" ht="89.25" customHeight="1" outlineLevel="1" x14ac:dyDescent="0.25">
      <c r="A1871" s="1"/>
      <c r="B1871" s="2" t="s">
        <v>8295</v>
      </c>
      <c r="C1871" s="3" t="s">
        <v>83</v>
      </c>
      <c r="D1871" s="3" t="s">
        <v>3331</v>
      </c>
      <c r="E1871" s="3" t="s">
        <v>2569</v>
      </c>
      <c r="F1871" s="3" t="s">
        <v>3332</v>
      </c>
      <c r="G1871" s="19" t="s">
        <v>3333</v>
      </c>
      <c r="H1871" s="2" t="s">
        <v>88</v>
      </c>
      <c r="I1871" s="4">
        <v>0</v>
      </c>
      <c r="J1871" s="5">
        <v>710000000</v>
      </c>
      <c r="K1871" s="5" t="s">
        <v>89</v>
      </c>
      <c r="L1871" s="2" t="s">
        <v>754</v>
      </c>
      <c r="M1871" s="6" t="s">
        <v>787</v>
      </c>
      <c r="N1871" s="7" t="s">
        <v>92</v>
      </c>
      <c r="O1871" s="7" t="s">
        <v>93</v>
      </c>
      <c r="P1871" s="3" t="s">
        <v>673</v>
      </c>
      <c r="Q1871" s="8" t="s">
        <v>228</v>
      </c>
      <c r="R1871" s="7" t="s">
        <v>229</v>
      </c>
      <c r="S1871" s="9">
        <f>15+1+15+0.5+1</f>
        <v>32.5</v>
      </c>
      <c r="T1871" s="9">
        <v>19196</v>
      </c>
      <c r="U1871" s="9">
        <f t="shared" ref="U1871" si="1496">T1871*S1871</f>
        <v>623870</v>
      </c>
      <c r="V1871" s="9">
        <f t="shared" ref="V1871" si="1497">U1871*1.12</f>
        <v>698734.4</v>
      </c>
      <c r="W1871" s="7"/>
      <c r="X1871" s="2">
        <v>2016</v>
      </c>
      <c r="Y1871" s="2"/>
    </row>
    <row r="1872" spans="1:25" s="11" customFormat="1" ht="89.25" customHeight="1" outlineLevel="1" x14ac:dyDescent="0.25">
      <c r="A1872" s="1"/>
      <c r="B1872" s="2" t="s">
        <v>6422</v>
      </c>
      <c r="C1872" s="3" t="s">
        <v>83</v>
      </c>
      <c r="D1872" s="3" t="s">
        <v>3334</v>
      </c>
      <c r="E1872" s="3" t="s">
        <v>3335</v>
      </c>
      <c r="F1872" s="3" t="s">
        <v>3336</v>
      </c>
      <c r="G1872" s="19" t="s">
        <v>3337</v>
      </c>
      <c r="H1872" s="2" t="s">
        <v>88</v>
      </c>
      <c r="I1872" s="4">
        <v>0.4</v>
      </c>
      <c r="J1872" s="5">
        <v>710000000</v>
      </c>
      <c r="K1872" s="5" t="s">
        <v>89</v>
      </c>
      <c r="L1872" s="2" t="s">
        <v>754</v>
      </c>
      <c r="M1872" s="6" t="s">
        <v>787</v>
      </c>
      <c r="N1872" s="7" t="s">
        <v>92</v>
      </c>
      <c r="O1872" s="7" t="s">
        <v>93</v>
      </c>
      <c r="P1872" s="3" t="s">
        <v>94</v>
      </c>
      <c r="Q1872" s="8" t="s">
        <v>3085</v>
      </c>
      <c r="R1872" s="7" t="s">
        <v>3086</v>
      </c>
      <c r="S1872" s="9">
        <f>10+5+2+1+1</f>
        <v>19</v>
      </c>
      <c r="T1872" s="9">
        <v>1088</v>
      </c>
      <c r="U1872" s="9">
        <v>0</v>
      </c>
      <c r="V1872" s="9">
        <f t="shared" si="1359"/>
        <v>0</v>
      </c>
      <c r="W1872" s="7" t="s">
        <v>97</v>
      </c>
      <c r="X1872" s="2">
        <v>2016</v>
      </c>
      <c r="Y1872" s="2" t="s">
        <v>7793</v>
      </c>
    </row>
    <row r="1873" spans="1:25" s="11" customFormat="1" ht="89.25" customHeight="1" outlineLevel="1" x14ac:dyDescent="0.25">
      <c r="A1873" s="1"/>
      <c r="B1873" s="2" t="s">
        <v>8296</v>
      </c>
      <c r="C1873" s="3" t="s">
        <v>83</v>
      </c>
      <c r="D1873" s="3" t="s">
        <v>3334</v>
      </c>
      <c r="E1873" s="3" t="s">
        <v>3335</v>
      </c>
      <c r="F1873" s="3" t="s">
        <v>3336</v>
      </c>
      <c r="G1873" s="19" t="s">
        <v>3337</v>
      </c>
      <c r="H1873" s="2" t="s">
        <v>88</v>
      </c>
      <c r="I1873" s="4">
        <v>0</v>
      </c>
      <c r="J1873" s="5">
        <v>710000000</v>
      </c>
      <c r="K1873" s="5" t="s">
        <v>89</v>
      </c>
      <c r="L1873" s="2" t="s">
        <v>754</v>
      </c>
      <c r="M1873" s="6" t="s">
        <v>787</v>
      </c>
      <c r="N1873" s="7" t="s">
        <v>92</v>
      </c>
      <c r="O1873" s="7" t="s">
        <v>93</v>
      </c>
      <c r="P1873" s="3" t="s">
        <v>673</v>
      </c>
      <c r="Q1873" s="8" t="s">
        <v>3085</v>
      </c>
      <c r="R1873" s="7" t="s">
        <v>3086</v>
      </c>
      <c r="S1873" s="9">
        <f>10+5+2+1+1</f>
        <v>19</v>
      </c>
      <c r="T1873" s="9">
        <v>1088</v>
      </c>
      <c r="U1873" s="9">
        <f t="shared" ref="U1873" si="1498">T1873*S1873</f>
        <v>20672</v>
      </c>
      <c r="V1873" s="9">
        <f t="shared" ref="V1873" si="1499">U1873*1.12</f>
        <v>23152.640000000003</v>
      </c>
      <c r="W1873" s="7"/>
      <c r="X1873" s="2">
        <v>2016</v>
      </c>
      <c r="Y1873" s="2"/>
    </row>
    <row r="1874" spans="1:25" s="11" customFormat="1" ht="89.25" customHeight="1" outlineLevel="1" x14ac:dyDescent="0.25">
      <c r="A1874" s="1"/>
      <c r="B1874" s="2" t="s">
        <v>6423</v>
      </c>
      <c r="C1874" s="3" t="s">
        <v>83</v>
      </c>
      <c r="D1874" s="3" t="s">
        <v>3334</v>
      </c>
      <c r="E1874" s="3" t="s">
        <v>3335</v>
      </c>
      <c r="F1874" s="3" t="s">
        <v>3336</v>
      </c>
      <c r="G1874" s="19" t="s">
        <v>3338</v>
      </c>
      <c r="H1874" s="2" t="s">
        <v>88</v>
      </c>
      <c r="I1874" s="4">
        <v>0.4</v>
      </c>
      <c r="J1874" s="5">
        <v>710000000</v>
      </c>
      <c r="K1874" s="5" t="s">
        <v>89</v>
      </c>
      <c r="L1874" s="2" t="s">
        <v>754</v>
      </c>
      <c r="M1874" s="6" t="s">
        <v>787</v>
      </c>
      <c r="N1874" s="7" t="s">
        <v>92</v>
      </c>
      <c r="O1874" s="7" t="s">
        <v>93</v>
      </c>
      <c r="P1874" s="3" t="s">
        <v>94</v>
      </c>
      <c r="Q1874" s="8" t="s">
        <v>3085</v>
      </c>
      <c r="R1874" s="7" t="s">
        <v>3086</v>
      </c>
      <c r="S1874" s="9">
        <v>7</v>
      </c>
      <c r="T1874" s="9">
        <v>1088</v>
      </c>
      <c r="U1874" s="9">
        <v>0</v>
      </c>
      <c r="V1874" s="9">
        <f t="shared" si="1359"/>
        <v>0</v>
      </c>
      <c r="W1874" s="7" t="s">
        <v>97</v>
      </c>
      <c r="X1874" s="2">
        <v>2016</v>
      </c>
      <c r="Y1874" s="2" t="s">
        <v>7793</v>
      </c>
    </row>
    <row r="1875" spans="1:25" s="11" customFormat="1" ht="89.25" customHeight="1" outlineLevel="1" x14ac:dyDescent="0.25">
      <c r="A1875" s="1"/>
      <c r="B1875" s="2" t="s">
        <v>8297</v>
      </c>
      <c r="C1875" s="3" t="s">
        <v>83</v>
      </c>
      <c r="D1875" s="3" t="s">
        <v>3334</v>
      </c>
      <c r="E1875" s="3" t="s">
        <v>3335</v>
      </c>
      <c r="F1875" s="3" t="s">
        <v>3336</v>
      </c>
      <c r="G1875" s="19" t="s">
        <v>3338</v>
      </c>
      <c r="H1875" s="2" t="s">
        <v>88</v>
      </c>
      <c r="I1875" s="4">
        <v>0</v>
      </c>
      <c r="J1875" s="5">
        <v>710000000</v>
      </c>
      <c r="K1875" s="5" t="s">
        <v>89</v>
      </c>
      <c r="L1875" s="2" t="s">
        <v>754</v>
      </c>
      <c r="M1875" s="6" t="s">
        <v>787</v>
      </c>
      <c r="N1875" s="7" t="s">
        <v>92</v>
      </c>
      <c r="O1875" s="7" t="s">
        <v>93</v>
      </c>
      <c r="P1875" s="3" t="s">
        <v>673</v>
      </c>
      <c r="Q1875" s="8" t="s">
        <v>3085</v>
      </c>
      <c r="R1875" s="7" t="s">
        <v>3086</v>
      </c>
      <c r="S1875" s="9">
        <v>7</v>
      </c>
      <c r="T1875" s="9">
        <v>1088</v>
      </c>
      <c r="U1875" s="9">
        <f t="shared" ref="U1875" si="1500">T1875*S1875</f>
        <v>7616</v>
      </c>
      <c r="V1875" s="9">
        <f t="shared" ref="V1875" si="1501">U1875*1.12</f>
        <v>8529.92</v>
      </c>
      <c r="W1875" s="7"/>
      <c r="X1875" s="2">
        <v>2016</v>
      </c>
      <c r="Y1875" s="2"/>
    </row>
    <row r="1876" spans="1:25" s="11" customFormat="1" ht="89.25" customHeight="1" outlineLevel="1" x14ac:dyDescent="0.25">
      <c r="A1876" s="1"/>
      <c r="B1876" s="2" t="s">
        <v>6424</v>
      </c>
      <c r="C1876" s="3" t="s">
        <v>83</v>
      </c>
      <c r="D1876" s="3" t="s">
        <v>3339</v>
      </c>
      <c r="E1876" s="3" t="s">
        <v>3340</v>
      </c>
      <c r="F1876" s="3" t="s">
        <v>3341</v>
      </c>
      <c r="G1876" s="19" t="s">
        <v>3342</v>
      </c>
      <c r="H1876" s="2" t="s">
        <v>88</v>
      </c>
      <c r="I1876" s="4">
        <v>0.4</v>
      </c>
      <c r="J1876" s="5">
        <v>710000000</v>
      </c>
      <c r="K1876" s="5" t="s">
        <v>89</v>
      </c>
      <c r="L1876" s="2" t="s">
        <v>754</v>
      </c>
      <c r="M1876" s="6" t="s">
        <v>787</v>
      </c>
      <c r="N1876" s="7" t="s">
        <v>92</v>
      </c>
      <c r="O1876" s="7" t="s">
        <v>93</v>
      </c>
      <c r="P1876" s="3" t="s">
        <v>94</v>
      </c>
      <c r="Q1876" s="8" t="s">
        <v>861</v>
      </c>
      <c r="R1876" s="7" t="s">
        <v>812</v>
      </c>
      <c r="S1876" s="9">
        <v>6</v>
      </c>
      <c r="T1876" s="9">
        <v>42321</v>
      </c>
      <c r="U1876" s="9">
        <v>0</v>
      </c>
      <c r="V1876" s="9">
        <f t="shared" si="1359"/>
        <v>0</v>
      </c>
      <c r="W1876" s="7" t="s">
        <v>97</v>
      </c>
      <c r="X1876" s="2">
        <v>2016</v>
      </c>
      <c r="Y1876" s="2" t="s">
        <v>7793</v>
      </c>
    </row>
    <row r="1877" spans="1:25" s="11" customFormat="1" ht="89.25" customHeight="1" outlineLevel="1" x14ac:dyDescent="0.25">
      <c r="A1877" s="1"/>
      <c r="B1877" s="2" t="s">
        <v>8298</v>
      </c>
      <c r="C1877" s="3" t="s">
        <v>83</v>
      </c>
      <c r="D1877" s="3" t="s">
        <v>3339</v>
      </c>
      <c r="E1877" s="3" t="s">
        <v>3340</v>
      </c>
      <c r="F1877" s="3" t="s">
        <v>3341</v>
      </c>
      <c r="G1877" s="19" t="s">
        <v>3342</v>
      </c>
      <c r="H1877" s="2" t="s">
        <v>88</v>
      </c>
      <c r="I1877" s="4">
        <v>0</v>
      </c>
      <c r="J1877" s="5">
        <v>710000000</v>
      </c>
      <c r="K1877" s="5" t="s">
        <v>89</v>
      </c>
      <c r="L1877" s="2" t="s">
        <v>754</v>
      </c>
      <c r="M1877" s="6" t="s">
        <v>787</v>
      </c>
      <c r="N1877" s="7" t="s">
        <v>92</v>
      </c>
      <c r="O1877" s="7" t="s">
        <v>93</v>
      </c>
      <c r="P1877" s="3" t="s">
        <v>673</v>
      </c>
      <c r="Q1877" s="8" t="s">
        <v>861</v>
      </c>
      <c r="R1877" s="7" t="s">
        <v>812</v>
      </c>
      <c r="S1877" s="9">
        <v>6</v>
      </c>
      <c r="T1877" s="9">
        <v>42321</v>
      </c>
      <c r="U1877" s="9">
        <f t="shared" ref="U1877" si="1502">T1877*S1877</f>
        <v>253926</v>
      </c>
      <c r="V1877" s="9">
        <f t="shared" ref="V1877" si="1503">U1877*1.12</f>
        <v>284397.12000000005</v>
      </c>
      <c r="W1877" s="7"/>
      <c r="X1877" s="2">
        <v>2016</v>
      </c>
      <c r="Y1877" s="2"/>
    </row>
    <row r="1878" spans="1:25" s="11" customFormat="1" ht="89.25" customHeight="1" outlineLevel="1" x14ac:dyDescent="0.25">
      <c r="A1878" s="1"/>
      <c r="B1878" s="2" t="s">
        <v>6425</v>
      </c>
      <c r="C1878" s="3" t="s">
        <v>83</v>
      </c>
      <c r="D1878" s="3" t="s">
        <v>3343</v>
      </c>
      <c r="E1878" s="3" t="s">
        <v>3344</v>
      </c>
      <c r="F1878" s="3" t="s">
        <v>3345</v>
      </c>
      <c r="G1878" s="19" t="s">
        <v>3346</v>
      </c>
      <c r="H1878" s="2" t="s">
        <v>88</v>
      </c>
      <c r="I1878" s="4">
        <v>0.4</v>
      </c>
      <c r="J1878" s="5">
        <v>710000000</v>
      </c>
      <c r="K1878" s="5" t="s">
        <v>89</v>
      </c>
      <c r="L1878" s="2" t="s">
        <v>754</v>
      </c>
      <c r="M1878" s="6" t="s">
        <v>787</v>
      </c>
      <c r="N1878" s="7" t="s">
        <v>92</v>
      </c>
      <c r="O1878" s="7" t="s">
        <v>93</v>
      </c>
      <c r="P1878" s="3" t="s">
        <v>94</v>
      </c>
      <c r="Q1878" s="8">
        <v>796</v>
      </c>
      <c r="R1878" s="7" t="s">
        <v>118</v>
      </c>
      <c r="S1878" s="9">
        <f>10+13+16+10</f>
        <v>49</v>
      </c>
      <c r="T1878" s="9">
        <v>223</v>
      </c>
      <c r="U1878" s="9">
        <v>0</v>
      </c>
      <c r="V1878" s="9">
        <f t="shared" si="1359"/>
        <v>0</v>
      </c>
      <c r="W1878" s="7" t="s">
        <v>97</v>
      </c>
      <c r="X1878" s="2">
        <v>2016</v>
      </c>
      <c r="Y1878" s="2" t="s">
        <v>7793</v>
      </c>
    </row>
    <row r="1879" spans="1:25" s="11" customFormat="1" ht="89.25" customHeight="1" outlineLevel="1" x14ac:dyDescent="0.25">
      <c r="A1879" s="1"/>
      <c r="B1879" s="2" t="s">
        <v>8299</v>
      </c>
      <c r="C1879" s="3" t="s">
        <v>83</v>
      </c>
      <c r="D1879" s="3" t="s">
        <v>3343</v>
      </c>
      <c r="E1879" s="3" t="s">
        <v>3344</v>
      </c>
      <c r="F1879" s="3" t="s">
        <v>3345</v>
      </c>
      <c r="G1879" s="19" t="s">
        <v>3346</v>
      </c>
      <c r="H1879" s="2" t="s">
        <v>88</v>
      </c>
      <c r="I1879" s="4">
        <v>0</v>
      </c>
      <c r="J1879" s="5">
        <v>710000000</v>
      </c>
      <c r="K1879" s="5" t="s">
        <v>89</v>
      </c>
      <c r="L1879" s="2" t="s">
        <v>754</v>
      </c>
      <c r="M1879" s="6" t="s">
        <v>787</v>
      </c>
      <c r="N1879" s="7" t="s">
        <v>92</v>
      </c>
      <c r="O1879" s="7" t="s">
        <v>93</v>
      </c>
      <c r="P1879" s="3" t="s">
        <v>673</v>
      </c>
      <c r="Q1879" s="8">
        <v>796</v>
      </c>
      <c r="R1879" s="7" t="s">
        <v>118</v>
      </c>
      <c r="S1879" s="9">
        <f>10+13+16+10</f>
        <v>49</v>
      </c>
      <c r="T1879" s="9">
        <v>223</v>
      </c>
      <c r="U1879" s="9">
        <f t="shared" ref="U1879" si="1504">T1879*S1879</f>
        <v>10927</v>
      </c>
      <c r="V1879" s="9">
        <f t="shared" ref="V1879" si="1505">U1879*1.12</f>
        <v>12238.240000000002</v>
      </c>
      <c r="W1879" s="7"/>
      <c r="X1879" s="2">
        <v>2016</v>
      </c>
      <c r="Y1879" s="2"/>
    </row>
    <row r="1880" spans="1:25" s="11" customFormat="1" ht="89.25" customHeight="1" outlineLevel="1" x14ac:dyDescent="0.25">
      <c r="A1880" s="1"/>
      <c r="B1880" s="2" t="s">
        <v>6426</v>
      </c>
      <c r="C1880" s="3" t="s">
        <v>83</v>
      </c>
      <c r="D1880" s="3" t="s">
        <v>3347</v>
      </c>
      <c r="E1880" s="3" t="s">
        <v>3348</v>
      </c>
      <c r="F1880" s="3" t="s">
        <v>3349</v>
      </c>
      <c r="G1880" s="19" t="s">
        <v>3350</v>
      </c>
      <c r="H1880" s="2" t="s">
        <v>88</v>
      </c>
      <c r="I1880" s="4">
        <v>0.4</v>
      </c>
      <c r="J1880" s="5">
        <v>710000000</v>
      </c>
      <c r="K1880" s="5" t="s">
        <v>89</v>
      </c>
      <c r="L1880" s="2" t="s">
        <v>754</v>
      </c>
      <c r="M1880" s="6" t="s">
        <v>787</v>
      </c>
      <c r="N1880" s="7" t="s">
        <v>92</v>
      </c>
      <c r="O1880" s="7" t="s">
        <v>93</v>
      </c>
      <c r="P1880" s="3" t="s">
        <v>94</v>
      </c>
      <c r="Q1880" s="8">
        <v>796</v>
      </c>
      <c r="R1880" s="7" t="s">
        <v>118</v>
      </c>
      <c r="S1880" s="9">
        <f>50+10+43+6</f>
        <v>109</v>
      </c>
      <c r="T1880" s="9">
        <v>1071</v>
      </c>
      <c r="U1880" s="9">
        <v>0</v>
      </c>
      <c r="V1880" s="9">
        <f t="shared" si="1359"/>
        <v>0</v>
      </c>
      <c r="W1880" s="7" t="s">
        <v>97</v>
      </c>
      <c r="X1880" s="2">
        <v>2016</v>
      </c>
      <c r="Y1880" s="2" t="s">
        <v>7793</v>
      </c>
    </row>
    <row r="1881" spans="1:25" s="11" customFormat="1" ht="89.25" customHeight="1" outlineLevel="1" x14ac:dyDescent="0.25">
      <c r="A1881" s="1"/>
      <c r="B1881" s="2" t="s">
        <v>8300</v>
      </c>
      <c r="C1881" s="3" t="s">
        <v>83</v>
      </c>
      <c r="D1881" s="3" t="s">
        <v>3347</v>
      </c>
      <c r="E1881" s="3" t="s">
        <v>3348</v>
      </c>
      <c r="F1881" s="3" t="s">
        <v>3349</v>
      </c>
      <c r="G1881" s="19" t="s">
        <v>3350</v>
      </c>
      <c r="H1881" s="2" t="s">
        <v>88</v>
      </c>
      <c r="I1881" s="4">
        <v>0</v>
      </c>
      <c r="J1881" s="5">
        <v>710000000</v>
      </c>
      <c r="K1881" s="5" t="s">
        <v>89</v>
      </c>
      <c r="L1881" s="2" t="s">
        <v>754</v>
      </c>
      <c r="M1881" s="6" t="s">
        <v>787</v>
      </c>
      <c r="N1881" s="7" t="s">
        <v>92</v>
      </c>
      <c r="O1881" s="7" t="s">
        <v>93</v>
      </c>
      <c r="P1881" s="3" t="s">
        <v>673</v>
      </c>
      <c r="Q1881" s="8">
        <v>796</v>
      </c>
      <c r="R1881" s="7" t="s">
        <v>118</v>
      </c>
      <c r="S1881" s="9">
        <f>50+10+43+6</f>
        <v>109</v>
      </c>
      <c r="T1881" s="9">
        <v>1071</v>
      </c>
      <c r="U1881" s="9">
        <v>0</v>
      </c>
      <c r="V1881" s="9">
        <f t="shared" ref="V1881" si="1506">U1881*1.12</f>
        <v>0</v>
      </c>
      <c r="W1881" s="7"/>
      <c r="X1881" s="2">
        <v>2016</v>
      </c>
      <c r="Y1881" s="2" t="s">
        <v>9709</v>
      </c>
    </row>
    <row r="1882" spans="1:25" s="11" customFormat="1" ht="89.25" customHeight="1" outlineLevel="1" x14ac:dyDescent="0.25">
      <c r="A1882" s="1"/>
      <c r="B1882" s="2" t="s">
        <v>9727</v>
      </c>
      <c r="C1882" s="3" t="s">
        <v>83</v>
      </c>
      <c r="D1882" s="3" t="s">
        <v>3347</v>
      </c>
      <c r="E1882" s="3" t="s">
        <v>3348</v>
      </c>
      <c r="F1882" s="3" t="s">
        <v>3349</v>
      </c>
      <c r="G1882" s="19" t="s">
        <v>3350</v>
      </c>
      <c r="H1882" s="2" t="s">
        <v>88</v>
      </c>
      <c r="I1882" s="4">
        <v>0</v>
      </c>
      <c r="J1882" s="5">
        <v>710000000</v>
      </c>
      <c r="K1882" s="5" t="s">
        <v>89</v>
      </c>
      <c r="L1882" s="6" t="s">
        <v>9737</v>
      </c>
      <c r="M1882" s="6" t="s">
        <v>9720</v>
      </c>
      <c r="N1882" s="7" t="s">
        <v>92</v>
      </c>
      <c r="O1882" s="7" t="s">
        <v>93</v>
      </c>
      <c r="P1882" s="3" t="s">
        <v>673</v>
      </c>
      <c r="Q1882" s="8">
        <v>796</v>
      </c>
      <c r="R1882" s="7" t="s">
        <v>118</v>
      </c>
      <c r="S1882" s="9">
        <f>50+10+43+6+40</f>
        <v>149</v>
      </c>
      <c r="T1882" s="9">
        <v>1071</v>
      </c>
      <c r="U1882" s="9">
        <f t="shared" ref="U1882" si="1507">T1882*S1882</f>
        <v>159579</v>
      </c>
      <c r="V1882" s="9">
        <f t="shared" ref="V1882" si="1508">U1882*1.12</f>
        <v>178728.48</v>
      </c>
      <c r="W1882" s="7"/>
      <c r="X1882" s="2">
        <v>2016</v>
      </c>
      <c r="Y1882" s="2"/>
    </row>
    <row r="1883" spans="1:25" s="11" customFormat="1" ht="89.25" customHeight="1" outlineLevel="1" x14ac:dyDescent="0.25">
      <c r="A1883" s="1"/>
      <c r="B1883" s="2" t="s">
        <v>6427</v>
      </c>
      <c r="C1883" s="3" t="s">
        <v>83</v>
      </c>
      <c r="D1883" s="3" t="s">
        <v>3351</v>
      </c>
      <c r="E1883" s="3" t="s">
        <v>3352</v>
      </c>
      <c r="F1883" s="3" t="s">
        <v>3353</v>
      </c>
      <c r="G1883" s="19" t="s">
        <v>3354</v>
      </c>
      <c r="H1883" s="2" t="s">
        <v>88</v>
      </c>
      <c r="I1883" s="4">
        <v>0.4</v>
      </c>
      <c r="J1883" s="5">
        <v>710000000</v>
      </c>
      <c r="K1883" s="3" t="s">
        <v>89</v>
      </c>
      <c r="L1883" s="2" t="s">
        <v>754</v>
      </c>
      <c r="M1883" s="3" t="s">
        <v>787</v>
      </c>
      <c r="N1883" s="7" t="s">
        <v>92</v>
      </c>
      <c r="O1883" s="7" t="s">
        <v>93</v>
      </c>
      <c r="P1883" s="3" t="s">
        <v>94</v>
      </c>
      <c r="Q1883" s="8">
        <v>796</v>
      </c>
      <c r="R1883" s="7" t="s">
        <v>118</v>
      </c>
      <c r="S1883" s="9">
        <f>500+50</f>
        <v>550</v>
      </c>
      <c r="T1883" s="9">
        <v>45</v>
      </c>
      <c r="U1883" s="9">
        <v>0</v>
      </c>
      <c r="V1883" s="9">
        <f t="shared" si="1359"/>
        <v>0</v>
      </c>
      <c r="W1883" s="7" t="s">
        <v>97</v>
      </c>
      <c r="X1883" s="2">
        <v>2016</v>
      </c>
      <c r="Y1883" s="3" t="s">
        <v>7793</v>
      </c>
    </row>
    <row r="1884" spans="1:25" s="11" customFormat="1" ht="89.25" customHeight="1" outlineLevel="1" x14ac:dyDescent="0.25">
      <c r="A1884" s="1"/>
      <c r="B1884" s="2" t="s">
        <v>8301</v>
      </c>
      <c r="C1884" s="3" t="s">
        <v>83</v>
      </c>
      <c r="D1884" s="3" t="s">
        <v>3351</v>
      </c>
      <c r="E1884" s="3" t="s">
        <v>3352</v>
      </c>
      <c r="F1884" s="3" t="s">
        <v>3353</v>
      </c>
      <c r="G1884" s="19" t="s">
        <v>3354</v>
      </c>
      <c r="H1884" s="2" t="s">
        <v>88</v>
      </c>
      <c r="I1884" s="4">
        <v>0</v>
      </c>
      <c r="J1884" s="5">
        <v>710000000</v>
      </c>
      <c r="K1884" s="3" t="s">
        <v>89</v>
      </c>
      <c r="L1884" s="2" t="s">
        <v>754</v>
      </c>
      <c r="M1884" s="3" t="s">
        <v>787</v>
      </c>
      <c r="N1884" s="7" t="s">
        <v>92</v>
      </c>
      <c r="O1884" s="7" t="s">
        <v>93</v>
      </c>
      <c r="P1884" s="3" t="s">
        <v>673</v>
      </c>
      <c r="Q1884" s="8">
        <v>796</v>
      </c>
      <c r="R1884" s="7" t="s">
        <v>118</v>
      </c>
      <c r="S1884" s="9">
        <f>500+50</f>
        <v>550</v>
      </c>
      <c r="T1884" s="9">
        <v>45</v>
      </c>
      <c r="U1884" s="9">
        <v>0</v>
      </c>
      <c r="V1884" s="9">
        <f t="shared" ref="V1884" si="1509">U1884*1.12</f>
        <v>0</v>
      </c>
      <c r="W1884" s="7"/>
      <c r="X1884" s="2">
        <v>2016</v>
      </c>
      <c r="Y1884" s="2" t="s">
        <v>9709</v>
      </c>
    </row>
    <row r="1885" spans="1:25" s="11" customFormat="1" ht="89.25" customHeight="1" outlineLevel="1" x14ac:dyDescent="0.25">
      <c r="A1885" s="1"/>
      <c r="B1885" s="2" t="s">
        <v>9728</v>
      </c>
      <c r="C1885" s="3" t="s">
        <v>83</v>
      </c>
      <c r="D1885" s="3" t="s">
        <v>3351</v>
      </c>
      <c r="E1885" s="3" t="s">
        <v>3352</v>
      </c>
      <c r="F1885" s="3" t="s">
        <v>3353</v>
      </c>
      <c r="G1885" s="19" t="s">
        <v>3354</v>
      </c>
      <c r="H1885" s="2" t="s">
        <v>88</v>
      </c>
      <c r="I1885" s="4">
        <v>0</v>
      </c>
      <c r="J1885" s="5">
        <v>710000000</v>
      </c>
      <c r="K1885" s="3" t="s">
        <v>89</v>
      </c>
      <c r="L1885" s="6" t="s">
        <v>9737</v>
      </c>
      <c r="M1885" s="6" t="s">
        <v>9720</v>
      </c>
      <c r="N1885" s="7" t="s">
        <v>92</v>
      </c>
      <c r="O1885" s="7" t="s">
        <v>93</v>
      </c>
      <c r="P1885" s="3" t="s">
        <v>673</v>
      </c>
      <c r="Q1885" s="8">
        <v>796</v>
      </c>
      <c r="R1885" s="7" t="s">
        <v>118</v>
      </c>
      <c r="S1885" s="9">
        <f>500+50+300+100</f>
        <v>950</v>
      </c>
      <c r="T1885" s="9">
        <v>45</v>
      </c>
      <c r="U1885" s="9">
        <f t="shared" ref="U1885" si="1510">T1885*S1885</f>
        <v>42750</v>
      </c>
      <c r="V1885" s="9">
        <f t="shared" ref="V1885" si="1511">U1885*1.12</f>
        <v>47880.000000000007</v>
      </c>
      <c r="W1885" s="7"/>
      <c r="X1885" s="2">
        <v>2016</v>
      </c>
      <c r="Y1885" s="3"/>
    </row>
    <row r="1886" spans="1:25" s="11" customFormat="1" ht="89.25" customHeight="1" outlineLevel="1" x14ac:dyDescent="0.25">
      <c r="A1886" s="1"/>
      <c r="B1886" s="2" t="s">
        <v>6428</v>
      </c>
      <c r="C1886" s="3" t="s">
        <v>83</v>
      </c>
      <c r="D1886" s="3" t="s">
        <v>3355</v>
      </c>
      <c r="E1886" s="3" t="s">
        <v>3356</v>
      </c>
      <c r="F1886" s="3" t="s">
        <v>3357</v>
      </c>
      <c r="G1886" s="19" t="s">
        <v>3358</v>
      </c>
      <c r="H1886" s="2" t="s">
        <v>88</v>
      </c>
      <c r="I1886" s="4">
        <v>0.4</v>
      </c>
      <c r="J1886" s="5">
        <v>710000000</v>
      </c>
      <c r="K1886" s="5" t="s">
        <v>89</v>
      </c>
      <c r="L1886" s="2" t="s">
        <v>754</v>
      </c>
      <c r="M1886" s="6" t="s">
        <v>787</v>
      </c>
      <c r="N1886" s="7" t="s">
        <v>92</v>
      </c>
      <c r="O1886" s="7" t="s">
        <v>93</v>
      </c>
      <c r="P1886" s="3" t="s">
        <v>94</v>
      </c>
      <c r="Q1886" s="31">
        <v>796</v>
      </c>
      <c r="R1886" s="5" t="s">
        <v>118</v>
      </c>
      <c r="S1886" s="9">
        <f>10+31+10</f>
        <v>51</v>
      </c>
      <c r="T1886" s="9">
        <v>1339</v>
      </c>
      <c r="U1886" s="9">
        <v>0</v>
      </c>
      <c r="V1886" s="9">
        <f t="shared" si="1359"/>
        <v>0</v>
      </c>
      <c r="W1886" s="7" t="s">
        <v>97</v>
      </c>
      <c r="X1886" s="2">
        <v>2016</v>
      </c>
      <c r="Y1886" s="2" t="s">
        <v>7793</v>
      </c>
    </row>
    <row r="1887" spans="1:25" s="11" customFormat="1" ht="89.25" customHeight="1" outlineLevel="1" x14ac:dyDescent="0.25">
      <c r="A1887" s="1"/>
      <c r="B1887" s="2" t="s">
        <v>8302</v>
      </c>
      <c r="C1887" s="3" t="s">
        <v>83</v>
      </c>
      <c r="D1887" s="3" t="s">
        <v>3355</v>
      </c>
      <c r="E1887" s="3" t="s">
        <v>3356</v>
      </c>
      <c r="F1887" s="3" t="s">
        <v>3357</v>
      </c>
      <c r="G1887" s="19" t="s">
        <v>3358</v>
      </c>
      <c r="H1887" s="2" t="s">
        <v>88</v>
      </c>
      <c r="I1887" s="4">
        <v>0</v>
      </c>
      <c r="J1887" s="5">
        <v>710000000</v>
      </c>
      <c r="K1887" s="5" t="s">
        <v>89</v>
      </c>
      <c r="L1887" s="2" t="s">
        <v>754</v>
      </c>
      <c r="M1887" s="6" t="s">
        <v>787</v>
      </c>
      <c r="N1887" s="7" t="s">
        <v>92</v>
      </c>
      <c r="O1887" s="7" t="s">
        <v>93</v>
      </c>
      <c r="P1887" s="3" t="s">
        <v>673</v>
      </c>
      <c r="Q1887" s="31">
        <v>796</v>
      </c>
      <c r="R1887" s="5" t="s">
        <v>118</v>
      </c>
      <c r="S1887" s="9">
        <f>10+31+10</f>
        <v>51</v>
      </c>
      <c r="T1887" s="9">
        <v>1339</v>
      </c>
      <c r="U1887" s="9">
        <v>0</v>
      </c>
      <c r="V1887" s="9">
        <f t="shared" ref="V1887" si="1512">U1887*1.12</f>
        <v>0</v>
      </c>
      <c r="W1887" s="7"/>
      <c r="X1887" s="2">
        <v>2016</v>
      </c>
      <c r="Y1887" s="2" t="s">
        <v>9709</v>
      </c>
    </row>
    <row r="1888" spans="1:25" s="11" customFormat="1" ht="89.25" customHeight="1" outlineLevel="1" x14ac:dyDescent="0.25">
      <c r="A1888" s="1"/>
      <c r="B1888" s="2" t="s">
        <v>9729</v>
      </c>
      <c r="C1888" s="3" t="s">
        <v>83</v>
      </c>
      <c r="D1888" s="3" t="s">
        <v>3355</v>
      </c>
      <c r="E1888" s="3" t="s">
        <v>3356</v>
      </c>
      <c r="F1888" s="3" t="s">
        <v>3357</v>
      </c>
      <c r="G1888" s="19" t="s">
        <v>3358</v>
      </c>
      <c r="H1888" s="2" t="s">
        <v>88</v>
      </c>
      <c r="I1888" s="4">
        <v>0</v>
      </c>
      <c r="J1888" s="5">
        <v>710000000</v>
      </c>
      <c r="K1888" s="5" t="s">
        <v>89</v>
      </c>
      <c r="L1888" s="6" t="s">
        <v>9737</v>
      </c>
      <c r="M1888" s="6" t="s">
        <v>9720</v>
      </c>
      <c r="N1888" s="7" t="s">
        <v>92</v>
      </c>
      <c r="O1888" s="7" t="s">
        <v>93</v>
      </c>
      <c r="P1888" s="3" t="s">
        <v>673</v>
      </c>
      <c r="Q1888" s="31">
        <v>796</v>
      </c>
      <c r="R1888" s="5" t="s">
        <v>118</v>
      </c>
      <c r="S1888" s="9">
        <f>10+31+10+20</f>
        <v>71</v>
      </c>
      <c r="T1888" s="9">
        <v>1339</v>
      </c>
      <c r="U1888" s="9">
        <f t="shared" ref="U1888" si="1513">T1888*S1888</f>
        <v>95069</v>
      </c>
      <c r="V1888" s="9">
        <f t="shared" ref="V1888" si="1514">U1888*1.12</f>
        <v>106477.28000000001</v>
      </c>
      <c r="W1888" s="7"/>
      <c r="X1888" s="2">
        <v>2016</v>
      </c>
      <c r="Y1888" s="2"/>
    </row>
    <row r="1889" spans="1:25" s="20" customFormat="1" ht="89.25" customHeight="1" outlineLevel="1" x14ac:dyDescent="0.25">
      <c r="A1889" s="1"/>
      <c r="B1889" s="2" t="s">
        <v>6429</v>
      </c>
      <c r="C1889" s="3" t="s">
        <v>83</v>
      </c>
      <c r="D1889" s="3" t="s">
        <v>3359</v>
      </c>
      <c r="E1889" s="3" t="s">
        <v>3360</v>
      </c>
      <c r="F1889" s="3" t="s">
        <v>3361</v>
      </c>
      <c r="G1889" s="19" t="s">
        <v>3362</v>
      </c>
      <c r="H1889" s="2" t="s">
        <v>88</v>
      </c>
      <c r="I1889" s="4">
        <v>0.4</v>
      </c>
      <c r="J1889" s="5">
        <v>710000000</v>
      </c>
      <c r="K1889" s="5" t="s">
        <v>89</v>
      </c>
      <c r="L1889" s="2" t="s">
        <v>754</v>
      </c>
      <c r="M1889" s="6" t="s">
        <v>787</v>
      </c>
      <c r="N1889" s="7" t="s">
        <v>92</v>
      </c>
      <c r="O1889" s="7" t="s">
        <v>93</v>
      </c>
      <c r="P1889" s="3" t="s">
        <v>94</v>
      </c>
      <c r="Q1889" s="8">
        <v>796</v>
      </c>
      <c r="R1889" s="7" t="s">
        <v>118</v>
      </c>
      <c r="S1889" s="9">
        <f>33+4</f>
        <v>37</v>
      </c>
      <c r="T1889" s="9">
        <v>1017.86</v>
      </c>
      <c r="U1889" s="9">
        <v>0</v>
      </c>
      <c r="V1889" s="9">
        <f t="shared" si="1359"/>
        <v>0</v>
      </c>
      <c r="W1889" s="7" t="s">
        <v>97</v>
      </c>
      <c r="X1889" s="2">
        <v>2016</v>
      </c>
      <c r="Y1889" s="2" t="s">
        <v>7793</v>
      </c>
    </row>
    <row r="1890" spans="1:25" s="20" customFormat="1" ht="89.25" customHeight="1" outlineLevel="1" x14ac:dyDescent="0.25">
      <c r="A1890" s="1"/>
      <c r="B1890" s="2" t="s">
        <v>8303</v>
      </c>
      <c r="C1890" s="3" t="s">
        <v>83</v>
      </c>
      <c r="D1890" s="3" t="s">
        <v>3359</v>
      </c>
      <c r="E1890" s="3" t="s">
        <v>3360</v>
      </c>
      <c r="F1890" s="3" t="s">
        <v>3361</v>
      </c>
      <c r="G1890" s="19" t="s">
        <v>3362</v>
      </c>
      <c r="H1890" s="2" t="s">
        <v>88</v>
      </c>
      <c r="I1890" s="4">
        <v>0</v>
      </c>
      <c r="J1890" s="5">
        <v>710000000</v>
      </c>
      <c r="K1890" s="5" t="s">
        <v>89</v>
      </c>
      <c r="L1890" s="2" t="s">
        <v>754</v>
      </c>
      <c r="M1890" s="6" t="s">
        <v>787</v>
      </c>
      <c r="N1890" s="7" t="s">
        <v>92</v>
      </c>
      <c r="O1890" s="7" t="s">
        <v>93</v>
      </c>
      <c r="P1890" s="3" t="s">
        <v>673</v>
      </c>
      <c r="Q1890" s="8">
        <v>796</v>
      </c>
      <c r="R1890" s="7" t="s">
        <v>118</v>
      </c>
      <c r="S1890" s="9">
        <f>33+4</f>
        <v>37</v>
      </c>
      <c r="T1890" s="9">
        <v>1017.86</v>
      </c>
      <c r="U1890" s="9">
        <v>0</v>
      </c>
      <c r="V1890" s="9">
        <f t="shared" ref="V1890" si="1515">U1890*1.12</f>
        <v>0</v>
      </c>
      <c r="W1890" s="7"/>
      <c r="X1890" s="2">
        <v>2016</v>
      </c>
      <c r="Y1890" s="2" t="s">
        <v>9709</v>
      </c>
    </row>
    <row r="1891" spans="1:25" s="20" customFormat="1" ht="89.25" customHeight="1" outlineLevel="1" x14ac:dyDescent="0.25">
      <c r="A1891" s="1"/>
      <c r="B1891" s="2" t="s">
        <v>8303</v>
      </c>
      <c r="C1891" s="3" t="s">
        <v>83</v>
      </c>
      <c r="D1891" s="3" t="s">
        <v>3359</v>
      </c>
      <c r="E1891" s="3" t="s">
        <v>3360</v>
      </c>
      <c r="F1891" s="3" t="s">
        <v>3361</v>
      </c>
      <c r="G1891" s="19" t="s">
        <v>3362</v>
      </c>
      <c r="H1891" s="2" t="s">
        <v>88</v>
      </c>
      <c r="I1891" s="4">
        <v>0</v>
      </c>
      <c r="J1891" s="5">
        <v>710000000</v>
      </c>
      <c r="K1891" s="5" t="s">
        <v>89</v>
      </c>
      <c r="L1891" s="6" t="s">
        <v>9737</v>
      </c>
      <c r="M1891" s="6" t="s">
        <v>9720</v>
      </c>
      <c r="N1891" s="7" t="s">
        <v>92</v>
      </c>
      <c r="O1891" s="7" t="s">
        <v>93</v>
      </c>
      <c r="P1891" s="3" t="s">
        <v>673</v>
      </c>
      <c r="Q1891" s="8">
        <v>796</v>
      </c>
      <c r="R1891" s="7" t="s">
        <v>118</v>
      </c>
      <c r="S1891" s="9">
        <f>33+4+10</f>
        <v>47</v>
      </c>
      <c r="T1891" s="9">
        <v>1017.86</v>
      </c>
      <c r="U1891" s="9">
        <f t="shared" ref="U1891" si="1516">T1891*S1891</f>
        <v>47839.42</v>
      </c>
      <c r="V1891" s="9">
        <f t="shared" ref="V1891" si="1517">U1891*1.12</f>
        <v>53580.150400000006</v>
      </c>
      <c r="W1891" s="7"/>
      <c r="X1891" s="2">
        <v>2016</v>
      </c>
      <c r="Y1891" s="2"/>
    </row>
    <row r="1892" spans="1:25" s="11" customFormat="1" ht="89.25" customHeight="1" outlineLevel="1" x14ac:dyDescent="0.25">
      <c r="A1892" s="1"/>
      <c r="B1892" s="2" t="s">
        <v>6430</v>
      </c>
      <c r="C1892" s="3" t="s">
        <v>83</v>
      </c>
      <c r="D1892" s="3" t="s">
        <v>3363</v>
      </c>
      <c r="E1892" s="3" t="s">
        <v>3364</v>
      </c>
      <c r="F1892" s="3" t="s">
        <v>3365</v>
      </c>
      <c r="G1892" s="19" t="s">
        <v>3366</v>
      </c>
      <c r="H1892" s="2" t="s">
        <v>88</v>
      </c>
      <c r="I1892" s="4">
        <v>0.4</v>
      </c>
      <c r="J1892" s="5">
        <v>710000000</v>
      </c>
      <c r="K1892" s="5" t="s">
        <v>89</v>
      </c>
      <c r="L1892" s="2" t="s">
        <v>754</v>
      </c>
      <c r="M1892" s="6" t="s">
        <v>787</v>
      </c>
      <c r="N1892" s="7" t="s">
        <v>92</v>
      </c>
      <c r="O1892" s="7" t="s">
        <v>93</v>
      </c>
      <c r="P1892" s="3" t="s">
        <v>94</v>
      </c>
      <c r="Q1892" s="8" t="s">
        <v>522</v>
      </c>
      <c r="R1892" s="7" t="s">
        <v>523</v>
      </c>
      <c r="S1892" s="9">
        <f>1+4+1</f>
        <v>6</v>
      </c>
      <c r="T1892" s="9">
        <v>13393</v>
      </c>
      <c r="U1892" s="9">
        <v>0</v>
      </c>
      <c r="V1892" s="9">
        <f t="shared" ref="V1892:V1955" si="1518">U1892*1.12</f>
        <v>0</v>
      </c>
      <c r="W1892" s="7" t="s">
        <v>97</v>
      </c>
      <c r="X1892" s="2">
        <v>2016</v>
      </c>
      <c r="Y1892" s="2" t="s">
        <v>7793</v>
      </c>
    </row>
    <row r="1893" spans="1:25" s="11" customFormat="1" ht="89.25" customHeight="1" outlineLevel="1" x14ac:dyDescent="0.25">
      <c r="A1893" s="1"/>
      <c r="B1893" s="2" t="s">
        <v>8304</v>
      </c>
      <c r="C1893" s="3" t="s">
        <v>83</v>
      </c>
      <c r="D1893" s="3" t="s">
        <v>3363</v>
      </c>
      <c r="E1893" s="3" t="s">
        <v>3364</v>
      </c>
      <c r="F1893" s="3" t="s">
        <v>3365</v>
      </c>
      <c r="G1893" s="19" t="s">
        <v>3366</v>
      </c>
      <c r="H1893" s="2" t="s">
        <v>88</v>
      </c>
      <c r="I1893" s="4">
        <v>0</v>
      </c>
      <c r="J1893" s="5">
        <v>710000000</v>
      </c>
      <c r="K1893" s="5" t="s">
        <v>89</v>
      </c>
      <c r="L1893" s="2" t="s">
        <v>754</v>
      </c>
      <c r="M1893" s="6" t="s">
        <v>787</v>
      </c>
      <c r="N1893" s="7" t="s">
        <v>92</v>
      </c>
      <c r="O1893" s="7" t="s">
        <v>93</v>
      </c>
      <c r="P1893" s="3" t="s">
        <v>673</v>
      </c>
      <c r="Q1893" s="8" t="s">
        <v>522</v>
      </c>
      <c r="R1893" s="7" t="s">
        <v>523</v>
      </c>
      <c r="S1893" s="9">
        <f>1+4+1</f>
        <v>6</v>
      </c>
      <c r="T1893" s="9">
        <v>13393</v>
      </c>
      <c r="U1893" s="9">
        <v>0</v>
      </c>
      <c r="V1893" s="9">
        <f t="shared" ref="V1893" si="1519">U1893*1.12</f>
        <v>0</v>
      </c>
      <c r="W1893" s="7"/>
      <c r="X1893" s="2">
        <v>2016</v>
      </c>
      <c r="Y1893" s="2" t="s">
        <v>9709</v>
      </c>
    </row>
    <row r="1894" spans="1:25" s="11" customFormat="1" ht="89.25" customHeight="1" outlineLevel="1" x14ac:dyDescent="0.25">
      <c r="A1894" s="1"/>
      <c r="B1894" s="2" t="s">
        <v>9730</v>
      </c>
      <c r="C1894" s="3" t="s">
        <v>83</v>
      </c>
      <c r="D1894" s="3" t="s">
        <v>3363</v>
      </c>
      <c r="E1894" s="3" t="s">
        <v>3364</v>
      </c>
      <c r="F1894" s="3" t="s">
        <v>3365</v>
      </c>
      <c r="G1894" s="19" t="s">
        <v>3366</v>
      </c>
      <c r="H1894" s="2" t="s">
        <v>88</v>
      </c>
      <c r="I1894" s="4">
        <v>0</v>
      </c>
      <c r="J1894" s="5">
        <v>710000000</v>
      </c>
      <c r="K1894" s="5" t="s">
        <v>89</v>
      </c>
      <c r="L1894" s="6" t="s">
        <v>9737</v>
      </c>
      <c r="M1894" s="6" t="s">
        <v>9720</v>
      </c>
      <c r="N1894" s="7" t="s">
        <v>92</v>
      </c>
      <c r="O1894" s="7" t="s">
        <v>93</v>
      </c>
      <c r="P1894" s="3" t="s">
        <v>673</v>
      </c>
      <c r="Q1894" s="8" t="s">
        <v>522</v>
      </c>
      <c r="R1894" s="7" t="s">
        <v>523</v>
      </c>
      <c r="S1894" s="9">
        <f>1+4+1+2</f>
        <v>8</v>
      </c>
      <c r="T1894" s="9">
        <v>13393</v>
      </c>
      <c r="U1894" s="9">
        <f t="shared" ref="U1894" si="1520">T1894*S1894</f>
        <v>107144</v>
      </c>
      <c r="V1894" s="9">
        <f t="shared" ref="V1894" si="1521">U1894*1.12</f>
        <v>120001.28000000001</v>
      </c>
      <c r="W1894" s="7"/>
      <c r="X1894" s="2">
        <v>2016</v>
      </c>
      <c r="Y1894" s="2"/>
    </row>
    <row r="1895" spans="1:25" s="11" customFormat="1" ht="89.25" customHeight="1" outlineLevel="1" x14ac:dyDescent="0.25">
      <c r="A1895" s="1"/>
      <c r="B1895" s="2" t="s">
        <v>6431</v>
      </c>
      <c r="C1895" s="3" t="s">
        <v>83</v>
      </c>
      <c r="D1895" s="3" t="s">
        <v>3367</v>
      </c>
      <c r="E1895" s="3" t="s">
        <v>3368</v>
      </c>
      <c r="F1895" s="3" t="s">
        <v>3369</v>
      </c>
      <c r="G1895" s="19" t="s">
        <v>3370</v>
      </c>
      <c r="H1895" s="2" t="s">
        <v>88</v>
      </c>
      <c r="I1895" s="4">
        <v>0.4</v>
      </c>
      <c r="J1895" s="5">
        <v>710000000</v>
      </c>
      <c r="K1895" s="3" t="s">
        <v>89</v>
      </c>
      <c r="L1895" s="2" t="s">
        <v>754</v>
      </c>
      <c r="M1895" s="3" t="s">
        <v>787</v>
      </c>
      <c r="N1895" s="7" t="s">
        <v>92</v>
      </c>
      <c r="O1895" s="7" t="s">
        <v>93</v>
      </c>
      <c r="P1895" s="3" t="s">
        <v>94</v>
      </c>
      <c r="Q1895" s="8">
        <v>796</v>
      </c>
      <c r="R1895" s="7" t="s">
        <v>118</v>
      </c>
      <c r="S1895" s="9">
        <f>16+10</f>
        <v>26</v>
      </c>
      <c r="T1895" s="9">
        <v>348</v>
      </c>
      <c r="U1895" s="9">
        <v>0</v>
      </c>
      <c r="V1895" s="9">
        <f t="shared" si="1518"/>
        <v>0</v>
      </c>
      <c r="W1895" s="7" t="s">
        <v>97</v>
      </c>
      <c r="X1895" s="2">
        <v>2016</v>
      </c>
      <c r="Y1895" s="3" t="s">
        <v>7793</v>
      </c>
    </row>
    <row r="1896" spans="1:25" s="11" customFormat="1" ht="89.25" customHeight="1" outlineLevel="1" x14ac:dyDescent="0.25">
      <c r="A1896" s="1"/>
      <c r="B1896" s="2" t="s">
        <v>8305</v>
      </c>
      <c r="C1896" s="3" t="s">
        <v>83</v>
      </c>
      <c r="D1896" s="3" t="s">
        <v>3367</v>
      </c>
      <c r="E1896" s="3" t="s">
        <v>3368</v>
      </c>
      <c r="F1896" s="3" t="s">
        <v>3369</v>
      </c>
      <c r="G1896" s="19" t="s">
        <v>3370</v>
      </c>
      <c r="H1896" s="2" t="s">
        <v>88</v>
      </c>
      <c r="I1896" s="4">
        <v>0</v>
      </c>
      <c r="J1896" s="5">
        <v>710000000</v>
      </c>
      <c r="K1896" s="3" t="s">
        <v>89</v>
      </c>
      <c r="L1896" s="2" t="s">
        <v>754</v>
      </c>
      <c r="M1896" s="3" t="s">
        <v>787</v>
      </c>
      <c r="N1896" s="7" t="s">
        <v>92</v>
      </c>
      <c r="O1896" s="7" t="s">
        <v>93</v>
      </c>
      <c r="P1896" s="3" t="s">
        <v>673</v>
      </c>
      <c r="Q1896" s="8">
        <v>796</v>
      </c>
      <c r="R1896" s="7" t="s">
        <v>118</v>
      </c>
      <c r="S1896" s="9">
        <f>16+10</f>
        <v>26</v>
      </c>
      <c r="T1896" s="9">
        <v>348</v>
      </c>
      <c r="U1896" s="9">
        <f t="shared" ref="U1896" si="1522">T1896*S1896</f>
        <v>9048</v>
      </c>
      <c r="V1896" s="9">
        <f t="shared" ref="V1896" si="1523">U1896*1.12</f>
        <v>10133.76</v>
      </c>
      <c r="W1896" s="7"/>
      <c r="X1896" s="2">
        <v>2016</v>
      </c>
      <c r="Y1896" s="3"/>
    </row>
    <row r="1897" spans="1:25" s="11" customFormat="1" ht="89.25" customHeight="1" outlineLevel="1" x14ac:dyDescent="0.25">
      <c r="A1897" s="1"/>
      <c r="B1897" s="2" t="s">
        <v>6432</v>
      </c>
      <c r="C1897" s="3" t="s">
        <v>83</v>
      </c>
      <c r="D1897" s="19" t="s">
        <v>3134</v>
      </c>
      <c r="E1897" s="19" t="s">
        <v>3119</v>
      </c>
      <c r="F1897" s="19" t="s">
        <v>3135</v>
      </c>
      <c r="G1897" s="19" t="s">
        <v>3371</v>
      </c>
      <c r="H1897" s="2" t="s">
        <v>88</v>
      </c>
      <c r="I1897" s="4">
        <v>0.4</v>
      </c>
      <c r="J1897" s="5">
        <v>710000000</v>
      </c>
      <c r="K1897" s="5" t="s">
        <v>89</v>
      </c>
      <c r="L1897" s="2" t="s">
        <v>754</v>
      </c>
      <c r="M1897" s="6" t="s">
        <v>91</v>
      </c>
      <c r="N1897" s="7" t="s">
        <v>92</v>
      </c>
      <c r="O1897" s="7" t="s">
        <v>93</v>
      </c>
      <c r="P1897" s="3" t="s">
        <v>94</v>
      </c>
      <c r="Q1897" s="8" t="s">
        <v>117</v>
      </c>
      <c r="R1897" s="7" t="s">
        <v>118</v>
      </c>
      <c r="S1897" s="9">
        <v>9</v>
      </c>
      <c r="T1897" s="9">
        <v>2143</v>
      </c>
      <c r="U1897" s="9">
        <v>0</v>
      </c>
      <c r="V1897" s="9">
        <f t="shared" si="1518"/>
        <v>0</v>
      </c>
      <c r="W1897" s="7" t="s">
        <v>97</v>
      </c>
      <c r="X1897" s="2">
        <v>2016</v>
      </c>
      <c r="Y1897" s="2" t="s">
        <v>7793</v>
      </c>
    </row>
    <row r="1898" spans="1:25" s="11" customFormat="1" ht="89.25" customHeight="1" outlineLevel="1" x14ac:dyDescent="0.25">
      <c r="A1898" s="1"/>
      <c r="B1898" s="2" t="s">
        <v>8306</v>
      </c>
      <c r="C1898" s="3" t="s">
        <v>83</v>
      </c>
      <c r="D1898" s="19" t="s">
        <v>3134</v>
      </c>
      <c r="E1898" s="19" t="s">
        <v>3119</v>
      </c>
      <c r="F1898" s="19" t="s">
        <v>3135</v>
      </c>
      <c r="G1898" s="19" t="s">
        <v>3371</v>
      </c>
      <c r="H1898" s="2" t="s">
        <v>88</v>
      </c>
      <c r="I1898" s="4">
        <v>0</v>
      </c>
      <c r="J1898" s="5">
        <v>710000000</v>
      </c>
      <c r="K1898" s="5" t="s">
        <v>89</v>
      </c>
      <c r="L1898" s="2" t="s">
        <v>754</v>
      </c>
      <c r="M1898" s="6" t="s">
        <v>91</v>
      </c>
      <c r="N1898" s="7" t="s">
        <v>92</v>
      </c>
      <c r="O1898" s="7" t="s">
        <v>93</v>
      </c>
      <c r="P1898" s="3" t="s">
        <v>673</v>
      </c>
      <c r="Q1898" s="8" t="s">
        <v>117</v>
      </c>
      <c r="R1898" s="7" t="s">
        <v>118</v>
      </c>
      <c r="S1898" s="9">
        <v>9</v>
      </c>
      <c r="T1898" s="9">
        <v>2143</v>
      </c>
      <c r="U1898" s="9">
        <f t="shared" ref="U1898" si="1524">T1898*S1898</f>
        <v>19287</v>
      </c>
      <c r="V1898" s="9">
        <f t="shared" ref="V1898" si="1525">U1898*1.12</f>
        <v>21601.440000000002</v>
      </c>
      <c r="W1898" s="7"/>
      <c r="X1898" s="2">
        <v>2016</v>
      </c>
      <c r="Y1898" s="2"/>
    </row>
    <row r="1899" spans="1:25" s="20" customFormat="1" ht="89.25" customHeight="1" outlineLevel="1" x14ac:dyDescent="0.25">
      <c r="A1899" s="1"/>
      <c r="B1899" s="2" t="s">
        <v>6433</v>
      </c>
      <c r="C1899" s="3" t="s">
        <v>83</v>
      </c>
      <c r="D1899" s="19" t="s">
        <v>3126</v>
      </c>
      <c r="E1899" s="19" t="s">
        <v>3127</v>
      </c>
      <c r="F1899" s="19" t="s">
        <v>3128</v>
      </c>
      <c r="G1899" s="19" t="s">
        <v>3372</v>
      </c>
      <c r="H1899" s="2" t="s">
        <v>88</v>
      </c>
      <c r="I1899" s="4">
        <v>0.4</v>
      </c>
      <c r="J1899" s="5">
        <v>710000000</v>
      </c>
      <c r="K1899" s="5" t="s">
        <v>89</v>
      </c>
      <c r="L1899" s="2" t="s">
        <v>754</v>
      </c>
      <c r="M1899" s="6" t="s">
        <v>91</v>
      </c>
      <c r="N1899" s="7" t="s">
        <v>92</v>
      </c>
      <c r="O1899" s="7" t="s">
        <v>93</v>
      </c>
      <c r="P1899" s="3" t="s">
        <v>94</v>
      </c>
      <c r="Q1899" s="8" t="s">
        <v>522</v>
      </c>
      <c r="R1899" s="7" t="s">
        <v>523</v>
      </c>
      <c r="S1899" s="9">
        <v>2</v>
      </c>
      <c r="T1899" s="9">
        <v>1595</v>
      </c>
      <c r="U1899" s="9">
        <v>0</v>
      </c>
      <c r="V1899" s="9">
        <f t="shared" si="1518"/>
        <v>0</v>
      </c>
      <c r="W1899" s="7" t="s">
        <v>97</v>
      </c>
      <c r="X1899" s="2">
        <v>2016</v>
      </c>
      <c r="Y1899" s="2" t="s">
        <v>7793</v>
      </c>
    </row>
    <row r="1900" spans="1:25" s="20" customFormat="1" ht="89.25" customHeight="1" outlineLevel="1" x14ac:dyDescent="0.25">
      <c r="A1900" s="1"/>
      <c r="B1900" s="2" t="s">
        <v>8307</v>
      </c>
      <c r="C1900" s="3" t="s">
        <v>83</v>
      </c>
      <c r="D1900" s="19" t="s">
        <v>3126</v>
      </c>
      <c r="E1900" s="19" t="s">
        <v>3127</v>
      </c>
      <c r="F1900" s="19" t="s">
        <v>3128</v>
      </c>
      <c r="G1900" s="19" t="s">
        <v>3372</v>
      </c>
      <c r="H1900" s="2" t="s">
        <v>88</v>
      </c>
      <c r="I1900" s="4">
        <v>0</v>
      </c>
      <c r="J1900" s="5">
        <v>710000000</v>
      </c>
      <c r="K1900" s="5" t="s">
        <v>89</v>
      </c>
      <c r="L1900" s="2" t="s">
        <v>754</v>
      </c>
      <c r="M1900" s="6" t="s">
        <v>91</v>
      </c>
      <c r="N1900" s="7" t="s">
        <v>92</v>
      </c>
      <c r="O1900" s="7" t="s">
        <v>93</v>
      </c>
      <c r="P1900" s="3" t="s">
        <v>673</v>
      </c>
      <c r="Q1900" s="8" t="s">
        <v>522</v>
      </c>
      <c r="R1900" s="7" t="s">
        <v>523</v>
      </c>
      <c r="S1900" s="9">
        <v>2</v>
      </c>
      <c r="T1900" s="9">
        <v>1595</v>
      </c>
      <c r="U1900" s="9">
        <f t="shared" ref="U1900" si="1526">T1900*S1900</f>
        <v>3190</v>
      </c>
      <c r="V1900" s="9">
        <f t="shared" ref="V1900" si="1527">U1900*1.12</f>
        <v>3572.8</v>
      </c>
      <c r="W1900" s="7"/>
      <c r="X1900" s="2">
        <v>2016</v>
      </c>
      <c r="Y1900" s="2"/>
    </row>
    <row r="1901" spans="1:25" s="11" customFormat="1" ht="89.25" customHeight="1" outlineLevel="1" x14ac:dyDescent="0.25">
      <c r="A1901" s="1"/>
      <c r="B1901" s="2" t="s">
        <v>6434</v>
      </c>
      <c r="C1901" s="3" t="s">
        <v>83</v>
      </c>
      <c r="D1901" s="19" t="s">
        <v>3141</v>
      </c>
      <c r="E1901" s="19" t="s">
        <v>3142</v>
      </c>
      <c r="F1901" s="19" t="s">
        <v>3143</v>
      </c>
      <c r="G1901" s="19" t="s">
        <v>3373</v>
      </c>
      <c r="H1901" s="2" t="s">
        <v>88</v>
      </c>
      <c r="I1901" s="4">
        <v>0.4</v>
      </c>
      <c r="J1901" s="5">
        <v>710000000</v>
      </c>
      <c r="K1901" s="5" t="s">
        <v>89</v>
      </c>
      <c r="L1901" s="2" t="s">
        <v>754</v>
      </c>
      <c r="M1901" s="6" t="s">
        <v>91</v>
      </c>
      <c r="N1901" s="7" t="s">
        <v>92</v>
      </c>
      <c r="O1901" s="7" t="s">
        <v>93</v>
      </c>
      <c r="P1901" s="3" t="s">
        <v>94</v>
      </c>
      <c r="Q1901" s="8" t="s">
        <v>544</v>
      </c>
      <c r="R1901" s="7" t="s">
        <v>111</v>
      </c>
      <c r="S1901" s="9">
        <v>605</v>
      </c>
      <c r="T1901" s="9">
        <v>269</v>
      </c>
      <c r="U1901" s="9">
        <v>0</v>
      </c>
      <c r="V1901" s="9">
        <f t="shared" si="1518"/>
        <v>0</v>
      </c>
      <c r="W1901" s="7" t="s">
        <v>97</v>
      </c>
      <c r="X1901" s="2">
        <v>2016</v>
      </c>
      <c r="Y1901" s="2" t="s">
        <v>7793</v>
      </c>
    </row>
    <row r="1902" spans="1:25" s="11" customFormat="1" ht="89.25" customHeight="1" outlineLevel="1" x14ac:dyDescent="0.25">
      <c r="A1902" s="1"/>
      <c r="B1902" s="2" t="s">
        <v>8308</v>
      </c>
      <c r="C1902" s="3" t="s">
        <v>83</v>
      </c>
      <c r="D1902" s="19" t="s">
        <v>3141</v>
      </c>
      <c r="E1902" s="19" t="s">
        <v>3142</v>
      </c>
      <c r="F1902" s="19" t="s">
        <v>3143</v>
      </c>
      <c r="G1902" s="19" t="s">
        <v>3373</v>
      </c>
      <c r="H1902" s="2" t="s">
        <v>88</v>
      </c>
      <c r="I1902" s="4">
        <v>0</v>
      </c>
      <c r="J1902" s="5">
        <v>710000000</v>
      </c>
      <c r="K1902" s="5" t="s">
        <v>89</v>
      </c>
      <c r="L1902" s="2" t="s">
        <v>754</v>
      </c>
      <c r="M1902" s="6" t="s">
        <v>91</v>
      </c>
      <c r="N1902" s="7" t="s">
        <v>92</v>
      </c>
      <c r="O1902" s="7" t="s">
        <v>93</v>
      </c>
      <c r="P1902" s="3" t="s">
        <v>673</v>
      </c>
      <c r="Q1902" s="8" t="s">
        <v>544</v>
      </c>
      <c r="R1902" s="7" t="s">
        <v>111</v>
      </c>
      <c r="S1902" s="9">
        <v>605</v>
      </c>
      <c r="T1902" s="9">
        <v>269</v>
      </c>
      <c r="U1902" s="9">
        <f t="shared" ref="U1902" si="1528">T1902*S1902</f>
        <v>162745</v>
      </c>
      <c r="V1902" s="9">
        <f t="shared" ref="V1902" si="1529">U1902*1.12</f>
        <v>182274.40000000002</v>
      </c>
      <c r="W1902" s="7"/>
      <c r="X1902" s="2">
        <v>2016</v>
      </c>
      <c r="Y1902" s="2"/>
    </row>
    <row r="1903" spans="1:25" s="11" customFormat="1" ht="89.25" customHeight="1" outlineLevel="1" x14ac:dyDescent="0.25">
      <c r="A1903" s="1"/>
      <c r="B1903" s="2" t="s">
        <v>6435</v>
      </c>
      <c r="C1903" s="3" t="s">
        <v>83</v>
      </c>
      <c r="D1903" s="19" t="s">
        <v>3374</v>
      </c>
      <c r="E1903" s="19" t="s">
        <v>3152</v>
      </c>
      <c r="F1903" s="19" t="s">
        <v>3375</v>
      </c>
      <c r="G1903" s="19" t="s">
        <v>3376</v>
      </c>
      <c r="H1903" s="2" t="s">
        <v>88</v>
      </c>
      <c r="I1903" s="4">
        <v>0.4</v>
      </c>
      <c r="J1903" s="5">
        <v>710000000</v>
      </c>
      <c r="K1903" s="5" t="s">
        <v>89</v>
      </c>
      <c r="L1903" s="2" t="s">
        <v>754</v>
      </c>
      <c r="M1903" s="6" t="s">
        <v>91</v>
      </c>
      <c r="N1903" s="7" t="s">
        <v>92</v>
      </c>
      <c r="O1903" s="7" t="s">
        <v>93</v>
      </c>
      <c r="P1903" s="3" t="s">
        <v>94</v>
      </c>
      <c r="Q1903" s="8" t="s">
        <v>2361</v>
      </c>
      <c r="R1903" s="7" t="s">
        <v>2362</v>
      </c>
      <c r="S1903" s="9">
        <v>132</v>
      </c>
      <c r="T1903" s="9">
        <v>1643</v>
      </c>
      <c r="U1903" s="9">
        <v>0</v>
      </c>
      <c r="V1903" s="9">
        <f t="shared" si="1518"/>
        <v>0</v>
      </c>
      <c r="W1903" s="7" t="s">
        <v>97</v>
      </c>
      <c r="X1903" s="2">
        <v>2016</v>
      </c>
      <c r="Y1903" s="2" t="s">
        <v>7793</v>
      </c>
    </row>
    <row r="1904" spans="1:25" s="11" customFormat="1" ht="89.25" customHeight="1" outlineLevel="1" x14ac:dyDescent="0.25">
      <c r="A1904" s="1"/>
      <c r="B1904" s="2" t="s">
        <v>8309</v>
      </c>
      <c r="C1904" s="3" t="s">
        <v>83</v>
      </c>
      <c r="D1904" s="19" t="s">
        <v>3374</v>
      </c>
      <c r="E1904" s="19" t="s">
        <v>3152</v>
      </c>
      <c r="F1904" s="19" t="s">
        <v>3375</v>
      </c>
      <c r="G1904" s="19" t="s">
        <v>3376</v>
      </c>
      <c r="H1904" s="2" t="s">
        <v>88</v>
      </c>
      <c r="I1904" s="4">
        <v>0</v>
      </c>
      <c r="J1904" s="5">
        <v>710000000</v>
      </c>
      <c r="K1904" s="5" t="s">
        <v>89</v>
      </c>
      <c r="L1904" s="2" t="s">
        <v>754</v>
      </c>
      <c r="M1904" s="6" t="s">
        <v>91</v>
      </c>
      <c r="N1904" s="7" t="s">
        <v>92</v>
      </c>
      <c r="O1904" s="7" t="s">
        <v>93</v>
      </c>
      <c r="P1904" s="3" t="s">
        <v>673</v>
      </c>
      <c r="Q1904" s="8" t="s">
        <v>2361</v>
      </c>
      <c r="R1904" s="7" t="s">
        <v>2362</v>
      </c>
      <c r="S1904" s="9">
        <v>132</v>
      </c>
      <c r="T1904" s="9">
        <v>1643</v>
      </c>
      <c r="U1904" s="9">
        <f t="shared" ref="U1904" si="1530">T1904*S1904</f>
        <v>216876</v>
      </c>
      <c r="V1904" s="9">
        <f t="shared" ref="V1904" si="1531">U1904*1.12</f>
        <v>242901.12000000002</v>
      </c>
      <c r="W1904" s="7"/>
      <c r="X1904" s="2">
        <v>2016</v>
      </c>
      <c r="Y1904" s="2"/>
    </row>
    <row r="1905" spans="1:25" s="11" customFormat="1" ht="89.25" customHeight="1" outlineLevel="1" x14ac:dyDescent="0.25">
      <c r="A1905" s="1"/>
      <c r="B1905" s="2" t="s">
        <v>6436</v>
      </c>
      <c r="C1905" s="3" t="s">
        <v>83</v>
      </c>
      <c r="D1905" s="19" t="s">
        <v>3377</v>
      </c>
      <c r="E1905" s="19" t="s">
        <v>3156</v>
      </c>
      <c r="F1905" s="19" t="s">
        <v>3378</v>
      </c>
      <c r="G1905" s="19"/>
      <c r="H1905" s="2" t="s">
        <v>88</v>
      </c>
      <c r="I1905" s="4">
        <v>0.4</v>
      </c>
      <c r="J1905" s="5">
        <v>710000000</v>
      </c>
      <c r="K1905" s="5" t="s">
        <v>89</v>
      </c>
      <c r="L1905" s="2" t="s">
        <v>754</v>
      </c>
      <c r="M1905" s="6" t="s">
        <v>91</v>
      </c>
      <c r="N1905" s="7" t="s">
        <v>92</v>
      </c>
      <c r="O1905" s="7" t="s">
        <v>93</v>
      </c>
      <c r="P1905" s="3" t="s">
        <v>94</v>
      </c>
      <c r="Q1905" s="8" t="s">
        <v>544</v>
      </c>
      <c r="R1905" s="7" t="s">
        <v>111</v>
      </c>
      <c r="S1905" s="9">
        <v>40</v>
      </c>
      <c r="T1905" s="9">
        <v>874.16</v>
      </c>
      <c r="U1905" s="9">
        <v>0</v>
      </c>
      <c r="V1905" s="9">
        <f t="shared" si="1518"/>
        <v>0</v>
      </c>
      <c r="W1905" s="7" t="s">
        <v>97</v>
      </c>
      <c r="X1905" s="2">
        <v>2016</v>
      </c>
      <c r="Y1905" s="2" t="s">
        <v>7793</v>
      </c>
    </row>
    <row r="1906" spans="1:25" s="11" customFormat="1" ht="89.25" customHeight="1" outlineLevel="1" x14ac:dyDescent="0.25">
      <c r="A1906" s="1"/>
      <c r="B1906" s="2" t="s">
        <v>8310</v>
      </c>
      <c r="C1906" s="3" t="s">
        <v>83</v>
      </c>
      <c r="D1906" s="19" t="s">
        <v>3377</v>
      </c>
      <c r="E1906" s="19" t="s">
        <v>3156</v>
      </c>
      <c r="F1906" s="19" t="s">
        <v>3378</v>
      </c>
      <c r="G1906" s="19"/>
      <c r="H1906" s="2" t="s">
        <v>88</v>
      </c>
      <c r="I1906" s="4">
        <v>0</v>
      </c>
      <c r="J1906" s="5">
        <v>710000000</v>
      </c>
      <c r="K1906" s="5" t="s">
        <v>89</v>
      </c>
      <c r="L1906" s="2" t="s">
        <v>754</v>
      </c>
      <c r="M1906" s="6" t="s">
        <v>91</v>
      </c>
      <c r="N1906" s="7" t="s">
        <v>92</v>
      </c>
      <c r="O1906" s="7" t="s">
        <v>93</v>
      </c>
      <c r="P1906" s="3" t="s">
        <v>673</v>
      </c>
      <c r="Q1906" s="8" t="s">
        <v>544</v>
      </c>
      <c r="R1906" s="7" t="s">
        <v>111</v>
      </c>
      <c r="S1906" s="9">
        <v>40</v>
      </c>
      <c r="T1906" s="9">
        <v>874.16</v>
      </c>
      <c r="U1906" s="9">
        <f t="shared" ref="U1906" si="1532">T1906*S1906</f>
        <v>34966.400000000001</v>
      </c>
      <c r="V1906" s="9">
        <f t="shared" ref="V1906" si="1533">U1906*1.12</f>
        <v>39162.368000000002</v>
      </c>
      <c r="W1906" s="7"/>
      <c r="X1906" s="2">
        <v>2016</v>
      </c>
      <c r="Y1906" s="2"/>
    </row>
    <row r="1907" spans="1:25" s="11" customFormat="1" ht="89.25" customHeight="1" outlineLevel="1" x14ac:dyDescent="0.25">
      <c r="A1907" s="1"/>
      <c r="B1907" s="2" t="s">
        <v>6437</v>
      </c>
      <c r="C1907" s="3" t="s">
        <v>83</v>
      </c>
      <c r="D1907" s="19" t="s">
        <v>3379</v>
      </c>
      <c r="E1907" s="19" t="s">
        <v>3142</v>
      </c>
      <c r="F1907" s="19" t="s">
        <v>3380</v>
      </c>
      <c r="G1907" s="19"/>
      <c r="H1907" s="2" t="s">
        <v>88</v>
      </c>
      <c r="I1907" s="4">
        <v>0.4</v>
      </c>
      <c r="J1907" s="5">
        <v>710000000</v>
      </c>
      <c r="K1907" s="5" t="s">
        <v>89</v>
      </c>
      <c r="L1907" s="2" t="s">
        <v>754</v>
      </c>
      <c r="M1907" s="6" t="s">
        <v>91</v>
      </c>
      <c r="N1907" s="7" t="s">
        <v>92</v>
      </c>
      <c r="O1907" s="7" t="s">
        <v>93</v>
      </c>
      <c r="P1907" s="3" t="s">
        <v>94</v>
      </c>
      <c r="Q1907" s="8" t="s">
        <v>117</v>
      </c>
      <c r="R1907" s="7" t="s">
        <v>118</v>
      </c>
      <c r="S1907" s="9">
        <v>10</v>
      </c>
      <c r="T1907" s="9">
        <v>920</v>
      </c>
      <c r="U1907" s="9">
        <v>0</v>
      </c>
      <c r="V1907" s="9">
        <f t="shared" si="1518"/>
        <v>0</v>
      </c>
      <c r="W1907" s="7" t="s">
        <v>97</v>
      </c>
      <c r="X1907" s="2">
        <v>2016</v>
      </c>
      <c r="Y1907" s="2" t="s">
        <v>7793</v>
      </c>
    </row>
    <row r="1908" spans="1:25" s="11" customFormat="1" ht="89.25" customHeight="1" outlineLevel="1" x14ac:dyDescent="0.25">
      <c r="A1908" s="1"/>
      <c r="B1908" s="2" t="s">
        <v>8311</v>
      </c>
      <c r="C1908" s="3" t="s">
        <v>83</v>
      </c>
      <c r="D1908" s="19" t="s">
        <v>3379</v>
      </c>
      <c r="E1908" s="19" t="s">
        <v>3142</v>
      </c>
      <c r="F1908" s="19" t="s">
        <v>3380</v>
      </c>
      <c r="G1908" s="19"/>
      <c r="H1908" s="2" t="s">
        <v>88</v>
      </c>
      <c r="I1908" s="4">
        <v>0</v>
      </c>
      <c r="J1908" s="5">
        <v>710000000</v>
      </c>
      <c r="K1908" s="5" t="s">
        <v>89</v>
      </c>
      <c r="L1908" s="2" t="s">
        <v>754</v>
      </c>
      <c r="M1908" s="6" t="s">
        <v>91</v>
      </c>
      <c r="N1908" s="7" t="s">
        <v>92</v>
      </c>
      <c r="O1908" s="7" t="s">
        <v>93</v>
      </c>
      <c r="P1908" s="3" t="s">
        <v>673</v>
      </c>
      <c r="Q1908" s="8" t="s">
        <v>117</v>
      </c>
      <c r="R1908" s="7" t="s">
        <v>118</v>
      </c>
      <c r="S1908" s="9">
        <v>10</v>
      </c>
      <c r="T1908" s="9">
        <v>920</v>
      </c>
      <c r="U1908" s="9">
        <f t="shared" ref="U1908" si="1534">T1908*S1908</f>
        <v>9200</v>
      </c>
      <c r="V1908" s="9">
        <f t="shared" ref="V1908" si="1535">U1908*1.12</f>
        <v>10304.000000000002</v>
      </c>
      <c r="W1908" s="7"/>
      <c r="X1908" s="2">
        <v>2016</v>
      </c>
      <c r="Y1908" s="2"/>
    </row>
    <row r="1909" spans="1:25" s="11" customFormat="1" ht="89.25" customHeight="1" outlineLevel="1" x14ac:dyDescent="0.25">
      <c r="A1909" s="1"/>
      <c r="B1909" s="2" t="s">
        <v>6438</v>
      </c>
      <c r="C1909" s="3" t="s">
        <v>83</v>
      </c>
      <c r="D1909" s="19" t="s">
        <v>3381</v>
      </c>
      <c r="E1909" s="19" t="s">
        <v>3169</v>
      </c>
      <c r="F1909" s="19" t="s">
        <v>3170</v>
      </c>
      <c r="G1909" s="19" t="s">
        <v>3382</v>
      </c>
      <c r="H1909" s="2" t="s">
        <v>88</v>
      </c>
      <c r="I1909" s="4">
        <v>0.4</v>
      </c>
      <c r="J1909" s="5">
        <v>710000000</v>
      </c>
      <c r="K1909" s="5" t="s">
        <v>89</v>
      </c>
      <c r="L1909" s="2" t="s">
        <v>754</v>
      </c>
      <c r="M1909" s="6" t="s">
        <v>91</v>
      </c>
      <c r="N1909" s="7" t="s">
        <v>92</v>
      </c>
      <c r="O1909" s="7" t="s">
        <v>93</v>
      </c>
      <c r="P1909" s="3" t="s">
        <v>94</v>
      </c>
      <c r="Q1909" s="8" t="s">
        <v>3383</v>
      </c>
      <c r="R1909" s="7" t="s">
        <v>3384</v>
      </c>
      <c r="S1909" s="9">
        <v>47</v>
      </c>
      <c r="T1909" s="9">
        <v>518</v>
      </c>
      <c r="U1909" s="9">
        <v>0</v>
      </c>
      <c r="V1909" s="9">
        <f t="shared" si="1518"/>
        <v>0</v>
      </c>
      <c r="W1909" s="7" t="s">
        <v>97</v>
      </c>
      <c r="X1909" s="2">
        <v>2016</v>
      </c>
      <c r="Y1909" s="2" t="s">
        <v>7793</v>
      </c>
    </row>
    <row r="1910" spans="1:25" s="11" customFormat="1" ht="89.25" customHeight="1" outlineLevel="1" x14ac:dyDescent="0.25">
      <c r="A1910" s="1"/>
      <c r="B1910" s="2" t="s">
        <v>8312</v>
      </c>
      <c r="C1910" s="3" t="s">
        <v>83</v>
      </c>
      <c r="D1910" s="19" t="s">
        <v>3381</v>
      </c>
      <c r="E1910" s="19" t="s">
        <v>3169</v>
      </c>
      <c r="F1910" s="19" t="s">
        <v>3170</v>
      </c>
      <c r="G1910" s="19" t="s">
        <v>3382</v>
      </c>
      <c r="H1910" s="2" t="s">
        <v>88</v>
      </c>
      <c r="I1910" s="4">
        <v>0</v>
      </c>
      <c r="J1910" s="5">
        <v>710000000</v>
      </c>
      <c r="K1910" s="5" t="s">
        <v>89</v>
      </c>
      <c r="L1910" s="2" t="s">
        <v>754</v>
      </c>
      <c r="M1910" s="6" t="s">
        <v>91</v>
      </c>
      <c r="N1910" s="7" t="s">
        <v>92</v>
      </c>
      <c r="O1910" s="7" t="s">
        <v>93</v>
      </c>
      <c r="P1910" s="3" t="s">
        <v>673</v>
      </c>
      <c r="Q1910" s="8" t="s">
        <v>3383</v>
      </c>
      <c r="R1910" s="7" t="s">
        <v>3384</v>
      </c>
      <c r="S1910" s="9">
        <v>47</v>
      </c>
      <c r="T1910" s="9">
        <v>518</v>
      </c>
      <c r="U1910" s="9">
        <f t="shared" ref="U1910" si="1536">T1910*S1910</f>
        <v>24346</v>
      </c>
      <c r="V1910" s="9">
        <f t="shared" ref="V1910" si="1537">U1910*1.12</f>
        <v>27267.520000000004</v>
      </c>
      <c r="W1910" s="7"/>
      <c r="X1910" s="2">
        <v>2016</v>
      </c>
      <c r="Y1910" s="2"/>
    </row>
    <row r="1911" spans="1:25" s="11" customFormat="1" ht="89.25" customHeight="1" outlineLevel="1" x14ac:dyDescent="0.25">
      <c r="A1911" s="1"/>
      <c r="B1911" s="2" t="s">
        <v>6439</v>
      </c>
      <c r="C1911" s="3" t="s">
        <v>83</v>
      </c>
      <c r="D1911" s="19" t="s">
        <v>3385</v>
      </c>
      <c r="E1911" s="19" t="s">
        <v>3162</v>
      </c>
      <c r="F1911" s="19" t="s">
        <v>3386</v>
      </c>
      <c r="G1911" s="19" t="s">
        <v>3387</v>
      </c>
      <c r="H1911" s="2" t="s">
        <v>88</v>
      </c>
      <c r="I1911" s="4">
        <v>0.4</v>
      </c>
      <c r="J1911" s="5">
        <v>710000000</v>
      </c>
      <c r="K1911" s="5" t="s">
        <v>89</v>
      </c>
      <c r="L1911" s="2" t="s">
        <v>754</v>
      </c>
      <c r="M1911" s="6" t="s">
        <v>91</v>
      </c>
      <c r="N1911" s="7" t="s">
        <v>92</v>
      </c>
      <c r="O1911" s="7" t="s">
        <v>93</v>
      </c>
      <c r="P1911" s="3" t="s">
        <v>94</v>
      </c>
      <c r="Q1911" s="8" t="s">
        <v>95</v>
      </c>
      <c r="R1911" s="7" t="s">
        <v>96</v>
      </c>
      <c r="S1911" s="9">
        <v>75</v>
      </c>
      <c r="T1911" s="9">
        <v>360.8</v>
      </c>
      <c r="U1911" s="9">
        <v>0</v>
      </c>
      <c r="V1911" s="9">
        <f t="shared" si="1518"/>
        <v>0</v>
      </c>
      <c r="W1911" s="7" t="s">
        <v>97</v>
      </c>
      <c r="X1911" s="2">
        <v>2016</v>
      </c>
      <c r="Y1911" s="2" t="s">
        <v>7793</v>
      </c>
    </row>
    <row r="1912" spans="1:25" s="11" customFormat="1" ht="89.25" customHeight="1" outlineLevel="1" x14ac:dyDescent="0.25">
      <c r="A1912" s="1"/>
      <c r="B1912" s="2" t="s">
        <v>8313</v>
      </c>
      <c r="C1912" s="3" t="s">
        <v>83</v>
      </c>
      <c r="D1912" s="19" t="s">
        <v>3385</v>
      </c>
      <c r="E1912" s="19" t="s">
        <v>3162</v>
      </c>
      <c r="F1912" s="19" t="s">
        <v>3386</v>
      </c>
      <c r="G1912" s="19" t="s">
        <v>3387</v>
      </c>
      <c r="H1912" s="2" t="s">
        <v>88</v>
      </c>
      <c r="I1912" s="4">
        <v>0</v>
      </c>
      <c r="J1912" s="5">
        <v>710000000</v>
      </c>
      <c r="K1912" s="5" t="s">
        <v>89</v>
      </c>
      <c r="L1912" s="2" t="s">
        <v>754</v>
      </c>
      <c r="M1912" s="6" t="s">
        <v>91</v>
      </c>
      <c r="N1912" s="7" t="s">
        <v>92</v>
      </c>
      <c r="O1912" s="7" t="s">
        <v>93</v>
      </c>
      <c r="P1912" s="3" t="s">
        <v>673</v>
      </c>
      <c r="Q1912" s="8" t="s">
        <v>95</v>
      </c>
      <c r="R1912" s="7" t="s">
        <v>96</v>
      </c>
      <c r="S1912" s="9">
        <v>75</v>
      </c>
      <c r="T1912" s="9">
        <v>360.8</v>
      </c>
      <c r="U1912" s="9">
        <f t="shared" ref="U1912" si="1538">T1912*S1912</f>
        <v>27060</v>
      </c>
      <c r="V1912" s="9">
        <f t="shared" ref="V1912" si="1539">U1912*1.12</f>
        <v>30307.200000000004</v>
      </c>
      <c r="W1912" s="7"/>
      <c r="X1912" s="2">
        <v>2016</v>
      </c>
      <c r="Y1912" s="2"/>
    </row>
    <row r="1913" spans="1:25" s="11" customFormat="1" ht="89.25" customHeight="1" outlineLevel="1" x14ac:dyDescent="0.25">
      <c r="A1913" s="1"/>
      <c r="B1913" s="2" t="s">
        <v>6440</v>
      </c>
      <c r="C1913" s="3" t="s">
        <v>83</v>
      </c>
      <c r="D1913" s="19" t="s">
        <v>2377</v>
      </c>
      <c r="E1913" s="19" t="s">
        <v>2378</v>
      </c>
      <c r="F1913" s="19" t="s">
        <v>2379</v>
      </c>
      <c r="G1913" s="19" t="s">
        <v>3388</v>
      </c>
      <c r="H1913" s="2" t="s">
        <v>88</v>
      </c>
      <c r="I1913" s="4">
        <v>0.4</v>
      </c>
      <c r="J1913" s="5">
        <v>710000000</v>
      </c>
      <c r="K1913" s="5" t="s">
        <v>89</v>
      </c>
      <c r="L1913" s="2" t="s">
        <v>754</v>
      </c>
      <c r="M1913" s="6" t="s">
        <v>91</v>
      </c>
      <c r="N1913" s="7" t="s">
        <v>92</v>
      </c>
      <c r="O1913" s="7" t="s">
        <v>93</v>
      </c>
      <c r="P1913" s="3" t="s">
        <v>94</v>
      </c>
      <c r="Q1913" s="8" t="s">
        <v>584</v>
      </c>
      <c r="R1913" s="7" t="s">
        <v>585</v>
      </c>
      <c r="S1913" s="9">
        <v>14</v>
      </c>
      <c r="T1913" s="9">
        <v>2571</v>
      </c>
      <c r="U1913" s="9">
        <v>0</v>
      </c>
      <c r="V1913" s="9">
        <f t="shared" si="1518"/>
        <v>0</v>
      </c>
      <c r="W1913" s="7" t="s">
        <v>97</v>
      </c>
      <c r="X1913" s="2">
        <v>2016</v>
      </c>
      <c r="Y1913" s="2" t="s">
        <v>7793</v>
      </c>
    </row>
    <row r="1914" spans="1:25" s="11" customFormat="1" ht="89.25" customHeight="1" outlineLevel="1" x14ac:dyDescent="0.25">
      <c r="A1914" s="1"/>
      <c r="B1914" s="2" t="s">
        <v>8314</v>
      </c>
      <c r="C1914" s="3" t="s">
        <v>83</v>
      </c>
      <c r="D1914" s="19" t="s">
        <v>2377</v>
      </c>
      <c r="E1914" s="19" t="s">
        <v>2378</v>
      </c>
      <c r="F1914" s="19" t="s">
        <v>2379</v>
      </c>
      <c r="G1914" s="19" t="s">
        <v>3388</v>
      </c>
      <c r="H1914" s="2" t="s">
        <v>88</v>
      </c>
      <c r="I1914" s="4">
        <v>0</v>
      </c>
      <c r="J1914" s="5">
        <v>710000000</v>
      </c>
      <c r="K1914" s="5" t="s">
        <v>89</v>
      </c>
      <c r="L1914" s="2" t="s">
        <v>754</v>
      </c>
      <c r="M1914" s="6" t="s">
        <v>91</v>
      </c>
      <c r="N1914" s="7" t="s">
        <v>92</v>
      </c>
      <c r="O1914" s="7" t="s">
        <v>93</v>
      </c>
      <c r="P1914" s="3" t="s">
        <v>673</v>
      </c>
      <c r="Q1914" s="8" t="s">
        <v>584</v>
      </c>
      <c r="R1914" s="7" t="s">
        <v>585</v>
      </c>
      <c r="S1914" s="9">
        <v>14</v>
      </c>
      <c r="T1914" s="9">
        <v>2571</v>
      </c>
      <c r="U1914" s="9">
        <f t="shared" ref="U1914" si="1540">T1914*S1914</f>
        <v>35994</v>
      </c>
      <c r="V1914" s="9">
        <f t="shared" ref="V1914" si="1541">U1914*1.12</f>
        <v>40313.280000000006</v>
      </c>
      <c r="W1914" s="7"/>
      <c r="X1914" s="2">
        <v>2016</v>
      </c>
      <c r="Y1914" s="2"/>
    </row>
    <row r="1915" spans="1:25" s="11" customFormat="1" ht="89.25" customHeight="1" outlineLevel="1" x14ac:dyDescent="0.25">
      <c r="A1915" s="1"/>
      <c r="B1915" s="2" t="s">
        <v>6441</v>
      </c>
      <c r="C1915" s="3" t="s">
        <v>83</v>
      </c>
      <c r="D1915" s="19" t="s">
        <v>3201</v>
      </c>
      <c r="E1915" s="19" t="s">
        <v>3202</v>
      </c>
      <c r="F1915" s="19" t="s">
        <v>3203</v>
      </c>
      <c r="G1915" s="19" t="s">
        <v>3389</v>
      </c>
      <c r="H1915" s="2" t="s">
        <v>88</v>
      </c>
      <c r="I1915" s="4">
        <v>0.4</v>
      </c>
      <c r="J1915" s="5">
        <v>710000000</v>
      </c>
      <c r="K1915" s="5" t="s">
        <v>89</v>
      </c>
      <c r="L1915" s="2" t="s">
        <v>754</v>
      </c>
      <c r="M1915" s="6" t="s">
        <v>91</v>
      </c>
      <c r="N1915" s="7" t="s">
        <v>92</v>
      </c>
      <c r="O1915" s="7" t="s">
        <v>93</v>
      </c>
      <c r="P1915" s="3" t="s">
        <v>94</v>
      </c>
      <c r="Q1915" s="8" t="s">
        <v>117</v>
      </c>
      <c r="R1915" s="7" t="s">
        <v>118</v>
      </c>
      <c r="S1915" s="9">
        <f>59+22</f>
        <v>81</v>
      </c>
      <c r="T1915" s="9">
        <v>786</v>
      </c>
      <c r="U1915" s="9">
        <v>0</v>
      </c>
      <c r="V1915" s="9">
        <f t="shared" si="1518"/>
        <v>0</v>
      </c>
      <c r="W1915" s="7" t="s">
        <v>97</v>
      </c>
      <c r="X1915" s="2">
        <v>2016</v>
      </c>
      <c r="Y1915" s="2" t="s">
        <v>7793</v>
      </c>
    </row>
    <row r="1916" spans="1:25" s="11" customFormat="1" ht="89.25" customHeight="1" outlineLevel="1" x14ac:dyDescent="0.25">
      <c r="A1916" s="1"/>
      <c r="B1916" s="2" t="s">
        <v>8315</v>
      </c>
      <c r="C1916" s="3" t="s">
        <v>83</v>
      </c>
      <c r="D1916" s="19" t="s">
        <v>3201</v>
      </c>
      <c r="E1916" s="19" t="s">
        <v>3202</v>
      </c>
      <c r="F1916" s="19" t="s">
        <v>3203</v>
      </c>
      <c r="G1916" s="19" t="s">
        <v>3389</v>
      </c>
      <c r="H1916" s="2" t="s">
        <v>88</v>
      </c>
      <c r="I1916" s="4">
        <v>0</v>
      </c>
      <c r="J1916" s="5">
        <v>710000000</v>
      </c>
      <c r="K1916" s="5" t="s">
        <v>89</v>
      </c>
      <c r="L1916" s="2" t="s">
        <v>754</v>
      </c>
      <c r="M1916" s="6" t="s">
        <v>91</v>
      </c>
      <c r="N1916" s="7" t="s">
        <v>92</v>
      </c>
      <c r="O1916" s="7" t="s">
        <v>93</v>
      </c>
      <c r="P1916" s="3" t="s">
        <v>673</v>
      </c>
      <c r="Q1916" s="8" t="s">
        <v>117</v>
      </c>
      <c r="R1916" s="7" t="s">
        <v>118</v>
      </c>
      <c r="S1916" s="9">
        <f>59+22</f>
        <v>81</v>
      </c>
      <c r="T1916" s="9">
        <v>786</v>
      </c>
      <c r="U1916" s="9">
        <f t="shared" ref="U1916" si="1542">T1916*S1916</f>
        <v>63666</v>
      </c>
      <c r="V1916" s="9">
        <f t="shared" ref="V1916" si="1543">U1916*1.12</f>
        <v>71305.920000000013</v>
      </c>
      <c r="W1916" s="7"/>
      <c r="X1916" s="2">
        <v>2016</v>
      </c>
      <c r="Y1916" s="2"/>
    </row>
    <row r="1917" spans="1:25" s="11" customFormat="1" ht="89.25" customHeight="1" outlineLevel="1" x14ac:dyDescent="0.25">
      <c r="A1917" s="1"/>
      <c r="B1917" s="2" t="s">
        <v>6442</v>
      </c>
      <c r="C1917" s="3" t="s">
        <v>83</v>
      </c>
      <c r="D1917" s="19" t="s">
        <v>3390</v>
      </c>
      <c r="E1917" s="19" t="s">
        <v>3206</v>
      </c>
      <c r="F1917" s="19" t="s">
        <v>3391</v>
      </c>
      <c r="G1917" s="19"/>
      <c r="H1917" s="2" t="s">
        <v>88</v>
      </c>
      <c r="I1917" s="4">
        <v>0.4</v>
      </c>
      <c r="J1917" s="5">
        <v>710000000</v>
      </c>
      <c r="K1917" s="5" t="s">
        <v>89</v>
      </c>
      <c r="L1917" s="2" t="s">
        <v>754</v>
      </c>
      <c r="M1917" s="6" t="s">
        <v>91</v>
      </c>
      <c r="N1917" s="7" t="s">
        <v>92</v>
      </c>
      <c r="O1917" s="7" t="s">
        <v>93</v>
      </c>
      <c r="P1917" s="3" t="s">
        <v>94</v>
      </c>
      <c r="Q1917" s="8" t="s">
        <v>3208</v>
      </c>
      <c r="R1917" s="7" t="s">
        <v>3209</v>
      </c>
      <c r="S1917" s="9">
        <v>41</v>
      </c>
      <c r="T1917" s="9">
        <v>1116</v>
      </c>
      <c r="U1917" s="9">
        <v>0</v>
      </c>
      <c r="V1917" s="9">
        <f t="shared" si="1518"/>
        <v>0</v>
      </c>
      <c r="W1917" s="7" t="s">
        <v>97</v>
      </c>
      <c r="X1917" s="2">
        <v>2016</v>
      </c>
      <c r="Y1917" s="2" t="s">
        <v>7793</v>
      </c>
    </row>
    <row r="1918" spans="1:25" s="11" customFormat="1" ht="89.25" customHeight="1" outlineLevel="1" x14ac:dyDescent="0.25">
      <c r="A1918" s="1"/>
      <c r="B1918" s="2" t="s">
        <v>8316</v>
      </c>
      <c r="C1918" s="3" t="s">
        <v>83</v>
      </c>
      <c r="D1918" s="19" t="s">
        <v>3390</v>
      </c>
      <c r="E1918" s="19" t="s">
        <v>3206</v>
      </c>
      <c r="F1918" s="19" t="s">
        <v>3391</v>
      </c>
      <c r="G1918" s="19"/>
      <c r="H1918" s="2" t="s">
        <v>88</v>
      </c>
      <c r="I1918" s="4">
        <v>0</v>
      </c>
      <c r="J1918" s="5">
        <v>710000000</v>
      </c>
      <c r="K1918" s="5" t="s">
        <v>89</v>
      </c>
      <c r="L1918" s="2" t="s">
        <v>754</v>
      </c>
      <c r="M1918" s="6" t="s">
        <v>91</v>
      </c>
      <c r="N1918" s="7" t="s">
        <v>92</v>
      </c>
      <c r="O1918" s="7" t="s">
        <v>93</v>
      </c>
      <c r="P1918" s="3" t="s">
        <v>673</v>
      </c>
      <c r="Q1918" s="8" t="s">
        <v>3208</v>
      </c>
      <c r="R1918" s="7" t="s">
        <v>3209</v>
      </c>
      <c r="S1918" s="9">
        <v>41</v>
      </c>
      <c r="T1918" s="9">
        <v>1116</v>
      </c>
      <c r="U1918" s="9">
        <f t="shared" ref="U1918" si="1544">T1918*S1918</f>
        <v>45756</v>
      </c>
      <c r="V1918" s="9">
        <f t="shared" ref="V1918" si="1545">U1918*1.12</f>
        <v>51246.720000000008</v>
      </c>
      <c r="W1918" s="7"/>
      <c r="X1918" s="2">
        <v>2016</v>
      </c>
      <c r="Y1918" s="2"/>
    </row>
    <row r="1919" spans="1:25" s="11" customFormat="1" ht="89.25" customHeight="1" outlineLevel="1" x14ac:dyDescent="0.25">
      <c r="A1919" s="1"/>
      <c r="B1919" s="2" t="s">
        <v>6443</v>
      </c>
      <c r="C1919" s="3" t="s">
        <v>83</v>
      </c>
      <c r="D1919" s="19" t="s">
        <v>3392</v>
      </c>
      <c r="E1919" s="19" t="s">
        <v>3282</v>
      </c>
      <c r="F1919" s="19" t="s">
        <v>3393</v>
      </c>
      <c r="G1919" s="19" t="s">
        <v>3394</v>
      </c>
      <c r="H1919" s="2" t="s">
        <v>88</v>
      </c>
      <c r="I1919" s="4">
        <v>0.4</v>
      </c>
      <c r="J1919" s="5">
        <v>710000000</v>
      </c>
      <c r="K1919" s="5" t="s">
        <v>89</v>
      </c>
      <c r="L1919" s="2" t="s">
        <v>754</v>
      </c>
      <c r="M1919" s="6" t="s">
        <v>91</v>
      </c>
      <c r="N1919" s="7" t="s">
        <v>92</v>
      </c>
      <c r="O1919" s="7" t="s">
        <v>93</v>
      </c>
      <c r="P1919" s="3" t="s">
        <v>94</v>
      </c>
      <c r="Q1919" s="8" t="s">
        <v>544</v>
      </c>
      <c r="R1919" s="7" t="s">
        <v>111</v>
      </c>
      <c r="S1919" s="9">
        <v>3</v>
      </c>
      <c r="T1919" s="9">
        <v>321</v>
      </c>
      <c r="U1919" s="9">
        <v>0</v>
      </c>
      <c r="V1919" s="9">
        <f t="shared" si="1518"/>
        <v>0</v>
      </c>
      <c r="W1919" s="7" t="s">
        <v>97</v>
      </c>
      <c r="X1919" s="2">
        <v>2016</v>
      </c>
      <c r="Y1919" s="2" t="s">
        <v>7793</v>
      </c>
    </row>
    <row r="1920" spans="1:25" s="11" customFormat="1" ht="89.25" customHeight="1" outlineLevel="1" x14ac:dyDescent="0.25">
      <c r="A1920" s="1"/>
      <c r="B1920" s="2" t="s">
        <v>8317</v>
      </c>
      <c r="C1920" s="3" t="s">
        <v>83</v>
      </c>
      <c r="D1920" s="19" t="s">
        <v>3392</v>
      </c>
      <c r="E1920" s="19" t="s">
        <v>3282</v>
      </c>
      <c r="F1920" s="19" t="s">
        <v>3393</v>
      </c>
      <c r="G1920" s="19" t="s">
        <v>3394</v>
      </c>
      <c r="H1920" s="2" t="s">
        <v>88</v>
      </c>
      <c r="I1920" s="4">
        <v>0</v>
      </c>
      <c r="J1920" s="5">
        <v>710000000</v>
      </c>
      <c r="K1920" s="5" t="s">
        <v>89</v>
      </c>
      <c r="L1920" s="2" t="s">
        <v>754</v>
      </c>
      <c r="M1920" s="6" t="s">
        <v>91</v>
      </c>
      <c r="N1920" s="7" t="s">
        <v>92</v>
      </c>
      <c r="O1920" s="7" t="s">
        <v>93</v>
      </c>
      <c r="P1920" s="3" t="s">
        <v>673</v>
      </c>
      <c r="Q1920" s="8" t="s">
        <v>544</v>
      </c>
      <c r="R1920" s="7" t="s">
        <v>111</v>
      </c>
      <c r="S1920" s="9">
        <v>3</v>
      </c>
      <c r="T1920" s="9">
        <v>321</v>
      </c>
      <c r="U1920" s="9">
        <f t="shared" ref="U1920" si="1546">T1920*S1920</f>
        <v>963</v>
      </c>
      <c r="V1920" s="9">
        <f t="shared" ref="V1920" si="1547">U1920*1.12</f>
        <v>1078.5600000000002</v>
      </c>
      <c r="W1920" s="7"/>
      <c r="X1920" s="2">
        <v>2016</v>
      </c>
      <c r="Y1920" s="2"/>
    </row>
    <row r="1921" spans="1:25" s="11" customFormat="1" ht="89.25" customHeight="1" outlineLevel="1" x14ac:dyDescent="0.25">
      <c r="A1921" s="1"/>
      <c r="B1921" s="2" t="s">
        <v>6444</v>
      </c>
      <c r="C1921" s="3" t="s">
        <v>83</v>
      </c>
      <c r="D1921" s="19" t="s">
        <v>3395</v>
      </c>
      <c r="E1921" s="19" t="s">
        <v>3282</v>
      </c>
      <c r="F1921" s="19" t="s">
        <v>3396</v>
      </c>
      <c r="G1921" s="19" t="s">
        <v>3397</v>
      </c>
      <c r="H1921" s="2" t="s">
        <v>88</v>
      </c>
      <c r="I1921" s="4">
        <v>0.4</v>
      </c>
      <c r="J1921" s="5">
        <v>710000000</v>
      </c>
      <c r="K1921" s="5" t="s">
        <v>89</v>
      </c>
      <c r="L1921" s="2" t="s">
        <v>754</v>
      </c>
      <c r="M1921" s="6" t="s">
        <v>91</v>
      </c>
      <c r="N1921" s="7" t="s">
        <v>92</v>
      </c>
      <c r="O1921" s="7" t="s">
        <v>93</v>
      </c>
      <c r="P1921" s="3" t="s">
        <v>94</v>
      </c>
      <c r="Q1921" s="8" t="s">
        <v>544</v>
      </c>
      <c r="R1921" s="7" t="s">
        <v>111</v>
      </c>
      <c r="S1921" s="9">
        <v>3</v>
      </c>
      <c r="T1921" s="9">
        <v>321</v>
      </c>
      <c r="U1921" s="9">
        <v>0</v>
      </c>
      <c r="V1921" s="9">
        <f t="shared" si="1518"/>
        <v>0</v>
      </c>
      <c r="W1921" s="7" t="s">
        <v>97</v>
      </c>
      <c r="X1921" s="2">
        <v>2016</v>
      </c>
      <c r="Y1921" s="2" t="s">
        <v>7793</v>
      </c>
    </row>
    <row r="1922" spans="1:25" s="11" customFormat="1" ht="89.25" customHeight="1" outlineLevel="1" x14ac:dyDescent="0.25">
      <c r="A1922" s="1"/>
      <c r="B1922" s="2" t="s">
        <v>8318</v>
      </c>
      <c r="C1922" s="3" t="s">
        <v>83</v>
      </c>
      <c r="D1922" s="19" t="s">
        <v>3395</v>
      </c>
      <c r="E1922" s="19" t="s">
        <v>3282</v>
      </c>
      <c r="F1922" s="19" t="s">
        <v>3396</v>
      </c>
      <c r="G1922" s="19" t="s">
        <v>3397</v>
      </c>
      <c r="H1922" s="2" t="s">
        <v>88</v>
      </c>
      <c r="I1922" s="4">
        <v>0</v>
      </c>
      <c r="J1922" s="5">
        <v>710000000</v>
      </c>
      <c r="K1922" s="5" t="s">
        <v>89</v>
      </c>
      <c r="L1922" s="2" t="s">
        <v>754</v>
      </c>
      <c r="M1922" s="6" t="s">
        <v>91</v>
      </c>
      <c r="N1922" s="7" t="s">
        <v>92</v>
      </c>
      <c r="O1922" s="7" t="s">
        <v>93</v>
      </c>
      <c r="P1922" s="3" t="s">
        <v>673</v>
      </c>
      <c r="Q1922" s="8" t="s">
        <v>544</v>
      </c>
      <c r="R1922" s="7" t="s">
        <v>111</v>
      </c>
      <c r="S1922" s="9">
        <v>3</v>
      </c>
      <c r="T1922" s="9">
        <v>321</v>
      </c>
      <c r="U1922" s="9">
        <f t="shared" ref="U1922" si="1548">T1922*S1922</f>
        <v>963</v>
      </c>
      <c r="V1922" s="9">
        <f t="shared" ref="V1922" si="1549">U1922*1.12</f>
        <v>1078.5600000000002</v>
      </c>
      <c r="W1922" s="7"/>
      <c r="X1922" s="2">
        <v>2016</v>
      </c>
      <c r="Y1922" s="2"/>
    </row>
    <row r="1923" spans="1:25" s="11" customFormat="1" ht="89.25" customHeight="1" outlineLevel="1" x14ac:dyDescent="0.25">
      <c r="A1923" s="1"/>
      <c r="B1923" s="2" t="s">
        <v>6445</v>
      </c>
      <c r="C1923" s="3" t="s">
        <v>83</v>
      </c>
      <c r="D1923" s="19" t="s">
        <v>3395</v>
      </c>
      <c r="E1923" s="19" t="s">
        <v>3282</v>
      </c>
      <c r="F1923" s="19" t="s">
        <v>3396</v>
      </c>
      <c r="G1923" s="19" t="s">
        <v>3398</v>
      </c>
      <c r="H1923" s="2" t="s">
        <v>88</v>
      </c>
      <c r="I1923" s="4">
        <v>0.4</v>
      </c>
      <c r="J1923" s="5">
        <v>710000000</v>
      </c>
      <c r="K1923" s="5" t="s">
        <v>89</v>
      </c>
      <c r="L1923" s="2" t="s">
        <v>754</v>
      </c>
      <c r="M1923" s="6" t="s">
        <v>91</v>
      </c>
      <c r="N1923" s="7" t="s">
        <v>92</v>
      </c>
      <c r="O1923" s="7" t="s">
        <v>93</v>
      </c>
      <c r="P1923" s="3" t="s">
        <v>94</v>
      </c>
      <c r="Q1923" s="8" t="s">
        <v>544</v>
      </c>
      <c r="R1923" s="7" t="s">
        <v>111</v>
      </c>
      <c r="S1923" s="9">
        <v>3</v>
      </c>
      <c r="T1923" s="9">
        <v>268</v>
      </c>
      <c r="U1923" s="9">
        <v>0</v>
      </c>
      <c r="V1923" s="9">
        <f t="shared" si="1518"/>
        <v>0</v>
      </c>
      <c r="W1923" s="7" t="s">
        <v>97</v>
      </c>
      <c r="X1923" s="2">
        <v>2016</v>
      </c>
      <c r="Y1923" s="2" t="s">
        <v>7793</v>
      </c>
    </row>
    <row r="1924" spans="1:25" s="11" customFormat="1" ht="89.25" customHeight="1" outlineLevel="1" x14ac:dyDescent="0.25">
      <c r="A1924" s="1"/>
      <c r="B1924" s="2" t="s">
        <v>8319</v>
      </c>
      <c r="C1924" s="3" t="s">
        <v>83</v>
      </c>
      <c r="D1924" s="19" t="s">
        <v>3395</v>
      </c>
      <c r="E1924" s="19" t="s">
        <v>3282</v>
      </c>
      <c r="F1924" s="19" t="s">
        <v>3396</v>
      </c>
      <c r="G1924" s="19" t="s">
        <v>3398</v>
      </c>
      <c r="H1924" s="2" t="s">
        <v>88</v>
      </c>
      <c r="I1924" s="4">
        <v>0</v>
      </c>
      <c r="J1924" s="5">
        <v>710000000</v>
      </c>
      <c r="K1924" s="5" t="s">
        <v>89</v>
      </c>
      <c r="L1924" s="2" t="s">
        <v>754</v>
      </c>
      <c r="M1924" s="6" t="s">
        <v>91</v>
      </c>
      <c r="N1924" s="7" t="s">
        <v>92</v>
      </c>
      <c r="O1924" s="7" t="s">
        <v>93</v>
      </c>
      <c r="P1924" s="3" t="s">
        <v>673</v>
      </c>
      <c r="Q1924" s="8" t="s">
        <v>544</v>
      </c>
      <c r="R1924" s="7" t="s">
        <v>111</v>
      </c>
      <c r="S1924" s="9">
        <v>3</v>
      </c>
      <c r="T1924" s="9">
        <v>268</v>
      </c>
      <c r="U1924" s="9">
        <f t="shared" ref="U1924" si="1550">T1924*S1924</f>
        <v>804</v>
      </c>
      <c r="V1924" s="9">
        <f t="shared" ref="V1924" si="1551">U1924*1.12</f>
        <v>900.48000000000013</v>
      </c>
      <c r="W1924" s="7"/>
      <c r="X1924" s="2">
        <v>2016</v>
      </c>
      <c r="Y1924" s="2"/>
    </row>
    <row r="1925" spans="1:25" s="11" customFormat="1" ht="89.25" customHeight="1" outlineLevel="1" x14ac:dyDescent="0.25">
      <c r="A1925" s="1"/>
      <c r="B1925" s="2" t="s">
        <v>6446</v>
      </c>
      <c r="C1925" s="3" t="s">
        <v>83</v>
      </c>
      <c r="D1925" s="19" t="s">
        <v>3395</v>
      </c>
      <c r="E1925" s="19" t="s">
        <v>3282</v>
      </c>
      <c r="F1925" s="19" t="s">
        <v>3396</v>
      </c>
      <c r="G1925" s="19" t="s">
        <v>3399</v>
      </c>
      <c r="H1925" s="2" t="s">
        <v>88</v>
      </c>
      <c r="I1925" s="4">
        <v>0.4</v>
      </c>
      <c r="J1925" s="5">
        <v>710000000</v>
      </c>
      <c r="K1925" s="5" t="s">
        <v>89</v>
      </c>
      <c r="L1925" s="2" t="s">
        <v>754</v>
      </c>
      <c r="M1925" s="6" t="s">
        <v>91</v>
      </c>
      <c r="N1925" s="7" t="s">
        <v>92</v>
      </c>
      <c r="O1925" s="7" t="s">
        <v>93</v>
      </c>
      <c r="P1925" s="3" t="s">
        <v>94</v>
      </c>
      <c r="Q1925" s="8" t="s">
        <v>544</v>
      </c>
      <c r="R1925" s="7" t="s">
        <v>111</v>
      </c>
      <c r="S1925" s="9">
        <v>3</v>
      </c>
      <c r="T1925" s="9">
        <v>259</v>
      </c>
      <c r="U1925" s="9">
        <v>0</v>
      </c>
      <c r="V1925" s="9">
        <f t="shared" si="1518"/>
        <v>0</v>
      </c>
      <c r="W1925" s="7" t="s">
        <v>97</v>
      </c>
      <c r="X1925" s="2">
        <v>2016</v>
      </c>
      <c r="Y1925" s="2" t="s">
        <v>7793</v>
      </c>
    </row>
    <row r="1926" spans="1:25" s="11" customFormat="1" ht="89.25" customHeight="1" outlineLevel="1" x14ac:dyDescent="0.25">
      <c r="A1926" s="1"/>
      <c r="B1926" s="2" t="s">
        <v>8320</v>
      </c>
      <c r="C1926" s="3" t="s">
        <v>83</v>
      </c>
      <c r="D1926" s="19" t="s">
        <v>3395</v>
      </c>
      <c r="E1926" s="19" t="s">
        <v>3282</v>
      </c>
      <c r="F1926" s="19" t="s">
        <v>3396</v>
      </c>
      <c r="G1926" s="19" t="s">
        <v>3399</v>
      </c>
      <c r="H1926" s="2" t="s">
        <v>88</v>
      </c>
      <c r="I1926" s="4">
        <v>0</v>
      </c>
      <c r="J1926" s="5">
        <v>710000000</v>
      </c>
      <c r="K1926" s="5" t="s">
        <v>89</v>
      </c>
      <c r="L1926" s="2" t="s">
        <v>754</v>
      </c>
      <c r="M1926" s="6" t="s">
        <v>91</v>
      </c>
      <c r="N1926" s="7" t="s">
        <v>92</v>
      </c>
      <c r="O1926" s="7" t="s">
        <v>93</v>
      </c>
      <c r="P1926" s="3" t="s">
        <v>673</v>
      </c>
      <c r="Q1926" s="8" t="s">
        <v>544</v>
      </c>
      <c r="R1926" s="7" t="s">
        <v>111</v>
      </c>
      <c r="S1926" s="9">
        <v>3</v>
      </c>
      <c r="T1926" s="9">
        <v>259</v>
      </c>
      <c r="U1926" s="9">
        <f t="shared" ref="U1926" si="1552">T1926*S1926</f>
        <v>777</v>
      </c>
      <c r="V1926" s="9">
        <f t="shared" ref="V1926" si="1553">U1926*1.12</f>
        <v>870.24000000000012</v>
      </c>
      <c r="W1926" s="7"/>
      <c r="X1926" s="2">
        <v>2016</v>
      </c>
      <c r="Y1926" s="2"/>
    </row>
    <row r="1927" spans="1:25" s="11" customFormat="1" ht="89.25" customHeight="1" outlineLevel="1" x14ac:dyDescent="0.25">
      <c r="A1927" s="1"/>
      <c r="B1927" s="2" t="s">
        <v>6447</v>
      </c>
      <c r="C1927" s="3" t="s">
        <v>83</v>
      </c>
      <c r="D1927" s="19" t="s">
        <v>3395</v>
      </c>
      <c r="E1927" s="19" t="s">
        <v>3282</v>
      </c>
      <c r="F1927" s="19" t="s">
        <v>3396</v>
      </c>
      <c r="G1927" s="19" t="s">
        <v>3400</v>
      </c>
      <c r="H1927" s="2" t="s">
        <v>88</v>
      </c>
      <c r="I1927" s="4">
        <v>0.4</v>
      </c>
      <c r="J1927" s="5">
        <v>710000000</v>
      </c>
      <c r="K1927" s="5" t="s">
        <v>89</v>
      </c>
      <c r="L1927" s="2" t="s">
        <v>754</v>
      </c>
      <c r="M1927" s="6" t="s">
        <v>91</v>
      </c>
      <c r="N1927" s="7" t="s">
        <v>92</v>
      </c>
      <c r="O1927" s="7" t="s">
        <v>93</v>
      </c>
      <c r="P1927" s="3" t="s">
        <v>94</v>
      </c>
      <c r="Q1927" s="8" t="s">
        <v>544</v>
      </c>
      <c r="R1927" s="7" t="s">
        <v>111</v>
      </c>
      <c r="S1927" s="9">
        <v>10</v>
      </c>
      <c r="T1927" s="9">
        <v>313</v>
      </c>
      <c r="U1927" s="9">
        <v>0</v>
      </c>
      <c r="V1927" s="9">
        <f t="shared" si="1518"/>
        <v>0</v>
      </c>
      <c r="W1927" s="7" t="s">
        <v>97</v>
      </c>
      <c r="X1927" s="2">
        <v>2016</v>
      </c>
      <c r="Y1927" s="2" t="s">
        <v>7793</v>
      </c>
    </row>
    <row r="1928" spans="1:25" s="11" customFormat="1" ht="89.25" customHeight="1" outlineLevel="1" x14ac:dyDescent="0.25">
      <c r="A1928" s="1"/>
      <c r="B1928" s="2" t="s">
        <v>8321</v>
      </c>
      <c r="C1928" s="3" t="s">
        <v>83</v>
      </c>
      <c r="D1928" s="19" t="s">
        <v>3395</v>
      </c>
      <c r="E1928" s="19" t="s">
        <v>3282</v>
      </c>
      <c r="F1928" s="19" t="s">
        <v>3396</v>
      </c>
      <c r="G1928" s="19" t="s">
        <v>3400</v>
      </c>
      <c r="H1928" s="2" t="s">
        <v>88</v>
      </c>
      <c r="I1928" s="4">
        <v>0</v>
      </c>
      <c r="J1928" s="5">
        <v>710000000</v>
      </c>
      <c r="K1928" s="5" t="s">
        <v>89</v>
      </c>
      <c r="L1928" s="2" t="s">
        <v>754</v>
      </c>
      <c r="M1928" s="6" t="s">
        <v>91</v>
      </c>
      <c r="N1928" s="7" t="s">
        <v>92</v>
      </c>
      <c r="O1928" s="7" t="s">
        <v>93</v>
      </c>
      <c r="P1928" s="3" t="s">
        <v>673</v>
      </c>
      <c r="Q1928" s="8" t="s">
        <v>544</v>
      </c>
      <c r="R1928" s="7" t="s">
        <v>111</v>
      </c>
      <c r="S1928" s="9">
        <v>10</v>
      </c>
      <c r="T1928" s="9">
        <v>313</v>
      </c>
      <c r="U1928" s="9">
        <f t="shared" ref="U1928" si="1554">T1928*S1928</f>
        <v>3130</v>
      </c>
      <c r="V1928" s="9">
        <f t="shared" ref="V1928" si="1555">U1928*1.12</f>
        <v>3505.6000000000004</v>
      </c>
      <c r="W1928" s="7"/>
      <c r="X1928" s="2">
        <v>2016</v>
      </c>
      <c r="Y1928" s="2"/>
    </row>
    <row r="1929" spans="1:25" s="11" customFormat="1" ht="89.25" customHeight="1" outlineLevel="1" x14ac:dyDescent="0.25">
      <c r="A1929" s="1"/>
      <c r="B1929" s="2" t="s">
        <v>6448</v>
      </c>
      <c r="C1929" s="3" t="s">
        <v>83</v>
      </c>
      <c r="D1929" s="19" t="s">
        <v>3395</v>
      </c>
      <c r="E1929" s="19" t="s">
        <v>3282</v>
      </c>
      <c r="F1929" s="19" t="s">
        <v>3396</v>
      </c>
      <c r="G1929" s="19" t="s">
        <v>3401</v>
      </c>
      <c r="H1929" s="2" t="s">
        <v>88</v>
      </c>
      <c r="I1929" s="4">
        <v>0.4</v>
      </c>
      <c r="J1929" s="5">
        <v>710000000</v>
      </c>
      <c r="K1929" s="5" t="s">
        <v>89</v>
      </c>
      <c r="L1929" s="2" t="s">
        <v>754</v>
      </c>
      <c r="M1929" s="6" t="s">
        <v>91</v>
      </c>
      <c r="N1929" s="7" t="s">
        <v>92</v>
      </c>
      <c r="O1929" s="7" t="s">
        <v>93</v>
      </c>
      <c r="P1929" s="3" t="s">
        <v>94</v>
      </c>
      <c r="Q1929" s="8" t="s">
        <v>544</v>
      </c>
      <c r="R1929" s="7" t="s">
        <v>111</v>
      </c>
      <c r="S1929" s="9">
        <v>38</v>
      </c>
      <c r="T1929" s="9">
        <v>313</v>
      </c>
      <c r="U1929" s="9">
        <v>0</v>
      </c>
      <c r="V1929" s="9">
        <f t="shared" si="1518"/>
        <v>0</v>
      </c>
      <c r="W1929" s="7" t="s">
        <v>97</v>
      </c>
      <c r="X1929" s="2">
        <v>2016</v>
      </c>
      <c r="Y1929" s="2" t="s">
        <v>7793</v>
      </c>
    </row>
    <row r="1930" spans="1:25" s="11" customFormat="1" ht="89.25" customHeight="1" outlineLevel="1" x14ac:dyDescent="0.25">
      <c r="A1930" s="1"/>
      <c r="B1930" s="2" t="s">
        <v>8322</v>
      </c>
      <c r="C1930" s="3" t="s">
        <v>83</v>
      </c>
      <c r="D1930" s="19" t="s">
        <v>3395</v>
      </c>
      <c r="E1930" s="19" t="s">
        <v>3282</v>
      </c>
      <c r="F1930" s="19" t="s">
        <v>3396</v>
      </c>
      <c r="G1930" s="19" t="s">
        <v>3401</v>
      </c>
      <c r="H1930" s="2" t="s">
        <v>88</v>
      </c>
      <c r="I1930" s="4">
        <v>0</v>
      </c>
      <c r="J1930" s="5">
        <v>710000000</v>
      </c>
      <c r="K1930" s="5" t="s">
        <v>89</v>
      </c>
      <c r="L1930" s="2" t="s">
        <v>754</v>
      </c>
      <c r="M1930" s="6" t="s">
        <v>91</v>
      </c>
      <c r="N1930" s="7" t="s">
        <v>92</v>
      </c>
      <c r="O1930" s="7" t="s">
        <v>93</v>
      </c>
      <c r="P1930" s="3" t="s">
        <v>673</v>
      </c>
      <c r="Q1930" s="8" t="s">
        <v>544</v>
      </c>
      <c r="R1930" s="7" t="s">
        <v>111</v>
      </c>
      <c r="S1930" s="9">
        <v>38</v>
      </c>
      <c r="T1930" s="9">
        <v>313</v>
      </c>
      <c r="U1930" s="9">
        <f t="shared" ref="U1930" si="1556">T1930*S1930</f>
        <v>11894</v>
      </c>
      <c r="V1930" s="9">
        <f t="shared" ref="V1930" si="1557">U1930*1.12</f>
        <v>13321.28</v>
      </c>
      <c r="W1930" s="7"/>
      <c r="X1930" s="2">
        <v>2016</v>
      </c>
      <c r="Y1930" s="2"/>
    </row>
    <row r="1931" spans="1:25" s="11" customFormat="1" ht="89.25" customHeight="1" outlineLevel="1" x14ac:dyDescent="0.25">
      <c r="A1931" s="1"/>
      <c r="B1931" s="2" t="s">
        <v>6449</v>
      </c>
      <c r="C1931" s="3" t="s">
        <v>83</v>
      </c>
      <c r="D1931" s="19" t="s">
        <v>3276</v>
      </c>
      <c r="E1931" s="19" t="s">
        <v>3272</v>
      </c>
      <c r="F1931" s="19" t="s">
        <v>3277</v>
      </c>
      <c r="G1931" s="19" t="s">
        <v>3402</v>
      </c>
      <c r="H1931" s="2" t="s">
        <v>88</v>
      </c>
      <c r="I1931" s="4">
        <v>0.4</v>
      </c>
      <c r="J1931" s="5">
        <v>710000000</v>
      </c>
      <c r="K1931" s="5" t="s">
        <v>89</v>
      </c>
      <c r="L1931" s="2" t="s">
        <v>754</v>
      </c>
      <c r="M1931" s="6" t="s">
        <v>91</v>
      </c>
      <c r="N1931" s="7" t="s">
        <v>92</v>
      </c>
      <c r="O1931" s="7" t="s">
        <v>93</v>
      </c>
      <c r="P1931" s="3" t="s">
        <v>94</v>
      </c>
      <c r="Q1931" s="8" t="s">
        <v>117</v>
      </c>
      <c r="R1931" s="7" t="s">
        <v>118</v>
      </c>
      <c r="S1931" s="9">
        <v>2700</v>
      </c>
      <c r="T1931" s="9">
        <v>6</v>
      </c>
      <c r="U1931" s="9">
        <v>0</v>
      </c>
      <c r="V1931" s="9">
        <f t="shared" si="1518"/>
        <v>0</v>
      </c>
      <c r="W1931" s="7" t="s">
        <v>97</v>
      </c>
      <c r="X1931" s="2">
        <v>2016</v>
      </c>
      <c r="Y1931" s="2" t="s">
        <v>7793</v>
      </c>
    </row>
    <row r="1932" spans="1:25" s="11" customFormat="1" ht="89.25" customHeight="1" outlineLevel="1" x14ac:dyDescent="0.25">
      <c r="A1932" s="1"/>
      <c r="B1932" s="2" t="s">
        <v>8323</v>
      </c>
      <c r="C1932" s="3" t="s">
        <v>83</v>
      </c>
      <c r="D1932" s="19" t="s">
        <v>3276</v>
      </c>
      <c r="E1932" s="19" t="s">
        <v>3272</v>
      </c>
      <c r="F1932" s="19" t="s">
        <v>3277</v>
      </c>
      <c r="G1932" s="19" t="s">
        <v>3402</v>
      </c>
      <c r="H1932" s="2" t="s">
        <v>88</v>
      </c>
      <c r="I1932" s="4">
        <v>0</v>
      </c>
      <c r="J1932" s="5">
        <v>710000000</v>
      </c>
      <c r="K1932" s="5" t="s">
        <v>89</v>
      </c>
      <c r="L1932" s="2" t="s">
        <v>754</v>
      </c>
      <c r="M1932" s="6" t="s">
        <v>91</v>
      </c>
      <c r="N1932" s="7" t="s">
        <v>92</v>
      </c>
      <c r="O1932" s="7" t="s">
        <v>93</v>
      </c>
      <c r="P1932" s="3" t="s">
        <v>673</v>
      </c>
      <c r="Q1932" s="8" t="s">
        <v>117</v>
      </c>
      <c r="R1932" s="7" t="s">
        <v>118</v>
      </c>
      <c r="S1932" s="9">
        <v>2700</v>
      </c>
      <c r="T1932" s="9">
        <v>6</v>
      </c>
      <c r="U1932" s="9">
        <f t="shared" ref="U1932" si="1558">T1932*S1932</f>
        <v>16200</v>
      </c>
      <c r="V1932" s="9">
        <f t="shared" ref="V1932" si="1559">U1932*1.12</f>
        <v>18144</v>
      </c>
      <c r="W1932" s="7"/>
      <c r="X1932" s="2">
        <v>2016</v>
      </c>
      <c r="Y1932" s="2"/>
    </row>
    <row r="1933" spans="1:25" s="11" customFormat="1" ht="89.25" customHeight="1" outlineLevel="1" x14ac:dyDescent="0.25">
      <c r="A1933" s="1"/>
      <c r="B1933" s="2" t="s">
        <v>6450</v>
      </c>
      <c r="C1933" s="3" t="s">
        <v>83</v>
      </c>
      <c r="D1933" s="19" t="s">
        <v>3276</v>
      </c>
      <c r="E1933" s="19" t="s">
        <v>3272</v>
      </c>
      <c r="F1933" s="19" t="s">
        <v>3277</v>
      </c>
      <c r="G1933" s="19" t="s">
        <v>3403</v>
      </c>
      <c r="H1933" s="2" t="s">
        <v>88</v>
      </c>
      <c r="I1933" s="4">
        <v>0.4</v>
      </c>
      <c r="J1933" s="5">
        <v>710000000</v>
      </c>
      <c r="K1933" s="5" t="s">
        <v>89</v>
      </c>
      <c r="L1933" s="2" t="s">
        <v>754</v>
      </c>
      <c r="M1933" s="6" t="s">
        <v>91</v>
      </c>
      <c r="N1933" s="7" t="s">
        <v>92</v>
      </c>
      <c r="O1933" s="7" t="s">
        <v>93</v>
      </c>
      <c r="P1933" s="3" t="s">
        <v>94</v>
      </c>
      <c r="Q1933" s="8" t="s">
        <v>117</v>
      </c>
      <c r="R1933" s="7" t="s">
        <v>118</v>
      </c>
      <c r="S1933" s="9">
        <v>2700</v>
      </c>
      <c r="T1933" s="9">
        <v>6</v>
      </c>
      <c r="U1933" s="9">
        <v>0</v>
      </c>
      <c r="V1933" s="9">
        <f t="shared" si="1518"/>
        <v>0</v>
      </c>
      <c r="W1933" s="7" t="s">
        <v>97</v>
      </c>
      <c r="X1933" s="2">
        <v>2016</v>
      </c>
      <c r="Y1933" s="2" t="s">
        <v>7793</v>
      </c>
    </row>
    <row r="1934" spans="1:25" s="11" customFormat="1" ht="89.25" customHeight="1" outlineLevel="1" x14ac:dyDescent="0.25">
      <c r="A1934" s="1"/>
      <c r="B1934" s="2" t="s">
        <v>8324</v>
      </c>
      <c r="C1934" s="3" t="s">
        <v>83</v>
      </c>
      <c r="D1934" s="19" t="s">
        <v>3276</v>
      </c>
      <c r="E1934" s="19" t="s">
        <v>3272</v>
      </c>
      <c r="F1934" s="19" t="s">
        <v>3277</v>
      </c>
      <c r="G1934" s="19" t="s">
        <v>3403</v>
      </c>
      <c r="H1934" s="2" t="s">
        <v>88</v>
      </c>
      <c r="I1934" s="4">
        <v>0</v>
      </c>
      <c r="J1934" s="5">
        <v>710000000</v>
      </c>
      <c r="K1934" s="5" t="s">
        <v>89</v>
      </c>
      <c r="L1934" s="2" t="s">
        <v>754</v>
      </c>
      <c r="M1934" s="6" t="s">
        <v>91</v>
      </c>
      <c r="N1934" s="7" t="s">
        <v>92</v>
      </c>
      <c r="O1934" s="7" t="s">
        <v>93</v>
      </c>
      <c r="P1934" s="3" t="s">
        <v>673</v>
      </c>
      <c r="Q1934" s="8" t="s">
        <v>117</v>
      </c>
      <c r="R1934" s="7" t="s">
        <v>118</v>
      </c>
      <c r="S1934" s="9">
        <v>2700</v>
      </c>
      <c r="T1934" s="9">
        <v>6</v>
      </c>
      <c r="U1934" s="9">
        <f t="shared" ref="U1934" si="1560">T1934*S1934</f>
        <v>16200</v>
      </c>
      <c r="V1934" s="9">
        <f t="shared" ref="V1934" si="1561">U1934*1.12</f>
        <v>18144</v>
      </c>
      <c r="W1934" s="7"/>
      <c r="X1934" s="2">
        <v>2016</v>
      </c>
      <c r="Y1934" s="2"/>
    </row>
    <row r="1935" spans="1:25" s="11" customFormat="1" ht="89.25" customHeight="1" outlineLevel="1" x14ac:dyDescent="0.25">
      <c r="A1935" s="1"/>
      <c r="B1935" s="2" t="s">
        <v>6451</v>
      </c>
      <c r="C1935" s="3" t="s">
        <v>83</v>
      </c>
      <c r="D1935" s="19" t="s">
        <v>3276</v>
      </c>
      <c r="E1935" s="19" t="s">
        <v>3272</v>
      </c>
      <c r="F1935" s="19" t="s">
        <v>3277</v>
      </c>
      <c r="G1935" s="19" t="s">
        <v>3404</v>
      </c>
      <c r="H1935" s="2" t="s">
        <v>88</v>
      </c>
      <c r="I1935" s="4">
        <v>0.4</v>
      </c>
      <c r="J1935" s="5">
        <v>710000000</v>
      </c>
      <c r="K1935" s="5" t="s">
        <v>89</v>
      </c>
      <c r="L1935" s="2" t="s">
        <v>754</v>
      </c>
      <c r="M1935" s="6" t="s">
        <v>91</v>
      </c>
      <c r="N1935" s="7" t="s">
        <v>92</v>
      </c>
      <c r="O1935" s="7" t="s">
        <v>93</v>
      </c>
      <c r="P1935" s="3" t="s">
        <v>94</v>
      </c>
      <c r="Q1935" s="8" t="s">
        <v>117</v>
      </c>
      <c r="R1935" s="7" t="s">
        <v>118</v>
      </c>
      <c r="S1935" s="9">
        <v>1500</v>
      </c>
      <c r="T1935" s="9">
        <v>6</v>
      </c>
      <c r="U1935" s="9">
        <v>0</v>
      </c>
      <c r="V1935" s="9">
        <f t="shared" si="1518"/>
        <v>0</v>
      </c>
      <c r="W1935" s="7" t="s">
        <v>97</v>
      </c>
      <c r="X1935" s="2">
        <v>2016</v>
      </c>
      <c r="Y1935" s="2" t="s">
        <v>7793</v>
      </c>
    </row>
    <row r="1936" spans="1:25" s="11" customFormat="1" ht="89.25" customHeight="1" outlineLevel="1" x14ac:dyDescent="0.25">
      <c r="A1936" s="1"/>
      <c r="B1936" s="2" t="s">
        <v>8325</v>
      </c>
      <c r="C1936" s="3" t="s">
        <v>83</v>
      </c>
      <c r="D1936" s="19" t="s">
        <v>3276</v>
      </c>
      <c r="E1936" s="19" t="s">
        <v>3272</v>
      </c>
      <c r="F1936" s="19" t="s">
        <v>3277</v>
      </c>
      <c r="G1936" s="19" t="s">
        <v>3404</v>
      </c>
      <c r="H1936" s="2" t="s">
        <v>88</v>
      </c>
      <c r="I1936" s="4">
        <v>0</v>
      </c>
      <c r="J1936" s="5">
        <v>710000000</v>
      </c>
      <c r="K1936" s="5" t="s">
        <v>89</v>
      </c>
      <c r="L1936" s="2" t="s">
        <v>754</v>
      </c>
      <c r="M1936" s="6" t="s">
        <v>91</v>
      </c>
      <c r="N1936" s="7" t="s">
        <v>92</v>
      </c>
      <c r="O1936" s="7" t="s">
        <v>93</v>
      </c>
      <c r="P1936" s="3" t="s">
        <v>673</v>
      </c>
      <c r="Q1936" s="8" t="s">
        <v>117</v>
      </c>
      <c r="R1936" s="7" t="s">
        <v>118</v>
      </c>
      <c r="S1936" s="9">
        <v>1500</v>
      </c>
      <c r="T1936" s="9">
        <v>6</v>
      </c>
      <c r="U1936" s="9">
        <f t="shared" ref="U1936" si="1562">T1936*S1936</f>
        <v>9000</v>
      </c>
      <c r="V1936" s="9">
        <f t="shared" ref="V1936" si="1563">U1936*1.12</f>
        <v>10080.000000000002</v>
      </c>
      <c r="W1936" s="7"/>
      <c r="X1936" s="2">
        <v>2016</v>
      </c>
      <c r="Y1936" s="2"/>
    </row>
    <row r="1937" spans="1:25" s="11" customFormat="1" ht="89.25" customHeight="1" outlineLevel="1" x14ac:dyDescent="0.25">
      <c r="A1937" s="1"/>
      <c r="B1937" s="2" t="s">
        <v>6452</v>
      </c>
      <c r="C1937" s="3" t="s">
        <v>83</v>
      </c>
      <c r="D1937" s="19" t="s">
        <v>3295</v>
      </c>
      <c r="E1937" s="19" t="s">
        <v>3296</v>
      </c>
      <c r="F1937" s="19" t="s">
        <v>3297</v>
      </c>
      <c r="G1937" s="19" t="s">
        <v>3405</v>
      </c>
      <c r="H1937" s="2" t="s">
        <v>88</v>
      </c>
      <c r="I1937" s="4">
        <v>0.4</v>
      </c>
      <c r="J1937" s="5">
        <v>710000000</v>
      </c>
      <c r="K1937" s="5" t="s">
        <v>89</v>
      </c>
      <c r="L1937" s="2" t="s">
        <v>754</v>
      </c>
      <c r="M1937" s="6" t="s">
        <v>91</v>
      </c>
      <c r="N1937" s="7" t="s">
        <v>92</v>
      </c>
      <c r="O1937" s="7" t="s">
        <v>93</v>
      </c>
      <c r="P1937" s="3" t="s">
        <v>94</v>
      </c>
      <c r="Q1937" s="8" t="s">
        <v>117</v>
      </c>
      <c r="R1937" s="7" t="s">
        <v>118</v>
      </c>
      <c r="S1937" s="9">
        <v>148</v>
      </c>
      <c r="T1937" s="9">
        <v>11</v>
      </c>
      <c r="U1937" s="9">
        <v>0</v>
      </c>
      <c r="V1937" s="9">
        <f t="shared" si="1518"/>
        <v>0</v>
      </c>
      <c r="W1937" s="7" t="s">
        <v>97</v>
      </c>
      <c r="X1937" s="2">
        <v>2016</v>
      </c>
      <c r="Y1937" s="2" t="s">
        <v>7793</v>
      </c>
    </row>
    <row r="1938" spans="1:25" s="11" customFormat="1" ht="89.25" customHeight="1" outlineLevel="1" x14ac:dyDescent="0.25">
      <c r="A1938" s="1"/>
      <c r="B1938" s="2" t="s">
        <v>8326</v>
      </c>
      <c r="C1938" s="3" t="s">
        <v>83</v>
      </c>
      <c r="D1938" s="19" t="s">
        <v>3295</v>
      </c>
      <c r="E1938" s="19" t="s">
        <v>3296</v>
      </c>
      <c r="F1938" s="19" t="s">
        <v>3297</v>
      </c>
      <c r="G1938" s="19" t="s">
        <v>3405</v>
      </c>
      <c r="H1938" s="2" t="s">
        <v>88</v>
      </c>
      <c r="I1938" s="4">
        <v>0</v>
      </c>
      <c r="J1938" s="5">
        <v>710000000</v>
      </c>
      <c r="K1938" s="5" t="s">
        <v>89</v>
      </c>
      <c r="L1938" s="2" t="s">
        <v>754</v>
      </c>
      <c r="M1938" s="6" t="s">
        <v>91</v>
      </c>
      <c r="N1938" s="7" t="s">
        <v>92</v>
      </c>
      <c r="O1938" s="7" t="s">
        <v>93</v>
      </c>
      <c r="P1938" s="3" t="s">
        <v>673</v>
      </c>
      <c r="Q1938" s="8" t="s">
        <v>117</v>
      </c>
      <c r="R1938" s="7" t="s">
        <v>118</v>
      </c>
      <c r="S1938" s="9">
        <v>148</v>
      </c>
      <c r="T1938" s="9">
        <v>11</v>
      </c>
      <c r="U1938" s="9">
        <f t="shared" ref="U1938" si="1564">T1938*S1938</f>
        <v>1628</v>
      </c>
      <c r="V1938" s="9">
        <f t="shared" ref="V1938" si="1565">U1938*1.12</f>
        <v>1823.3600000000001</v>
      </c>
      <c r="W1938" s="7"/>
      <c r="X1938" s="2">
        <v>2016</v>
      </c>
      <c r="Y1938" s="2"/>
    </row>
    <row r="1939" spans="1:25" s="11" customFormat="1" ht="89.25" customHeight="1" outlineLevel="1" x14ac:dyDescent="0.25">
      <c r="A1939" s="1"/>
      <c r="B1939" s="2" t="s">
        <v>6453</v>
      </c>
      <c r="C1939" s="3" t="s">
        <v>83</v>
      </c>
      <c r="D1939" s="19" t="s">
        <v>3295</v>
      </c>
      <c r="E1939" s="19" t="s">
        <v>3296</v>
      </c>
      <c r="F1939" s="19" t="s">
        <v>3297</v>
      </c>
      <c r="G1939" s="19" t="s">
        <v>3294</v>
      </c>
      <c r="H1939" s="2" t="s">
        <v>88</v>
      </c>
      <c r="I1939" s="4">
        <v>0.4</v>
      </c>
      <c r="J1939" s="5">
        <v>710000000</v>
      </c>
      <c r="K1939" s="5" t="s">
        <v>89</v>
      </c>
      <c r="L1939" s="2" t="s">
        <v>754</v>
      </c>
      <c r="M1939" s="6" t="s">
        <v>91</v>
      </c>
      <c r="N1939" s="7" t="s">
        <v>92</v>
      </c>
      <c r="O1939" s="7" t="s">
        <v>93</v>
      </c>
      <c r="P1939" s="3" t="s">
        <v>94</v>
      </c>
      <c r="Q1939" s="8" t="s">
        <v>117</v>
      </c>
      <c r="R1939" s="7" t="s">
        <v>118</v>
      </c>
      <c r="S1939" s="9">
        <v>150</v>
      </c>
      <c r="T1939" s="9">
        <v>9</v>
      </c>
      <c r="U1939" s="9">
        <v>0</v>
      </c>
      <c r="V1939" s="9">
        <f t="shared" si="1518"/>
        <v>0</v>
      </c>
      <c r="W1939" s="7" t="s">
        <v>97</v>
      </c>
      <c r="X1939" s="2">
        <v>2016</v>
      </c>
      <c r="Y1939" s="2" t="s">
        <v>7793</v>
      </c>
    </row>
    <row r="1940" spans="1:25" s="11" customFormat="1" ht="89.25" customHeight="1" outlineLevel="1" x14ac:dyDescent="0.25">
      <c r="A1940" s="1"/>
      <c r="B1940" s="2" t="s">
        <v>8327</v>
      </c>
      <c r="C1940" s="3" t="s">
        <v>83</v>
      </c>
      <c r="D1940" s="19" t="s">
        <v>3295</v>
      </c>
      <c r="E1940" s="19" t="s">
        <v>3296</v>
      </c>
      <c r="F1940" s="19" t="s">
        <v>3297</v>
      </c>
      <c r="G1940" s="19" t="s">
        <v>3294</v>
      </c>
      <c r="H1940" s="2" t="s">
        <v>88</v>
      </c>
      <c r="I1940" s="4">
        <v>0</v>
      </c>
      <c r="J1940" s="5">
        <v>710000000</v>
      </c>
      <c r="K1940" s="5" t="s">
        <v>89</v>
      </c>
      <c r="L1940" s="2" t="s">
        <v>754</v>
      </c>
      <c r="M1940" s="6" t="s">
        <v>91</v>
      </c>
      <c r="N1940" s="7" t="s">
        <v>92</v>
      </c>
      <c r="O1940" s="7" t="s">
        <v>93</v>
      </c>
      <c r="P1940" s="3" t="s">
        <v>673</v>
      </c>
      <c r="Q1940" s="8" t="s">
        <v>117</v>
      </c>
      <c r="R1940" s="7" t="s">
        <v>118</v>
      </c>
      <c r="S1940" s="9">
        <v>150</v>
      </c>
      <c r="T1940" s="9">
        <v>9</v>
      </c>
      <c r="U1940" s="9">
        <f t="shared" ref="U1940" si="1566">T1940*S1940</f>
        <v>1350</v>
      </c>
      <c r="V1940" s="9">
        <f t="shared" ref="V1940" si="1567">U1940*1.12</f>
        <v>1512.0000000000002</v>
      </c>
      <c r="W1940" s="7"/>
      <c r="X1940" s="2">
        <v>2016</v>
      </c>
      <c r="Y1940" s="2"/>
    </row>
    <row r="1941" spans="1:25" s="11" customFormat="1" ht="89.25" customHeight="1" outlineLevel="1" x14ac:dyDescent="0.25">
      <c r="A1941" s="1"/>
      <c r="B1941" s="2" t="s">
        <v>6454</v>
      </c>
      <c r="C1941" s="3" t="s">
        <v>83</v>
      </c>
      <c r="D1941" s="19" t="s">
        <v>3267</v>
      </c>
      <c r="E1941" s="19" t="s">
        <v>3268</v>
      </c>
      <c r="F1941" s="19" t="s">
        <v>3269</v>
      </c>
      <c r="G1941" s="19" t="s">
        <v>3406</v>
      </c>
      <c r="H1941" s="2" t="s">
        <v>88</v>
      </c>
      <c r="I1941" s="4">
        <v>0.4</v>
      </c>
      <c r="J1941" s="5">
        <v>710000000</v>
      </c>
      <c r="K1941" s="5" t="s">
        <v>89</v>
      </c>
      <c r="L1941" s="2" t="s">
        <v>754</v>
      </c>
      <c r="M1941" s="6" t="s">
        <v>91</v>
      </c>
      <c r="N1941" s="7" t="s">
        <v>92</v>
      </c>
      <c r="O1941" s="7" t="s">
        <v>93</v>
      </c>
      <c r="P1941" s="3" t="s">
        <v>94</v>
      </c>
      <c r="Q1941" s="8" t="s">
        <v>3197</v>
      </c>
      <c r="R1941" s="7" t="s">
        <v>2412</v>
      </c>
      <c r="S1941" s="9">
        <v>10</v>
      </c>
      <c r="T1941" s="9">
        <v>5804</v>
      </c>
      <c r="U1941" s="9">
        <v>0</v>
      </c>
      <c r="V1941" s="9">
        <f t="shared" si="1518"/>
        <v>0</v>
      </c>
      <c r="W1941" s="7" t="s">
        <v>97</v>
      </c>
      <c r="X1941" s="2">
        <v>2016</v>
      </c>
      <c r="Y1941" s="2" t="s">
        <v>7793</v>
      </c>
    </row>
    <row r="1942" spans="1:25" s="11" customFormat="1" ht="89.25" customHeight="1" outlineLevel="1" x14ac:dyDescent="0.25">
      <c r="A1942" s="1"/>
      <c r="B1942" s="2" t="s">
        <v>8328</v>
      </c>
      <c r="C1942" s="3" t="s">
        <v>83</v>
      </c>
      <c r="D1942" s="19" t="s">
        <v>3267</v>
      </c>
      <c r="E1942" s="19" t="s">
        <v>3268</v>
      </c>
      <c r="F1942" s="19" t="s">
        <v>3269</v>
      </c>
      <c r="G1942" s="19" t="s">
        <v>3406</v>
      </c>
      <c r="H1942" s="2" t="s">
        <v>88</v>
      </c>
      <c r="I1942" s="4">
        <v>0</v>
      </c>
      <c r="J1942" s="5">
        <v>710000000</v>
      </c>
      <c r="K1942" s="5" t="s">
        <v>89</v>
      </c>
      <c r="L1942" s="2" t="s">
        <v>754</v>
      </c>
      <c r="M1942" s="6" t="s">
        <v>91</v>
      </c>
      <c r="N1942" s="7" t="s">
        <v>92</v>
      </c>
      <c r="O1942" s="7" t="s">
        <v>93</v>
      </c>
      <c r="P1942" s="3" t="s">
        <v>673</v>
      </c>
      <c r="Q1942" s="8" t="s">
        <v>3197</v>
      </c>
      <c r="R1942" s="7" t="s">
        <v>2412</v>
      </c>
      <c r="S1942" s="9">
        <v>10</v>
      </c>
      <c r="T1942" s="9">
        <v>5804</v>
      </c>
      <c r="U1942" s="9">
        <f t="shared" ref="U1942" si="1568">T1942*S1942</f>
        <v>58040</v>
      </c>
      <c r="V1942" s="9">
        <f t="shared" ref="V1942" si="1569">U1942*1.12</f>
        <v>65004.800000000003</v>
      </c>
      <c r="W1942" s="7"/>
      <c r="X1942" s="2">
        <v>2016</v>
      </c>
      <c r="Y1942" s="2"/>
    </row>
    <row r="1943" spans="1:25" s="11" customFormat="1" ht="89.25" customHeight="1" outlineLevel="1" x14ac:dyDescent="0.25">
      <c r="A1943" s="1"/>
      <c r="B1943" s="2" t="s">
        <v>6455</v>
      </c>
      <c r="C1943" s="3" t="s">
        <v>83</v>
      </c>
      <c r="D1943" s="19" t="s">
        <v>3407</v>
      </c>
      <c r="E1943" s="19" t="s">
        <v>3173</v>
      </c>
      <c r="F1943" s="19" t="s">
        <v>3174</v>
      </c>
      <c r="G1943" s="19" t="s">
        <v>3408</v>
      </c>
      <c r="H1943" s="2" t="s">
        <v>88</v>
      </c>
      <c r="I1943" s="4">
        <v>0.4</v>
      </c>
      <c r="J1943" s="5">
        <v>710000000</v>
      </c>
      <c r="K1943" s="5" t="s">
        <v>89</v>
      </c>
      <c r="L1943" s="2" t="s">
        <v>754</v>
      </c>
      <c r="M1943" s="6" t="s">
        <v>91</v>
      </c>
      <c r="N1943" s="7" t="s">
        <v>92</v>
      </c>
      <c r="O1943" s="7" t="s">
        <v>93</v>
      </c>
      <c r="P1943" s="3" t="s">
        <v>94</v>
      </c>
      <c r="Q1943" s="8" t="s">
        <v>117</v>
      </c>
      <c r="R1943" s="7" t="s">
        <v>118</v>
      </c>
      <c r="S1943" s="9">
        <v>5</v>
      </c>
      <c r="T1943" s="9">
        <v>1250</v>
      </c>
      <c r="U1943" s="9">
        <v>0</v>
      </c>
      <c r="V1943" s="9">
        <f t="shared" si="1518"/>
        <v>0</v>
      </c>
      <c r="W1943" s="7" t="s">
        <v>97</v>
      </c>
      <c r="X1943" s="2">
        <v>2016</v>
      </c>
      <c r="Y1943" s="2" t="s">
        <v>7793</v>
      </c>
    </row>
    <row r="1944" spans="1:25" s="11" customFormat="1" ht="89.25" customHeight="1" outlineLevel="1" x14ac:dyDescent="0.25">
      <c r="A1944" s="1"/>
      <c r="B1944" s="2" t="s">
        <v>8329</v>
      </c>
      <c r="C1944" s="3" t="s">
        <v>83</v>
      </c>
      <c r="D1944" s="19" t="s">
        <v>3407</v>
      </c>
      <c r="E1944" s="19" t="s">
        <v>3173</v>
      </c>
      <c r="F1944" s="19" t="s">
        <v>3174</v>
      </c>
      <c r="G1944" s="19" t="s">
        <v>3408</v>
      </c>
      <c r="H1944" s="2" t="s">
        <v>88</v>
      </c>
      <c r="I1944" s="4">
        <v>0</v>
      </c>
      <c r="J1944" s="5">
        <v>710000000</v>
      </c>
      <c r="K1944" s="5" t="s">
        <v>89</v>
      </c>
      <c r="L1944" s="2" t="s">
        <v>754</v>
      </c>
      <c r="M1944" s="6" t="s">
        <v>91</v>
      </c>
      <c r="N1944" s="7" t="s">
        <v>92</v>
      </c>
      <c r="O1944" s="7" t="s">
        <v>93</v>
      </c>
      <c r="P1944" s="3" t="s">
        <v>673</v>
      </c>
      <c r="Q1944" s="8" t="s">
        <v>117</v>
      </c>
      <c r="R1944" s="7" t="s">
        <v>118</v>
      </c>
      <c r="S1944" s="9">
        <v>5</v>
      </c>
      <c r="T1944" s="9">
        <v>1250</v>
      </c>
      <c r="U1944" s="9">
        <f t="shared" ref="U1944" si="1570">T1944*S1944</f>
        <v>6250</v>
      </c>
      <c r="V1944" s="9">
        <f t="shared" ref="V1944" si="1571">U1944*1.12</f>
        <v>7000.0000000000009</v>
      </c>
      <c r="W1944" s="7"/>
      <c r="X1944" s="2">
        <v>2016</v>
      </c>
      <c r="Y1944" s="2"/>
    </row>
    <row r="1945" spans="1:25" s="11" customFormat="1" ht="89.25" customHeight="1" outlineLevel="1" x14ac:dyDescent="0.25">
      <c r="A1945" s="1"/>
      <c r="B1945" s="2" t="s">
        <v>6456</v>
      </c>
      <c r="C1945" s="3" t="s">
        <v>83</v>
      </c>
      <c r="D1945" s="19" t="s">
        <v>3190</v>
      </c>
      <c r="E1945" s="19" t="s">
        <v>3173</v>
      </c>
      <c r="F1945" s="19" t="s">
        <v>3191</v>
      </c>
      <c r="G1945" s="19"/>
      <c r="H1945" s="2" t="s">
        <v>88</v>
      </c>
      <c r="I1945" s="4">
        <v>0.4</v>
      </c>
      <c r="J1945" s="5">
        <v>710000000</v>
      </c>
      <c r="K1945" s="5" t="s">
        <v>89</v>
      </c>
      <c r="L1945" s="2" t="s">
        <v>754</v>
      </c>
      <c r="M1945" s="6" t="s">
        <v>91</v>
      </c>
      <c r="N1945" s="7" t="s">
        <v>92</v>
      </c>
      <c r="O1945" s="7" t="s">
        <v>93</v>
      </c>
      <c r="P1945" s="3" t="s">
        <v>94</v>
      </c>
      <c r="Q1945" s="8" t="s">
        <v>117</v>
      </c>
      <c r="R1945" s="7" t="s">
        <v>118</v>
      </c>
      <c r="S1945" s="9">
        <v>34</v>
      </c>
      <c r="T1945" s="9">
        <v>613.88</v>
      </c>
      <c r="U1945" s="9">
        <v>0</v>
      </c>
      <c r="V1945" s="9">
        <f t="shared" si="1518"/>
        <v>0</v>
      </c>
      <c r="W1945" s="7" t="s">
        <v>97</v>
      </c>
      <c r="X1945" s="2">
        <v>2016</v>
      </c>
      <c r="Y1945" s="2" t="s">
        <v>7793</v>
      </c>
    </row>
    <row r="1946" spans="1:25" s="11" customFormat="1" ht="89.25" customHeight="1" outlineLevel="1" x14ac:dyDescent="0.25">
      <c r="A1946" s="1"/>
      <c r="B1946" s="2" t="s">
        <v>8330</v>
      </c>
      <c r="C1946" s="3" t="s">
        <v>83</v>
      </c>
      <c r="D1946" s="19" t="s">
        <v>3190</v>
      </c>
      <c r="E1946" s="19" t="s">
        <v>3173</v>
      </c>
      <c r="F1946" s="19" t="s">
        <v>3191</v>
      </c>
      <c r="G1946" s="19"/>
      <c r="H1946" s="2" t="s">
        <v>88</v>
      </c>
      <c r="I1946" s="4">
        <v>0</v>
      </c>
      <c r="J1946" s="5">
        <v>710000000</v>
      </c>
      <c r="K1946" s="5" t="s">
        <v>89</v>
      </c>
      <c r="L1946" s="2" t="s">
        <v>754</v>
      </c>
      <c r="M1946" s="6" t="s">
        <v>91</v>
      </c>
      <c r="N1946" s="7" t="s">
        <v>92</v>
      </c>
      <c r="O1946" s="7" t="s">
        <v>93</v>
      </c>
      <c r="P1946" s="3" t="s">
        <v>673</v>
      </c>
      <c r="Q1946" s="8" t="s">
        <v>117</v>
      </c>
      <c r="R1946" s="7" t="s">
        <v>118</v>
      </c>
      <c r="S1946" s="9">
        <v>34</v>
      </c>
      <c r="T1946" s="9">
        <v>613.88</v>
      </c>
      <c r="U1946" s="9">
        <f t="shared" ref="U1946" si="1572">T1946*S1946</f>
        <v>20871.919999999998</v>
      </c>
      <c r="V1946" s="9">
        <f t="shared" ref="V1946" si="1573">U1946*1.12</f>
        <v>23376.5504</v>
      </c>
      <c r="W1946" s="7"/>
      <c r="X1946" s="2">
        <v>2016</v>
      </c>
      <c r="Y1946" s="2"/>
    </row>
    <row r="1947" spans="1:25" s="11" customFormat="1" ht="89.25" customHeight="1" outlineLevel="1" x14ac:dyDescent="0.25">
      <c r="A1947" s="1"/>
      <c r="B1947" s="2" t="s">
        <v>6457</v>
      </c>
      <c r="C1947" s="3" t="s">
        <v>83</v>
      </c>
      <c r="D1947" s="19" t="s">
        <v>3409</v>
      </c>
      <c r="E1947" s="19" t="s">
        <v>3248</v>
      </c>
      <c r="F1947" s="19" t="s">
        <v>3410</v>
      </c>
      <c r="G1947" s="19"/>
      <c r="H1947" s="2" t="s">
        <v>88</v>
      </c>
      <c r="I1947" s="4">
        <v>0.4</v>
      </c>
      <c r="J1947" s="5">
        <v>710000000</v>
      </c>
      <c r="K1947" s="5" t="s">
        <v>89</v>
      </c>
      <c r="L1947" s="2" t="s">
        <v>754</v>
      </c>
      <c r="M1947" s="6" t="s">
        <v>91</v>
      </c>
      <c r="N1947" s="7" t="s">
        <v>92</v>
      </c>
      <c r="O1947" s="7" t="s">
        <v>93</v>
      </c>
      <c r="P1947" s="3" t="s">
        <v>94</v>
      </c>
      <c r="Q1947" s="8" t="s">
        <v>3085</v>
      </c>
      <c r="R1947" s="7" t="s">
        <v>3086</v>
      </c>
      <c r="S1947" s="9">
        <v>10</v>
      </c>
      <c r="T1947" s="9">
        <v>1554</v>
      </c>
      <c r="U1947" s="9">
        <v>0</v>
      </c>
      <c r="V1947" s="9">
        <f t="shared" si="1518"/>
        <v>0</v>
      </c>
      <c r="W1947" s="7" t="s">
        <v>97</v>
      </c>
      <c r="X1947" s="2">
        <v>2016</v>
      </c>
      <c r="Y1947" s="2" t="s">
        <v>7793</v>
      </c>
    </row>
    <row r="1948" spans="1:25" s="11" customFormat="1" ht="89.25" customHeight="1" outlineLevel="1" x14ac:dyDescent="0.25">
      <c r="A1948" s="1"/>
      <c r="B1948" s="2" t="s">
        <v>8331</v>
      </c>
      <c r="C1948" s="3" t="s">
        <v>83</v>
      </c>
      <c r="D1948" s="19" t="s">
        <v>3409</v>
      </c>
      <c r="E1948" s="19" t="s">
        <v>3248</v>
      </c>
      <c r="F1948" s="19" t="s">
        <v>3410</v>
      </c>
      <c r="G1948" s="19"/>
      <c r="H1948" s="2" t="s">
        <v>88</v>
      </c>
      <c r="I1948" s="4">
        <v>0</v>
      </c>
      <c r="J1948" s="5">
        <v>710000000</v>
      </c>
      <c r="K1948" s="5" t="s">
        <v>89</v>
      </c>
      <c r="L1948" s="2" t="s">
        <v>754</v>
      </c>
      <c r="M1948" s="6" t="s">
        <v>91</v>
      </c>
      <c r="N1948" s="7" t="s">
        <v>92</v>
      </c>
      <c r="O1948" s="7" t="s">
        <v>93</v>
      </c>
      <c r="P1948" s="3" t="s">
        <v>673</v>
      </c>
      <c r="Q1948" s="8" t="s">
        <v>3085</v>
      </c>
      <c r="R1948" s="7" t="s">
        <v>3086</v>
      </c>
      <c r="S1948" s="9">
        <v>10</v>
      </c>
      <c r="T1948" s="9">
        <v>1554</v>
      </c>
      <c r="U1948" s="9">
        <f t="shared" ref="U1948" si="1574">T1948*S1948</f>
        <v>15540</v>
      </c>
      <c r="V1948" s="9">
        <f t="shared" ref="V1948" si="1575">U1948*1.12</f>
        <v>17404.800000000003</v>
      </c>
      <c r="W1948" s="7"/>
      <c r="X1948" s="2">
        <v>2016</v>
      </c>
      <c r="Y1948" s="2"/>
    </row>
    <row r="1949" spans="1:25" s="11" customFormat="1" ht="89.25" customHeight="1" outlineLevel="1" x14ac:dyDescent="0.25">
      <c r="A1949" s="1"/>
      <c r="B1949" s="2" t="s">
        <v>6458</v>
      </c>
      <c r="C1949" s="3" t="s">
        <v>83</v>
      </c>
      <c r="D1949" s="19" t="s">
        <v>3251</v>
      </c>
      <c r="E1949" s="19" t="s">
        <v>3248</v>
      </c>
      <c r="F1949" s="19" t="s">
        <v>3252</v>
      </c>
      <c r="G1949" s="19"/>
      <c r="H1949" s="2" t="s">
        <v>88</v>
      </c>
      <c r="I1949" s="4">
        <v>0.4</v>
      </c>
      <c r="J1949" s="5">
        <v>710000000</v>
      </c>
      <c r="K1949" s="5" t="s">
        <v>89</v>
      </c>
      <c r="L1949" s="2" t="s">
        <v>754</v>
      </c>
      <c r="M1949" s="6" t="s">
        <v>91</v>
      </c>
      <c r="N1949" s="7" t="s">
        <v>92</v>
      </c>
      <c r="O1949" s="7" t="s">
        <v>93</v>
      </c>
      <c r="P1949" s="3" t="s">
        <v>94</v>
      </c>
      <c r="Q1949" s="8" t="s">
        <v>3085</v>
      </c>
      <c r="R1949" s="7" t="s">
        <v>3086</v>
      </c>
      <c r="S1949" s="9">
        <v>10</v>
      </c>
      <c r="T1949" s="9">
        <v>1554</v>
      </c>
      <c r="U1949" s="9">
        <v>0</v>
      </c>
      <c r="V1949" s="9">
        <f t="shared" si="1518"/>
        <v>0</v>
      </c>
      <c r="W1949" s="7" t="s">
        <v>97</v>
      </c>
      <c r="X1949" s="2">
        <v>2016</v>
      </c>
      <c r="Y1949" s="2" t="s">
        <v>7793</v>
      </c>
    </row>
    <row r="1950" spans="1:25" s="11" customFormat="1" ht="89.25" customHeight="1" outlineLevel="1" x14ac:dyDescent="0.25">
      <c r="A1950" s="1"/>
      <c r="B1950" s="2" t="s">
        <v>8332</v>
      </c>
      <c r="C1950" s="3" t="s">
        <v>83</v>
      </c>
      <c r="D1950" s="19" t="s">
        <v>3251</v>
      </c>
      <c r="E1950" s="19" t="s">
        <v>3248</v>
      </c>
      <c r="F1950" s="19" t="s">
        <v>3252</v>
      </c>
      <c r="G1950" s="19"/>
      <c r="H1950" s="2" t="s">
        <v>88</v>
      </c>
      <c r="I1950" s="4">
        <v>0</v>
      </c>
      <c r="J1950" s="5">
        <v>710000000</v>
      </c>
      <c r="K1950" s="5" t="s">
        <v>89</v>
      </c>
      <c r="L1950" s="2" t="s">
        <v>754</v>
      </c>
      <c r="M1950" s="6" t="s">
        <v>91</v>
      </c>
      <c r="N1950" s="7" t="s">
        <v>92</v>
      </c>
      <c r="O1950" s="7" t="s">
        <v>93</v>
      </c>
      <c r="P1950" s="3" t="s">
        <v>673</v>
      </c>
      <c r="Q1950" s="8" t="s">
        <v>3085</v>
      </c>
      <c r="R1950" s="7" t="s">
        <v>3086</v>
      </c>
      <c r="S1950" s="9">
        <v>10</v>
      </c>
      <c r="T1950" s="9">
        <v>1554</v>
      </c>
      <c r="U1950" s="9">
        <f t="shared" ref="U1950" si="1576">T1950*S1950</f>
        <v>15540</v>
      </c>
      <c r="V1950" s="9">
        <f t="shared" ref="V1950" si="1577">U1950*1.12</f>
        <v>17404.800000000003</v>
      </c>
      <c r="W1950" s="7"/>
      <c r="X1950" s="2">
        <v>2016</v>
      </c>
      <c r="Y1950" s="2"/>
    </row>
    <row r="1951" spans="1:25" s="11" customFormat="1" ht="89.25" customHeight="1" outlineLevel="1" x14ac:dyDescent="0.25">
      <c r="A1951" s="1"/>
      <c r="B1951" s="2" t="s">
        <v>6459</v>
      </c>
      <c r="C1951" s="3" t="s">
        <v>83</v>
      </c>
      <c r="D1951" s="19" t="s">
        <v>2568</v>
      </c>
      <c r="E1951" s="19" t="s">
        <v>2569</v>
      </c>
      <c r="F1951" s="19" t="s">
        <v>2570</v>
      </c>
      <c r="G1951" s="19" t="s">
        <v>3411</v>
      </c>
      <c r="H1951" s="2" t="s">
        <v>88</v>
      </c>
      <c r="I1951" s="4">
        <v>0.4</v>
      </c>
      <c r="J1951" s="5">
        <v>710000000</v>
      </c>
      <c r="K1951" s="5" t="s">
        <v>89</v>
      </c>
      <c r="L1951" s="2" t="s">
        <v>754</v>
      </c>
      <c r="M1951" s="6" t="s">
        <v>91</v>
      </c>
      <c r="N1951" s="7" t="s">
        <v>92</v>
      </c>
      <c r="O1951" s="7" t="s">
        <v>93</v>
      </c>
      <c r="P1951" s="3" t="s">
        <v>94</v>
      </c>
      <c r="Q1951" s="8" t="s">
        <v>3197</v>
      </c>
      <c r="R1951" s="7" t="s">
        <v>2412</v>
      </c>
      <c r="S1951" s="9">
        <v>1</v>
      </c>
      <c r="T1951" s="9">
        <v>15179</v>
      </c>
      <c r="U1951" s="9">
        <v>0</v>
      </c>
      <c r="V1951" s="9">
        <f t="shared" si="1518"/>
        <v>0</v>
      </c>
      <c r="W1951" s="7" t="s">
        <v>97</v>
      </c>
      <c r="X1951" s="2">
        <v>2016</v>
      </c>
      <c r="Y1951" s="2" t="s">
        <v>7793</v>
      </c>
    </row>
    <row r="1952" spans="1:25" s="11" customFormat="1" ht="89.25" customHeight="1" outlineLevel="1" x14ac:dyDescent="0.25">
      <c r="A1952" s="1"/>
      <c r="B1952" s="2" t="s">
        <v>8333</v>
      </c>
      <c r="C1952" s="3" t="s">
        <v>83</v>
      </c>
      <c r="D1952" s="19" t="s">
        <v>2568</v>
      </c>
      <c r="E1952" s="19" t="s">
        <v>2569</v>
      </c>
      <c r="F1952" s="19" t="s">
        <v>2570</v>
      </c>
      <c r="G1952" s="19" t="s">
        <v>3411</v>
      </c>
      <c r="H1952" s="2" t="s">
        <v>88</v>
      </c>
      <c r="I1952" s="4">
        <v>0</v>
      </c>
      <c r="J1952" s="5">
        <v>710000000</v>
      </c>
      <c r="K1952" s="5" t="s">
        <v>89</v>
      </c>
      <c r="L1952" s="2" t="s">
        <v>754</v>
      </c>
      <c r="M1952" s="6" t="s">
        <v>91</v>
      </c>
      <c r="N1952" s="7" t="s">
        <v>92</v>
      </c>
      <c r="O1952" s="7" t="s">
        <v>93</v>
      </c>
      <c r="P1952" s="3" t="s">
        <v>673</v>
      </c>
      <c r="Q1952" s="8" t="s">
        <v>3197</v>
      </c>
      <c r="R1952" s="7" t="s">
        <v>2412</v>
      </c>
      <c r="S1952" s="9">
        <v>1</v>
      </c>
      <c r="T1952" s="9">
        <v>15179</v>
      </c>
      <c r="U1952" s="9">
        <f t="shared" ref="U1952" si="1578">T1952*S1952</f>
        <v>15179</v>
      </c>
      <c r="V1952" s="9">
        <f t="shared" ref="V1952" si="1579">U1952*1.12</f>
        <v>17000.480000000003</v>
      </c>
      <c r="W1952" s="7"/>
      <c r="X1952" s="2">
        <v>2016</v>
      </c>
      <c r="Y1952" s="2"/>
    </row>
    <row r="1953" spans="1:25" s="11" customFormat="1" ht="89.25" customHeight="1" outlineLevel="1" x14ac:dyDescent="0.25">
      <c r="A1953" s="1"/>
      <c r="B1953" s="2" t="s">
        <v>6460</v>
      </c>
      <c r="C1953" s="3" t="s">
        <v>83</v>
      </c>
      <c r="D1953" s="19" t="s">
        <v>3334</v>
      </c>
      <c r="E1953" s="19" t="s">
        <v>3335</v>
      </c>
      <c r="F1953" s="19" t="s">
        <v>3336</v>
      </c>
      <c r="G1953" s="19"/>
      <c r="H1953" s="2" t="s">
        <v>88</v>
      </c>
      <c r="I1953" s="4">
        <v>0.4</v>
      </c>
      <c r="J1953" s="5">
        <v>710000000</v>
      </c>
      <c r="K1953" s="5" t="s">
        <v>89</v>
      </c>
      <c r="L1953" s="2" t="s">
        <v>754</v>
      </c>
      <c r="M1953" s="6" t="s">
        <v>91</v>
      </c>
      <c r="N1953" s="7" t="s">
        <v>92</v>
      </c>
      <c r="O1953" s="7" t="s">
        <v>93</v>
      </c>
      <c r="P1953" s="3" t="s">
        <v>94</v>
      </c>
      <c r="Q1953" s="8" t="s">
        <v>3085</v>
      </c>
      <c r="R1953" s="7" t="s">
        <v>3086</v>
      </c>
      <c r="S1953" s="9">
        <v>33</v>
      </c>
      <c r="T1953" s="9">
        <v>438</v>
      </c>
      <c r="U1953" s="9">
        <v>0</v>
      </c>
      <c r="V1953" s="9">
        <f t="shared" si="1518"/>
        <v>0</v>
      </c>
      <c r="W1953" s="7" t="s">
        <v>97</v>
      </c>
      <c r="X1953" s="2">
        <v>2016</v>
      </c>
      <c r="Y1953" s="2" t="s">
        <v>7793</v>
      </c>
    </row>
    <row r="1954" spans="1:25" s="11" customFormat="1" ht="89.25" customHeight="1" outlineLevel="1" x14ac:dyDescent="0.25">
      <c r="A1954" s="1"/>
      <c r="B1954" s="2" t="s">
        <v>8334</v>
      </c>
      <c r="C1954" s="3" t="s">
        <v>83</v>
      </c>
      <c r="D1954" s="19" t="s">
        <v>3334</v>
      </c>
      <c r="E1954" s="19" t="s">
        <v>3335</v>
      </c>
      <c r="F1954" s="19" t="s">
        <v>3336</v>
      </c>
      <c r="G1954" s="19"/>
      <c r="H1954" s="2" t="s">
        <v>88</v>
      </c>
      <c r="I1954" s="4">
        <v>0</v>
      </c>
      <c r="J1954" s="5">
        <v>710000000</v>
      </c>
      <c r="K1954" s="5" t="s">
        <v>89</v>
      </c>
      <c r="L1954" s="2" t="s">
        <v>754</v>
      </c>
      <c r="M1954" s="6" t="s">
        <v>91</v>
      </c>
      <c r="N1954" s="7" t="s">
        <v>92</v>
      </c>
      <c r="O1954" s="7" t="s">
        <v>93</v>
      </c>
      <c r="P1954" s="3" t="s">
        <v>673</v>
      </c>
      <c r="Q1954" s="8" t="s">
        <v>3085</v>
      </c>
      <c r="R1954" s="7" t="s">
        <v>3086</v>
      </c>
      <c r="S1954" s="9">
        <v>33</v>
      </c>
      <c r="T1954" s="9">
        <v>438</v>
      </c>
      <c r="U1954" s="9">
        <f t="shared" ref="U1954" si="1580">T1954*S1954</f>
        <v>14454</v>
      </c>
      <c r="V1954" s="9">
        <f t="shared" ref="V1954" si="1581">U1954*1.12</f>
        <v>16188.480000000001</v>
      </c>
      <c r="W1954" s="7"/>
      <c r="X1954" s="2">
        <v>2016</v>
      </c>
      <c r="Y1954" s="2"/>
    </row>
    <row r="1955" spans="1:25" s="11" customFormat="1" ht="89.25" customHeight="1" outlineLevel="1" x14ac:dyDescent="0.25">
      <c r="A1955" s="1"/>
      <c r="B1955" s="2" t="s">
        <v>6461</v>
      </c>
      <c r="C1955" s="3" t="s">
        <v>83</v>
      </c>
      <c r="D1955" s="3" t="s">
        <v>3118</v>
      </c>
      <c r="E1955" s="3" t="s">
        <v>3119</v>
      </c>
      <c r="F1955" s="3" t="s">
        <v>3120</v>
      </c>
      <c r="G1955" s="19" t="s">
        <v>3412</v>
      </c>
      <c r="H1955" s="2" t="s">
        <v>88</v>
      </c>
      <c r="I1955" s="4">
        <v>0.4</v>
      </c>
      <c r="J1955" s="5">
        <v>710000000</v>
      </c>
      <c r="K1955" s="5" t="s">
        <v>89</v>
      </c>
      <c r="L1955" s="2" t="s">
        <v>754</v>
      </c>
      <c r="M1955" s="6" t="s">
        <v>682</v>
      </c>
      <c r="N1955" s="7" t="s">
        <v>92</v>
      </c>
      <c r="O1955" s="7" t="s">
        <v>93</v>
      </c>
      <c r="P1955" s="3" t="s">
        <v>94</v>
      </c>
      <c r="Q1955" s="8" t="s">
        <v>522</v>
      </c>
      <c r="R1955" s="7" t="s">
        <v>523</v>
      </c>
      <c r="S1955" s="9">
        <v>1</v>
      </c>
      <c r="T1955" s="9">
        <v>1786</v>
      </c>
      <c r="U1955" s="9">
        <v>0</v>
      </c>
      <c r="V1955" s="9">
        <f t="shared" si="1518"/>
        <v>0</v>
      </c>
      <c r="W1955" s="7" t="s">
        <v>97</v>
      </c>
      <c r="X1955" s="2">
        <v>2016</v>
      </c>
      <c r="Y1955" s="2" t="s">
        <v>7793</v>
      </c>
    </row>
    <row r="1956" spans="1:25" s="11" customFormat="1" ht="89.25" customHeight="1" outlineLevel="1" x14ac:dyDescent="0.25">
      <c r="A1956" s="1"/>
      <c r="B1956" s="2" t="s">
        <v>8335</v>
      </c>
      <c r="C1956" s="3" t="s">
        <v>83</v>
      </c>
      <c r="D1956" s="3" t="s">
        <v>3118</v>
      </c>
      <c r="E1956" s="3" t="s">
        <v>3119</v>
      </c>
      <c r="F1956" s="3" t="s">
        <v>3120</v>
      </c>
      <c r="G1956" s="19" t="s">
        <v>3412</v>
      </c>
      <c r="H1956" s="2" t="s">
        <v>88</v>
      </c>
      <c r="I1956" s="4">
        <v>0</v>
      </c>
      <c r="J1956" s="5">
        <v>710000000</v>
      </c>
      <c r="K1956" s="5" t="s">
        <v>89</v>
      </c>
      <c r="L1956" s="2" t="s">
        <v>754</v>
      </c>
      <c r="M1956" s="6" t="s">
        <v>682</v>
      </c>
      <c r="N1956" s="7" t="s">
        <v>92</v>
      </c>
      <c r="O1956" s="7" t="s">
        <v>93</v>
      </c>
      <c r="P1956" s="3" t="s">
        <v>673</v>
      </c>
      <c r="Q1956" s="8" t="s">
        <v>522</v>
      </c>
      <c r="R1956" s="7" t="s">
        <v>523</v>
      </c>
      <c r="S1956" s="9">
        <v>1</v>
      </c>
      <c r="T1956" s="9">
        <v>1786</v>
      </c>
      <c r="U1956" s="9">
        <f t="shared" ref="U1956" si="1582">T1956*S1956</f>
        <v>1786</v>
      </c>
      <c r="V1956" s="9">
        <f t="shared" ref="V1956" si="1583">U1956*1.12</f>
        <v>2000.3200000000002</v>
      </c>
      <c r="W1956" s="7"/>
      <c r="X1956" s="2">
        <v>2016</v>
      </c>
      <c r="Y1956" s="2"/>
    </row>
    <row r="1957" spans="1:25" s="11" customFormat="1" ht="89.25" customHeight="1" outlineLevel="1" x14ac:dyDescent="0.25">
      <c r="A1957" s="1"/>
      <c r="B1957" s="2" t="s">
        <v>6462</v>
      </c>
      <c r="C1957" s="3" t="s">
        <v>83</v>
      </c>
      <c r="D1957" s="3" t="s">
        <v>3413</v>
      </c>
      <c r="E1957" s="3" t="s">
        <v>3119</v>
      </c>
      <c r="F1957" s="3" t="s">
        <v>3414</v>
      </c>
      <c r="G1957" s="3"/>
      <c r="H1957" s="2" t="s">
        <v>88</v>
      </c>
      <c r="I1957" s="4">
        <v>0.4</v>
      </c>
      <c r="J1957" s="5">
        <v>710000000</v>
      </c>
      <c r="K1957" s="3" t="s">
        <v>89</v>
      </c>
      <c r="L1957" s="2" t="s">
        <v>754</v>
      </c>
      <c r="M1957" s="6" t="s">
        <v>682</v>
      </c>
      <c r="N1957" s="7" t="s">
        <v>92</v>
      </c>
      <c r="O1957" s="7" t="s">
        <v>93</v>
      </c>
      <c r="P1957" s="3" t="s">
        <v>94</v>
      </c>
      <c r="Q1957" s="8" t="s">
        <v>544</v>
      </c>
      <c r="R1957" s="7" t="s">
        <v>111</v>
      </c>
      <c r="S1957" s="9">
        <v>12</v>
      </c>
      <c r="T1957" s="9">
        <v>44.2</v>
      </c>
      <c r="U1957" s="9">
        <v>0</v>
      </c>
      <c r="V1957" s="9">
        <f>U1957*1.12</f>
        <v>0</v>
      </c>
      <c r="W1957" s="7" t="s">
        <v>97</v>
      </c>
      <c r="X1957" s="2">
        <v>2016</v>
      </c>
      <c r="Y1957" s="3" t="s">
        <v>7793</v>
      </c>
    </row>
    <row r="1958" spans="1:25" s="11" customFormat="1" ht="89.25" customHeight="1" outlineLevel="1" x14ac:dyDescent="0.25">
      <c r="A1958" s="1"/>
      <c r="B1958" s="2" t="s">
        <v>8336</v>
      </c>
      <c r="C1958" s="3" t="s">
        <v>83</v>
      </c>
      <c r="D1958" s="3" t="s">
        <v>3413</v>
      </c>
      <c r="E1958" s="3" t="s">
        <v>3119</v>
      </c>
      <c r="F1958" s="3" t="s">
        <v>3414</v>
      </c>
      <c r="G1958" s="3"/>
      <c r="H1958" s="2" t="s">
        <v>88</v>
      </c>
      <c r="I1958" s="4">
        <v>0</v>
      </c>
      <c r="J1958" s="5">
        <v>710000000</v>
      </c>
      <c r="K1958" s="3" t="s">
        <v>89</v>
      </c>
      <c r="L1958" s="2" t="s">
        <v>754</v>
      </c>
      <c r="M1958" s="6" t="s">
        <v>682</v>
      </c>
      <c r="N1958" s="7" t="s">
        <v>92</v>
      </c>
      <c r="O1958" s="7" t="s">
        <v>93</v>
      </c>
      <c r="P1958" s="3" t="s">
        <v>673</v>
      </c>
      <c r="Q1958" s="8" t="s">
        <v>544</v>
      </c>
      <c r="R1958" s="7" t="s">
        <v>111</v>
      </c>
      <c r="S1958" s="9">
        <v>12</v>
      </c>
      <c r="T1958" s="9">
        <v>44.2</v>
      </c>
      <c r="U1958" s="9">
        <f>S1958*T1958</f>
        <v>530.40000000000009</v>
      </c>
      <c r="V1958" s="9">
        <f>U1958*1.12</f>
        <v>594.04800000000012</v>
      </c>
      <c r="W1958" s="7"/>
      <c r="X1958" s="2">
        <v>2016</v>
      </c>
      <c r="Y1958" s="3"/>
    </row>
    <row r="1959" spans="1:25" s="11" customFormat="1" ht="89.25" customHeight="1" outlineLevel="1" x14ac:dyDescent="0.25">
      <c r="A1959" s="1"/>
      <c r="B1959" s="2" t="s">
        <v>6463</v>
      </c>
      <c r="C1959" s="3" t="s">
        <v>83</v>
      </c>
      <c r="D1959" s="3" t="s">
        <v>3141</v>
      </c>
      <c r="E1959" s="3" t="s">
        <v>3142</v>
      </c>
      <c r="F1959" s="3" t="s">
        <v>3143</v>
      </c>
      <c r="G1959" s="19" t="s">
        <v>3415</v>
      </c>
      <c r="H1959" s="2" t="s">
        <v>88</v>
      </c>
      <c r="I1959" s="4">
        <v>0.4</v>
      </c>
      <c r="J1959" s="5">
        <v>710000000</v>
      </c>
      <c r="K1959" s="5" t="s">
        <v>89</v>
      </c>
      <c r="L1959" s="2" t="s">
        <v>754</v>
      </c>
      <c r="M1959" s="6" t="s">
        <v>682</v>
      </c>
      <c r="N1959" s="7" t="s">
        <v>92</v>
      </c>
      <c r="O1959" s="7" t="s">
        <v>93</v>
      </c>
      <c r="P1959" s="3" t="s">
        <v>94</v>
      </c>
      <c r="Q1959" s="8" t="s">
        <v>544</v>
      </c>
      <c r="R1959" s="7" t="s">
        <v>111</v>
      </c>
      <c r="S1959" s="9">
        <v>300</v>
      </c>
      <c r="T1959" s="9">
        <v>269</v>
      </c>
      <c r="U1959" s="9">
        <v>0</v>
      </c>
      <c r="V1959" s="9">
        <f t="shared" ref="V1959:V2049" si="1584">U1959*1.12</f>
        <v>0</v>
      </c>
      <c r="W1959" s="7" t="s">
        <v>97</v>
      </c>
      <c r="X1959" s="2">
        <v>2016</v>
      </c>
      <c r="Y1959" s="2" t="s">
        <v>7793</v>
      </c>
    </row>
    <row r="1960" spans="1:25" s="11" customFormat="1" ht="89.25" customHeight="1" outlineLevel="1" x14ac:dyDescent="0.25">
      <c r="A1960" s="1"/>
      <c r="B1960" s="2" t="s">
        <v>8337</v>
      </c>
      <c r="C1960" s="3" t="s">
        <v>83</v>
      </c>
      <c r="D1960" s="3" t="s">
        <v>3141</v>
      </c>
      <c r="E1960" s="3" t="s">
        <v>3142</v>
      </c>
      <c r="F1960" s="3" t="s">
        <v>3143</v>
      </c>
      <c r="G1960" s="19" t="s">
        <v>3415</v>
      </c>
      <c r="H1960" s="2" t="s">
        <v>88</v>
      </c>
      <c r="I1960" s="4">
        <v>0</v>
      </c>
      <c r="J1960" s="5">
        <v>710000000</v>
      </c>
      <c r="K1960" s="5" t="s">
        <v>89</v>
      </c>
      <c r="L1960" s="2" t="s">
        <v>754</v>
      </c>
      <c r="M1960" s="6" t="s">
        <v>682</v>
      </c>
      <c r="N1960" s="7" t="s">
        <v>92</v>
      </c>
      <c r="O1960" s="7" t="s">
        <v>93</v>
      </c>
      <c r="P1960" s="3" t="s">
        <v>673</v>
      </c>
      <c r="Q1960" s="8" t="s">
        <v>544</v>
      </c>
      <c r="R1960" s="7" t="s">
        <v>111</v>
      </c>
      <c r="S1960" s="9">
        <v>300</v>
      </c>
      <c r="T1960" s="9">
        <v>269</v>
      </c>
      <c r="U1960" s="9">
        <f t="shared" ref="U1960" si="1585">T1960*S1960</f>
        <v>80700</v>
      </c>
      <c r="V1960" s="9">
        <f t="shared" ref="V1960" si="1586">U1960*1.12</f>
        <v>90384.000000000015</v>
      </c>
      <c r="W1960" s="7"/>
      <c r="X1960" s="2">
        <v>2016</v>
      </c>
      <c r="Y1960" s="2"/>
    </row>
    <row r="1961" spans="1:25" s="20" customFormat="1" ht="89.25" customHeight="1" outlineLevel="1" x14ac:dyDescent="0.25">
      <c r="A1961" s="1"/>
      <c r="B1961" s="2" t="s">
        <v>6464</v>
      </c>
      <c r="C1961" s="3" t="s">
        <v>83</v>
      </c>
      <c r="D1961" s="3" t="s">
        <v>3151</v>
      </c>
      <c r="E1961" s="3" t="s">
        <v>3152</v>
      </c>
      <c r="F1961" s="3" t="s">
        <v>3153</v>
      </c>
      <c r="G1961" s="19" t="s">
        <v>3416</v>
      </c>
      <c r="H1961" s="2" t="s">
        <v>88</v>
      </c>
      <c r="I1961" s="4">
        <v>0.4</v>
      </c>
      <c r="J1961" s="5">
        <v>710000000</v>
      </c>
      <c r="K1961" s="5" t="s">
        <v>89</v>
      </c>
      <c r="L1961" s="2" t="s">
        <v>754</v>
      </c>
      <c r="M1961" s="6" t="s">
        <v>682</v>
      </c>
      <c r="N1961" s="7" t="s">
        <v>92</v>
      </c>
      <c r="O1961" s="7" t="s">
        <v>93</v>
      </c>
      <c r="P1961" s="3" t="s">
        <v>94</v>
      </c>
      <c r="Q1961" s="8" t="s">
        <v>2361</v>
      </c>
      <c r="R1961" s="7" t="s">
        <v>2362</v>
      </c>
      <c r="S1961" s="9">
        <v>35</v>
      </c>
      <c r="T1961" s="9">
        <v>1339</v>
      </c>
      <c r="U1961" s="9">
        <v>0</v>
      </c>
      <c r="V1961" s="9">
        <f t="shared" si="1584"/>
        <v>0</v>
      </c>
      <c r="W1961" s="7" t="s">
        <v>97</v>
      </c>
      <c r="X1961" s="2">
        <v>2016</v>
      </c>
      <c r="Y1961" s="2" t="s">
        <v>7793</v>
      </c>
    </row>
    <row r="1962" spans="1:25" s="20" customFormat="1" ht="89.25" customHeight="1" outlineLevel="1" x14ac:dyDescent="0.25">
      <c r="A1962" s="1"/>
      <c r="B1962" s="2" t="s">
        <v>8338</v>
      </c>
      <c r="C1962" s="3" t="s">
        <v>83</v>
      </c>
      <c r="D1962" s="3" t="s">
        <v>3151</v>
      </c>
      <c r="E1962" s="3" t="s">
        <v>3152</v>
      </c>
      <c r="F1962" s="3" t="s">
        <v>3153</v>
      </c>
      <c r="G1962" s="19" t="s">
        <v>3416</v>
      </c>
      <c r="H1962" s="2" t="s">
        <v>88</v>
      </c>
      <c r="I1962" s="4">
        <v>0</v>
      </c>
      <c r="J1962" s="5">
        <v>710000000</v>
      </c>
      <c r="K1962" s="5" t="s">
        <v>89</v>
      </c>
      <c r="L1962" s="2" t="s">
        <v>754</v>
      </c>
      <c r="M1962" s="6" t="s">
        <v>682</v>
      </c>
      <c r="N1962" s="7" t="s">
        <v>92</v>
      </c>
      <c r="O1962" s="7" t="s">
        <v>93</v>
      </c>
      <c r="P1962" s="3" t="s">
        <v>673</v>
      </c>
      <c r="Q1962" s="8" t="s">
        <v>2361</v>
      </c>
      <c r="R1962" s="7" t="s">
        <v>2362</v>
      </c>
      <c r="S1962" s="9">
        <v>35</v>
      </c>
      <c r="T1962" s="9">
        <v>1339</v>
      </c>
      <c r="U1962" s="9">
        <f t="shared" ref="U1962" si="1587">T1962*S1962</f>
        <v>46865</v>
      </c>
      <c r="V1962" s="9">
        <f t="shared" ref="V1962" si="1588">U1962*1.12</f>
        <v>52488.800000000003</v>
      </c>
      <c r="W1962" s="7"/>
      <c r="X1962" s="2">
        <v>2016</v>
      </c>
      <c r="Y1962" s="2"/>
    </row>
    <row r="1963" spans="1:25" s="11" customFormat="1" ht="89.25" customHeight="1" outlineLevel="1" x14ac:dyDescent="0.25">
      <c r="A1963" s="1"/>
      <c r="B1963" s="2" t="s">
        <v>6465</v>
      </c>
      <c r="C1963" s="3" t="s">
        <v>83</v>
      </c>
      <c r="D1963" s="3" t="s">
        <v>3151</v>
      </c>
      <c r="E1963" s="3" t="s">
        <v>3152</v>
      </c>
      <c r="F1963" s="3" t="s">
        <v>3153</v>
      </c>
      <c r="G1963" s="19" t="s">
        <v>3417</v>
      </c>
      <c r="H1963" s="2" t="s">
        <v>88</v>
      </c>
      <c r="I1963" s="4">
        <v>0.4</v>
      </c>
      <c r="J1963" s="5">
        <v>710000000</v>
      </c>
      <c r="K1963" s="5" t="s">
        <v>89</v>
      </c>
      <c r="L1963" s="2" t="s">
        <v>754</v>
      </c>
      <c r="M1963" s="6" t="s">
        <v>682</v>
      </c>
      <c r="N1963" s="7" t="s">
        <v>92</v>
      </c>
      <c r="O1963" s="7" t="s">
        <v>93</v>
      </c>
      <c r="P1963" s="3" t="s">
        <v>94</v>
      </c>
      <c r="Q1963" s="8" t="s">
        <v>2361</v>
      </c>
      <c r="R1963" s="7" t="s">
        <v>2362</v>
      </c>
      <c r="S1963" s="9">
        <v>35</v>
      </c>
      <c r="T1963" s="9">
        <v>1339</v>
      </c>
      <c r="U1963" s="9">
        <v>0</v>
      </c>
      <c r="V1963" s="9">
        <f t="shared" si="1584"/>
        <v>0</v>
      </c>
      <c r="W1963" s="7" t="s">
        <v>97</v>
      </c>
      <c r="X1963" s="2">
        <v>2016</v>
      </c>
      <c r="Y1963" s="2" t="s">
        <v>7793</v>
      </c>
    </row>
    <row r="1964" spans="1:25" s="11" customFormat="1" ht="89.25" customHeight="1" outlineLevel="1" x14ac:dyDescent="0.25">
      <c r="A1964" s="1"/>
      <c r="B1964" s="2" t="s">
        <v>8339</v>
      </c>
      <c r="C1964" s="3" t="s">
        <v>83</v>
      </c>
      <c r="D1964" s="3" t="s">
        <v>3151</v>
      </c>
      <c r="E1964" s="3" t="s">
        <v>3152</v>
      </c>
      <c r="F1964" s="3" t="s">
        <v>3153</v>
      </c>
      <c r="G1964" s="19" t="s">
        <v>3417</v>
      </c>
      <c r="H1964" s="2" t="s">
        <v>88</v>
      </c>
      <c r="I1964" s="4">
        <v>0</v>
      </c>
      <c r="J1964" s="5">
        <v>710000000</v>
      </c>
      <c r="K1964" s="5" t="s">
        <v>89</v>
      </c>
      <c r="L1964" s="2" t="s">
        <v>754</v>
      </c>
      <c r="M1964" s="6" t="s">
        <v>682</v>
      </c>
      <c r="N1964" s="7" t="s">
        <v>92</v>
      </c>
      <c r="O1964" s="7" t="s">
        <v>93</v>
      </c>
      <c r="P1964" s="3" t="s">
        <v>673</v>
      </c>
      <c r="Q1964" s="8" t="s">
        <v>2361</v>
      </c>
      <c r="R1964" s="7" t="s">
        <v>2362</v>
      </c>
      <c r="S1964" s="9">
        <v>35</v>
      </c>
      <c r="T1964" s="9">
        <v>1339</v>
      </c>
      <c r="U1964" s="9">
        <f t="shared" ref="U1964" si="1589">T1964*S1964</f>
        <v>46865</v>
      </c>
      <c r="V1964" s="9">
        <f t="shared" ref="V1964" si="1590">U1964*1.12</f>
        <v>52488.800000000003</v>
      </c>
      <c r="W1964" s="7"/>
      <c r="X1964" s="2">
        <v>2016</v>
      </c>
      <c r="Y1964" s="2"/>
    </row>
    <row r="1965" spans="1:25" s="20" customFormat="1" ht="89.25" customHeight="1" outlineLevel="1" x14ac:dyDescent="0.25">
      <c r="A1965" s="1"/>
      <c r="B1965" s="2" t="s">
        <v>6466</v>
      </c>
      <c r="C1965" s="3" t="s">
        <v>83</v>
      </c>
      <c r="D1965" s="3" t="s">
        <v>3151</v>
      </c>
      <c r="E1965" s="3" t="s">
        <v>3152</v>
      </c>
      <c r="F1965" s="3" t="s">
        <v>3153</v>
      </c>
      <c r="G1965" s="19" t="s">
        <v>3418</v>
      </c>
      <c r="H1965" s="2" t="s">
        <v>88</v>
      </c>
      <c r="I1965" s="4">
        <v>0.4</v>
      </c>
      <c r="J1965" s="5">
        <v>710000000</v>
      </c>
      <c r="K1965" s="5" t="s">
        <v>89</v>
      </c>
      <c r="L1965" s="2" t="s">
        <v>754</v>
      </c>
      <c r="M1965" s="6" t="s">
        <v>682</v>
      </c>
      <c r="N1965" s="7" t="s">
        <v>92</v>
      </c>
      <c r="O1965" s="7" t="s">
        <v>93</v>
      </c>
      <c r="P1965" s="3" t="s">
        <v>94</v>
      </c>
      <c r="Q1965" s="8" t="s">
        <v>2361</v>
      </c>
      <c r="R1965" s="7" t="s">
        <v>2362</v>
      </c>
      <c r="S1965" s="9">
        <v>15</v>
      </c>
      <c r="T1965" s="9">
        <v>1339</v>
      </c>
      <c r="U1965" s="9">
        <v>0</v>
      </c>
      <c r="V1965" s="9">
        <f t="shared" si="1584"/>
        <v>0</v>
      </c>
      <c r="W1965" s="7" t="s">
        <v>97</v>
      </c>
      <c r="X1965" s="2">
        <v>2016</v>
      </c>
      <c r="Y1965" s="2" t="s">
        <v>7793</v>
      </c>
    </row>
    <row r="1966" spans="1:25" s="20" customFormat="1" ht="89.25" customHeight="1" outlineLevel="1" x14ac:dyDescent="0.25">
      <c r="A1966" s="1"/>
      <c r="B1966" s="2" t="s">
        <v>8340</v>
      </c>
      <c r="C1966" s="3" t="s">
        <v>83</v>
      </c>
      <c r="D1966" s="3" t="s">
        <v>3151</v>
      </c>
      <c r="E1966" s="3" t="s">
        <v>3152</v>
      </c>
      <c r="F1966" s="3" t="s">
        <v>3153</v>
      </c>
      <c r="G1966" s="19" t="s">
        <v>3418</v>
      </c>
      <c r="H1966" s="2" t="s">
        <v>88</v>
      </c>
      <c r="I1966" s="4">
        <v>0</v>
      </c>
      <c r="J1966" s="5">
        <v>710000000</v>
      </c>
      <c r="K1966" s="5" t="s">
        <v>89</v>
      </c>
      <c r="L1966" s="2" t="s">
        <v>754</v>
      </c>
      <c r="M1966" s="6" t="s">
        <v>682</v>
      </c>
      <c r="N1966" s="7" t="s">
        <v>92</v>
      </c>
      <c r="O1966" s="7" t="s">
        <v>93</v>
      </c>
      <c r="P1966" s="3" t="s">
        <v>673</v>
      </c>
      <c r="Q1966" s="8" t="s">
        <v>2361</v>
      </c>
      <c r="R1966" s="7" t="s">
        <v>2362</v>
      </c>
      <c r="S1966" s="9">
        <v>15</v>
      </c>
      <c r="T1966" s="9">
        <v>1339</v>
      </c>
      <c r="U1966" s="9">
        <f t="shared" ref="U1966" si="1591">T1966*S1966</f>
        <v>20085</v>
      </c>
      <c r="V1966" s="9">
        <f t="shared" ref="V1966" si="1592">U1966*1.12</f>
        <v>22495.200000000001</v>
      </c>
      <c r="W1966" s="7"/>
      <c r="X1966" s="2">
        <v>2016</v>
      </c>
      <c r="Y1966" s="2"/>
    </row>
    <row r="1967" spans="1:25" s="20" customFormat="1" ht="89.25" customHeight="1" outlineLevel="1" x14ac:dyDescent="0.25">
      <c r="A1967" s="1"/>
      <c r="B1967" s="2" t="s">
        <v>6467</v>
      </c>
      <c r="C1967" s="3" t="s">
        <v>83</v>
      </c>
      <c r="D1967" s="3" t="s">
        <v>3419</v>
      </c>
      <c r="E1967" s="3" t="s">
        <v>3420</v>
      </c>
      <c r="F1967" s="3" t="s">
        <v>3421</v>
      </c>
      <c r="G1967" s="3" t="s">
        <v>3422</v>
      </c>
      <c r="H1967" s="2" t="s">
        <v>88</v>
      </c>
      <c r="I1967" s="4">
        <v>0.4</v>
      </c>
      <c r="J1967" s="5">
        <v>710000000</v>
      </c>
      <c r="K1967" s="5" t="s">
        <v>89</v>
      </c>
      <c r="L1967" s="2" t="s">
        <v>754</v>
      </c>
      <c r="M1967" s="6" t="s">
        <v>682</v>
      </c>
      <c r="N1967" s="7" t="s">
        <v>92</v>
      </c>
      <c r="O1967" s="7" t="s">
        <v>93</v>
      </c>
      <c r="P1967" s="3" t="s">
        <v>94</v>
      </c>
      <c r="Q1967" s="8" t="s">
        <v>544</v>
      </c>
      <c r="R1967" s="7" t="s">
        <v>111</v>
      </c>
      <c r="S1967" s="9">
        <v>90</v>
      </c>
      <c r="T1967" s="9">
        <v>284.08</v>
      </c>
      <c r="U1967" s="9">
        <v>0</v>
      </c>
      <c r="V1967" s="9">
        <f t="shared" si="1584"/>
        <v>0</v>
      </c>
      <c r="W1967" s="7" t="s">
        <v>97</v>
      </c>
      <c r="X1967" s="2">
        <v>2016</v>
      </c>
      <c r="Y1967" s="2" t="s">
        <v>7793</v>
      </c>
    </row>
    <row r="1968" spans="1:25" s="20" customFormat="1" ht="89.25" customHeight="1" outlineLevel="1" x14ac:dyDescent="0.25">
      <c r="A1968" s="1"/>
      <c r="B1968" s="2" t="s">
        <v>8341</v>
      </c>
      <c r="C1968" s="3" t="s">
        <v>83</v>
      </c>
      <c r="D1968" s="3" t="s">
        <v>3419</v>
      </c>
      <c r="E1968" s="3" t="s">
        <v>3420</v>
      </c>
      <c r="F1968" s="3" t="s">
        <v>3421</v>
      </c>
      <c r="G1968" s="3" t="s">
        <v>3422</v>
      </c>
      <c r="H1968" s="2" t="s">
        <v>88</v>
      </c>
      <c r="I1968" s="4">
        <v>0</v>
      </c>
      <c r="J1968" s="5">
        <v>710000000</v>
      </c>
      <c r="K1968" s="5" t="s">
        <v>89</v>
      </c>
      <c r="L1968" s="2" t="s">
        <v>754</v>
      </c>
      <c r="M1968" s="6" t="s">
        <v>682</v>
      </c>
      <c r="N1968" s="7" t="s">
        <v>92</v>
      </c>
      <c r="O1968" s="7" t="s">
        <v>93</v>
      </c>
      <c r="P1968" s="3" t="s">
        <v>673</v>
      </c>
      <c r="Q1968" s="8" t="s">
        <v>544</v>
      </c>
      <c r="R1968" s="7" t="s">
        <v>111</v>
      </c>
      <c r="S1968" s="9">
        <v>90</v>
      </c>
      <c r="T1968" s="9">
        <v>284.08</v>
      </c>
      <c r="U1968" s="9">
        <f t="shared" ref="U1968" si="1593">T1968*S1968</f>
        <v>25567.199999999997</v>
      </c>
      <c r="V1968" s="9">
        <f t="shared" ref="V1968" si="1594">U1968*1.12</f>
        <v>28635.263999999999</v>
      </c>
      <c r="W1968" s="7"/>
      <c r="X1968" s="2">
        <v>2016</v>
      </c>
      <c r="Y1968" s="2"/>
    </row>
    <row r="1969" spans="1:25" s="20" customFormat="1" ht="89.25" customHeight="1" outlineLevel="1" x14ac:dyDescent="0.25">
      <c r="A1969" s="1"/>
      <c r="B1969" s="2" t="s">
        <v>6468</v>
      </c>
      <c r="C1969" s="3" t="s">
        <v>83</v>
      </c>
      <c r="D1969" s="3" t="s">
        <v>2381</v>
      </c>
      <c r="E1969" s="3" t="s">
        <v>2378</v>
      </c>
      <c r="F1969" s="3" t="s">
        <v>2382</v>
      </c>
      <c r="G1969" s="19"/>
      <c r="H1969" s="2" t="s">
        <v>88</v>
      </c>
      <c r="I1969" s="4">
        <v>0.4</v>
      </c>
      <c r="J1969" s="5">
        <v>710000000</v>
      </c>
      <c r="K1969" s="5" t="s">
        <v>89</v>
      </c>
      <c r="L1969" s="2" t="s">
        <v>754</v>
      </c>
      <c r="M1969" s="6" t="s">
        <v>682</v>
      </c>
      <c r="N1969" s="7" t="s">
        <v>92</v>
      </c>
      <c r="O1969" s="7" t="s">
        <v>93</v>
      </c>
      <c r="P1969" s="3" t="s">
        <v>94</v>
      </c>
      <c r="Q1969" s="8" t="s">
        <v>584</v>
      </c>
      <c r="R1969" s="7" t="s">
        <v>585</v>
      </c>
      <c r="S1969" s="9">
        <v>20</v>
      </c>
      <c r="T1969" s="9">
        <v>272</v>
      </c>
      <c r="U1969" s="9">
        <v>0</v>
      </c>
      <c r="V1969" s="9">
        <f t="shared" si="1584"/>
        <v>0</v>
      </c>
      <c r="W1969" s="7" t="s">
        <v>97</v>
      </c>
      <c r="X1969" s="2">
        <v>2016</v>
      </c>
      <c r="Y1969" s="2" t="s">
        <v>7793</v>
      </c>
    </row>
    <row r="1970" spans="1:25" s="20" customFormat="1" ht="89.25" customHeight="1" outlineLevel="1" x14ac:dyDescent="0.25">
      <c r="A1970" s="1"/>
      <c r="B1970" s="2" t="s">
        <v>8342</v>
      </c>
      <c r="C1970" s="3" t="s">
        <v>83</v>
      </c>
      <c r="D1970" s="3" t="s">
        <v>2381</v>
      </c>
      <c r="E1970" s="3" t="s">
        <v>2378</v>
      </c>
      <c r="F1970" s="3" t="s">
        <v>2382</v>
      </c>
      <c r="G1970" s="19"/>
      <c r="H1970" s="2" t="s">
        <v>88</v>
      </c>
      <c r="I1970" s="4">
        <v>0</v>
      </c>
      <c r="J1970" s="5">
        <v>710000000</v>
      </c>
      <c r="K1970" s="5" t="s">
        <v>89</v>
      </c>
      <c r="L1970" s="2" t="s">
        <v>754</v>
      </c>
      <c r="M1970" s="6" t="s">
        <v>682</v>
      </c>
      <c r="N1970" s="7" t="s">
        <v>92</v>
      </c>
      <c r="O1970" s="7" t="s">
        <v>93</v>
      </c>
      <c r="P1970" s="3" t="s">
        <v>673</v>
      </c>
      <c r="Q1970" s="8" t="s">
        <v>584</v>
      </c>
      <c r="R1970" s="7" t="s">
        <v>585</v>
      </c>
      <c r="S1970" s="9">
        <v>20</v>
      </c>
      <c r="T1970" s="9">
        <v>272</v>
      </c>
      <c r="U1970" s="9">
        <f t="shared" ref="U1970" si="1595">T1970*S1970</f>
        <v>5440</v>
      </c>
      <c r="V1970" s="9">
        <f t="shared" ref="V1970" si="1596">U1970*1.12</f>
        <v>6092.8</v>
      </c>
      <c r="W1970" s="7"/>
      <c r="X1970" s="2">
        <v>2016</v>
      </c>
      <c r="Y1970" s="2"/>
    </row>
    <row r="1971" spans="1:25" s="20" customFormat="1" ht="89.25" customHeight="1" outlineLevel="1" x14ac:dyDescent="0.25">
      <c r="A1971" s="1"/>
      <c r="B1971" s="2" t="s">
        <v>6469</v>
      </c>
      <c r="C1971" s="3" t="s">
        <v>83</v>
      </c>
      <c r="D1971" s="3" t="s">
        <v>3423</v>
      </c>
      <c r="E1971" s="3" t="s">
        <v>3424</v>
      </c>
      <c r="F1971" s="3" t="s">
        <v>3425</v>
      </c>
      <c r="G1971" s="3" t="s">
        <v>3426</v>
      </c>
      <c r="H1971" s="2" t="s">
        <v>88</v>
      </c>
      <c r="I1971" s="4">
        <v>0.4</v>
      </c>
      <c r="J1971" s="5">
        <v>710000000</v>
      </c>
      <c r="K1971" s="5" t="s">
        <v>89</v>
      </c>
      <c r="L1971" s="2" t="s">
        <v>754</v>
      </c>
      <c r="M1971" s="6" t="s">
        <v>682</v>
      </c>
      <c r="N1971" s="7" t="s">
        <v>92</v>
      </c>
      <c r="O1971" s="7" t="s">
        <v>93</v>
      </c>
      <c r="P1971" s="3" t="s">
        <v>94</v>
      </c>
      <c r="Q1971" s="8" t="s">
        <v>544</v>
      </c>
      <c r="R1971" s="7" t="s">
        <v>111</v>
      </c>
      <c r="S1971" s="9">
        <v>90</v>
      </c>
      <c r="T1971" s="9">
        <v>91.47</v>
      </c>
      <c r="U1971" s="9">
        <v>0</v>
      </c>
      <c r="V1971" s="9">
        <f t="shared" si="1584"/>
        <v>0</v>
      </c>
      <c r="W1971" s="7" t="s">
        <v>97</v>
      </c>
      <c r="X1971" s="2">
        <v>2016</v>
      </c>
      <c r="Y1971" s="2" t="s">
        <v>7793</v>
      </c>
    </row>
    <row r="1972" spans="1:25" s="20" customFormat="1" ht="89.25" customHeight="1" outlineLevel="1" x14ac:dyDescent="0.25">
      <c r="A1972" s="1"/>
      <c r="B1972" s="2" t="s">
        <v>8343</v>
      </c>
      <c r="C1972" s="3" t="s">
        <v>83</v>
      </c>
      <c r="D1972" s="3" t="s">
        <v>3423</v>
      </c>
      <c r="E1972" s="3" t="s">
        <v>3424</v>
      </c>
      <c r="F1972" s="3" t="s">
        <v>3425</v>
      </c>
      <c r="G1972" s="3" t="s">
        <v>3426</v>
      </c>
      <c r="H1972" s="2" t="s">
        <v>88</v>
      </c>
      <c r="I1972" s="4">
        <v>0</v>
      </c>
      <c r="J1972" s="5">
        <v>710000000</v>
      </c>
      <c r="K1972" s="5" t="s">
        <v>89</v>
      </c>
      <c r="L1972" s="2" t="s">
        <v>754</v>
      </c>
      <c r="M1972" s="6" t="s">
        <v>682</v>
      </c>
      <c r="N1972" s="7" t="s">
        <v>92</v>
      </c>
      <c r="O1972" s="7" t="s">
        <v>93</v>
      </c>
      <c r="P1972" s="3" t="s">
        <v>673</v>
      </c>
      <c r="Q1972" s="8" t="s">
        <v>544</v>
      </c>
      <c r="R1972" s="7" t="s">
        <v>111</v>
      </c>
      <c r="S1972" s="9">
        <v>90</v>
      </c>
      <c r="T1972" s="9">
        <v>91.47</v>
      </c>
      <c r="U1972" s="9">
        <f t="shared" ref="U1972" si="1597">T1972*S1972</f>
        <v>8232.2999999999993</v>
      </c>
      <c r="V1972" s="9">
        <f t="shared" ref="V1972" si="1598">U1972*1.12</f>
        <v>9220.1759999999995</v>
      </c>
      <c r="W1972" s="7"/>
      <c r="X1972" s="2">
        <v>2016</v>
      </c>
      <c r="Y1972" s="2"/>
    </row>
    <row r="1973" spans="1:25" s="11" customFormat="1" ht="89.25" customHeight="1" outlineLevel="1" x14ac:dyDescent="0.25">
      <c r="A1973" s="1"/>
      <c r="B1973" s="2" t="s">
        <v>6470</v>
      </c>
      <c r="C1973" s="3" t="s">
        <v>83</v>
      </c>
      <c r="D1973" s="3" t="s">
        <v>3168</v>
      </c>
      <c r="E1973" s="3" t="s">
        <v>3169</v>
      </c>
      <c r="F1973" s="3" t="s">
        <v>3170</v>
      </c>
      <c r="G1973" s="19" t="s">
        <v>3427</v>
      </c>
      <c r="H1973" s="2" t="s">
        <v>88</v>
      </c>
      <c r="I1973" s="4">
        <v>0.4</v>
      </c>
      <c r="J1973" s="5">
        <v>710000000</v>
      </c>
      <c r="K1973" s="5" t="s">
        <v>89</v>
      </c>
      <c r="L1973" s="2" t="s">
        <v>754</v>
      </c>
      <c r="M1973" s="6" t="s">
        <v>682</v>
      </c>
      <c r="N1973" s="7" t="s">
        <v>92</v>
      </c>
      <c r="O1973" s="7" t="s">
        <v>93</v>
      </c>
      <c r="P1973" s="3" t="s">
        <v>94</v>
      </c>
      <c r="Q1973" s="8">
        <v>796</v>
      </c>
      <c r="R1973" s="7" t="s">
        <v>118</v>
      </c>
      <c r="S1973" s="9">
        <v>5</v>
      </c>
      <c r="T1973" s="9">
        <v>607</v>
      </c>
      <c r="U1973" s="9">
        <v>0</v>
      </c>
      <c r="V1973" s="9">
        <f t="shared" si="1584"/>
        <v>0</v>
      </c>
      <c r="W1973" s="7" t="s">
        <v>97</v>
      </c>
      <c r="X1973" s="2">
        <v>2016</v>
      </c>
      <c r="Y1973" s="2" t="s">
        <v>7793</v>
      </c>
    </row>
    <row r="1974" spans="1:25" s="11" customFormat="1" ht="89.25" customHeight="1" outlineLevel="1" x14ac:dyDescent="0.25">
      <c r="A1974" s="1"/>
      <c r="B1974" s="2" t="s">
        <v>8344</v>
      </c>
      <c r="C1974" s="3" t="s">
        <v>83</v>
      </c>
      <c r="D1974" s="3" t="s">
        <v>3168</v>
      </c>
      <c r="E1974" s="3" t="s">
        <v>3169</v>
      </c>
      <c r="F1974" s="3" t="s">
        <v>3170</v>
      </c>
      <c r="G1974" s="19" t="s">
        <v>3427</v>
      </c>
      <c r="H1974" s="2" t="s">
        <v>88</v>
      </c>
      <c r="I1974" s="4">
        <v>0</v>
      </c>
      <c r="J1974" s="5">
        <v>710000000</v>
      </c>
      <c r="K1974" s="5" t="s">
        <v>89</v>
      </c>
      <c r="L1974" s="2" t="s">
        <v>754</v>
      </c>
      <c r="M1974" s="6" t="s">
        <v>682</v>
      </c>
      <c r="N1974" s="7" t="s">
        <v>92</v>
      </c>
      <c r="O1974" s="7" t="s">
        <v>93</v>
      </c>
      <c r="P1974" s="3" t="s">
        <v>673</v>
      </c>
      <c r="Q1974" s="8">
        <v>796</v>
      </c>
      <c r="R1974" s="7" t="s">
        <v>118</v>
      </c>
      <c r="S1974" s="9">
        <v>5</v>
      </c>
      <c r="T1974" s="9">
        <v>607</v>
      </c>
      <c r="U1974" s="9">
        <f t="shared" ref="U1974" si="1599">T1974*S1974</f>
        <v>3035</v>
      </c>
      <c r="V1974" s="9">
        <f t="shared" ref="V1974" si="1600">U1974*1.12</f>
        <v>3399.2000000000003</v>
      </c>
      <c r="W1974" s="7"/>
      <c r="X1974" s="2">
        <v>2016</v>
      </c>
      <c r="Y1974" s="2"/>
    </row>
    <row r="1975" spans="1:25" s="11" customFormat="1" ht="89.25" customHeight="1" outlineLevel="1" x14ac:dyDescent="0.25">
      <c r="A1975" s="1"/>
      <c r="B1975" s="2" t="s">
        <v>6471</v>
      </c>
      <c r="C1975" s="3" t="s">
        <v>83</v>
      </c>
      <c r="D1975" s="3" t="s">
        <v>3227</v>
      </c>
      <c r="E1975" s="3" t="s">
        <v>3228</v>
      </c>
      <c r="F1975" s="3" t="s">
        <v>3229</v>
      </c>
      <c r="G1975" s="19" t="s">
        <v>3231</v>
      </c>
      <c r="H1975" s="2" t="s">
        <v>88</v>
      </c>
      <c r="I1975" s="4">
        <v>0.4</v>
      </c>
      <c r="J1975" s="5">
        <v>710000000</v>
      </c>
      <c r="K1975" s="5" t="s">
        <v>89</v>
      </c>
      <c r="L1975" s="2" t="s">
        <v>754</v>
      </c>
      <c r="M1975" s="6" t="s">
        <v>682</v>
      </c>
      <c r="N1975" s="7" t="s">
        <v>92</v>
      </c>
      <c r="O1975" s="7" t="s">
        <v>93</v>
      </c>
      <c r="P1975" s="3" t="s">
        <v>94</v>
      </c>
      <c r="Q1975" s="8" t="s">
        <v>3085</v>
      </c>
      <c r="R1975" s="7" t="s">
        <v>3086</v>
      </c>
      <c r="S1975" s="9">
        <v>150</v>
      </c>
      <c r="T1975" s="9">
        <v>2277</v>
      </c>
      <c r="U1975" s="9">
        <v>0</v>
      </c>
      <c r="V1975" s="9">
        <f t="shared" si="1584"/>
        <v>0</v>
      </c>
      <c r="W1975" s="7" t="s">
        <v>97</v>
      </c>
      <c r="X1975" s="2">
        <v>2016</v>
      </c>
      <c r="Y1975" s="2" t="s">
        <v>7793</v>
      </c>
    </row>
    <row r="1976" spans="1:25" s="11" customFormat="1" ht="89.25" customHeight="1" outlineLevel="1" x14ac:dyDescent="0.25">
      <c r="A1976" s="1"/>
      <c r="B1976" s="2" t="s">
        <v>8345</v>
      </c>
      <c r="C1976" s="3" t="s">
        <v>83</v>
      </c>
      <c r="D1976" s="3" t="s">
        <v>3227</v>
      </c>
      <c r="E1976" s="3" t="s">
        <v>3228</v>
      </c>
      <c r="F1976" s="3" t="s">
        <v>3229</v>
      </c>
      <c r="G1976" s="19" t="s">
        <v>3231</v>
      </c>
      <c r="H1976" s="2" t="s">
        <v>88</v>
      </c>
      <c r="I1976" s="4">
        <v>0</v>
      </c>
      <c r="J1976" s="5">
        <v>710000000</v>
      </c>
      <c r="K1976" s="5" t="s">
        <v>89</v>
      </c>
      <c r="L1976" s="2" t="s">
        <v>754</v>
      </c>
      <c r="M1976" s="6" t="s">
        <v>682</v>
      </c>
      <c r="N1976" s="7" t="s">
        <v>92</v>
      </c>
      <c r="O1976" s="7" t="s">
        <v>93</v>
      </c>
      <c r="P1976" s="3" t="s">
        <v>673</v>
      </c>
      <c r="Q1976" s="8" t="s">
        <v>3085</v>
      </c>
      <c r="R1976" s="7" t="s">
        <v>3086</v>
      </c>
      <c r="S1976" s="9">
        <v>150</v>
      </c>
      <c r="T1976" s="9">
        <v>2277</v>
      </c>
      <c r="U1976" s="9">
        <f t="shared" ref="U1976" si="1601">T1976*S1976</f>
        <v>341550</v>
      </c>
      <c r="V1976" s="9">
        <f t="shared" ref="V1976" si="1602">U1976*1.12</f>
        <v>382536.00000000006</v>
      </c>
      <c r="W1976" s="7"/>
      <c r="X1976" s="2">
        <v>2016</v>
      </c>
      <c r="Y1976" s="2"/>
    </row>
    <row r="1977" spans="1:25" s="11" customFormat="1" ht="89.25" customHeight="1" outlineLevel="1" x14ac:dyDescent="0.25">
      <c r="A1977" s="1"/>
      <c r="B1977" s="2" t="s">
        <v>6472</v>
      </c>
      <c r="C1977" s="3" t="s">
        <v>83</v>
      </c>
      <c r="D1977" s="3" t="s">
        <v>3232</v>
      </c>
      <c r="E1977" s="3" t="s">
        <v>3233</v>
      </c>
      <c r="F1977" s="3" t="s">
        <v>3234</v>
      </c>
      <c r="G1977" s="19"/>
      <c r="H1977" s="2" t="s">
        <v>88</v>
      </c>
      <c r="I1977" s="4">
        <v>0.4</v>
      </c>
      <c r="J1977" s="5">
        <v>710000000</v>
      </c>
      <c r="K1977" s="5" t="s">
        <v>89</v>
      </c>
      <c r="L1977" s="2" t="s">
        <v>754</v>
      </c>
      <c r="M1977" s="6" t="s">
        <v>682</v>
      </c>
      <c r="N1977" s="7" t="s">
        <v>92</v>
      </c>
      <c r="O1977" s="7" t="s">
        <v>93</v>
      </c>
      <c r="P1977" s="3" t="s">
        <v>94</v>
      </c>
      <c r="Q1977" s="8" t="s">
        <v>3085</v>
      </c>
      <c r="R1977" s="7" t="s">
        <v>3086</v>
      </c>
      <c r="S1977" s="9">
        <v>150</v>
      </c>
      <c r="T1977" s="9">
        <v>80</v>
      </c>
      <c r="U1977" s="9">
        <v>0</v>
      </c>
      <c r="V1977" s="9">
        <f t="shared" si="1584"/>
        <v>0</v>
      </c>
      <c r="W1977" s="7" t="s">
        <v>97</v>
      </c>
      <c r="X1977" s="2">
        <v>2016</v>
      </c>
      <c r="Y1977" s="2" t="s">
        <v>7793</v>
      </c>
    </row>
    <row r="1978" spans="1:25" s="11" customFormat="1" ht="89.25" customHeight="1" outlineLevel="1" x14ac:dyDescent="0.25">
      <c r="A1978" s="1"/>
      <c r="B1978" s="2" t="s">
        <v>8346</v>
      </c>
      <c r="C1978" s="3" t="s">
        <v>83</v>
      </c>
      <c r="D1978" s="3" t="s">
        <v>3232</v>
      </c>
      <c r="E1978" s="3" t="s">
        <v>3233</v>
      </c>
      <c r="F1978" s="3" t="s">
        <v>3234</v>
      </c>
      <c r="G1978" s="19"/>
      <c r="H1978" s="2" t="s">
        <v>88</v>
      </c>
      <c r="I1978" s="4">
        <v>0</v>
      </c>
      <c r="J1978" s="5">
        <v>710000000</v>
      </c>
      <c r="K1978" s="5" t="s">
        <v>89</v>
      </c>
      <c r="L1978" s="2" t="s">
        <v>754</v>
      </c>
      <c r="M1978" s="6" t="s">
        <v>682</v>
      </c>
      <c r="N1978" s="7" t="s">
        <v>92</v>
      </c>
      <c r="O1978" s="7" t="s">
        <v>93</v>
      </c>
      <c r="P1978" s="3" t="s">
        <v>673</v>
      </c>
      <c r="Q1978" s="8" t="s">
        <v>3085</v>
      </c>
      <c r="R1978" s="7" t="s">
        <v>3086</v>
      </c>
      <c r="S1978" s="9">
        <v>150</v>
      </c>
      <c r="T1978" s="9">
        <v>80</v>
      </c>
      <c r="U1978" s="9">
        <f t="shared" ref="U1978" si="1603">T1978*S1978</f>
        <v>12000</v>
      </c>
      <c r="V1978" s="9">
        <f t="shared" ref="V1978" si="1604">U1978*1.12</f>
        <v>13440.000000000002</v>
      </c>
      <c r="W1978" s="7"/>
      <c r="X1978" s="2">
        <v>2016</v>
      </c>
      <c r="Y1978" s="2"/>
    </row>
    <row r="1979" spans="1:25" s="11" customFormat="1" ht="89.25" customHeight="1" outlineLevel="1" x14ac:dyDescent="0.25">
      <c r="A1979" s="1"/>
      <c r="B1979" s="2" t="s">
        <v>6473</v>
      </c>
      <c r="C1979" s="3" t="s">
        <v>83</v>
      </c>
      <c r="D1979" s="3" t="s">
        <v>3428</v>
      </c>
      <c r="E1979" s="3" t="s">
        <v>3348</v>
      </c>
      <c r="F1979" s="3" t="s">
        <v>3429</v>
      </c>
      <c r="G1979" s="19"/>
      <c r="H1979" s="2" t="s">
        <v>88</v>
      </c>
      <c r="I1979" s="4">
        <v>0.4</v>
      </c>
      <c r="J1979" s="5">
        <v>710000000</v>
      </c>
      <c r="K1979" s="3" t="s">
        <v>89</v>
      </c>
      <c r="L1979" s="2" t="s">
        <v>754</v>
      </c>
      <c r="M1979" s="6" t="s">
        <v>682</v>
      </c>
      <c r="N1979" s="7" t="s">
        <v>92</v>
      </c>
      <c r="O1979" s="7" t="s">
        <v>93</v>
      </c>
      <c r="P1979" s="3" t="s">
        <v>94</v>
      </c>
      <c r="Q1979" s="8" t="s">
        <v>2439</v>
      </c>
      <c r="R1979" s="7" t="s">
        <v>2440</v>
      </c>
      <c r="S1979" s="9">
        <v>20</v>
      </c>
      <c r="T1979" s="9">
        <v>586.61</v>
      </c>
      <c r="U1979" s="9">
        <v>0</v>
      </c>
      <c r="V1979" s="9">
        <f t="shared" si="1584"/>
        <v>0</v>
      </c>
      <c r="W1979" s="7" t="s">
        <v>97</v>
      </c>
      <c r="X1979" s="2">
        <v>2016</v>
      </c>
      <c r="Y1979" s="3" t="s">
        <v>7793</v>
      </c>
    </row>
    <row r="1980" spans="1:25" s="11" customFormat="1" ht="89.25" customHeight="1" outlineLevel="1" x14ac:dyDescent="0.25">
      <c r="A1980" s="1"/>
      <c r="B1980" s="2" t="s">
        <v>8347</v>
      </c>
      <c r="C1980" s="3" t="s">
        <v>83</v>
      </c>
      <c r="D1980" s="3" t="s">
        <v>3428</v>
      </c>
      <c r="E1980" s="3" t="s">
        <v>3348</v>
      </c>
      <c r="F1980" s="3" t="s">
        <v>3429</v>
      </c>
      <c r="G1980" s="19"/>
      <c r="H1980" s="2" t="s">
        <v>88</v>
      </c>
      <c r="I1980" s="4">
        <v>0</v>
      </c>
      <c r="J1980" s="5">
        <v>710000000</v>
      </c>
      <c r="K1980" s="3" t="s">
        <v>89</v>
      </c>
      <c r="L1980" s="2" t="s">
        <v>754</v>
      </c>
      <c r="M1980" s="6" t="s">
        <v>682</v>
      </c>
      <c r="N1980" s="7" t="s">
        <v>92</v>
      </c>
      <c r="O1980" s="7" t="s">
        <v>93</v>
      </c>
      <c r="P1980" s="3" t="s">
        <v>673</v>
      </c>
      <c r="Q1980" s="8" t="s">
        <v>2439</v>
      </c>
      <c r="R1980" s="7" t="s">
        <v>2440</v>
      </c>
      <c r="S1980" s="9">
        <v>20</v>
      </c>
      <c r="T1980" s="9">
        <v>586.61</v>
      </c>
      <c r="U1980" s="9">
        <f t="shared" ref="U1980" si="1605">T1980*S1980</f>
        <v>11732.2</v>
      </c>
      <c r="V1980" s="9">
        <f t="shared" ref="V1980" si="1606">U1980*1.12</f>
        <v>13140.064000000002</v>
      </c>
      <c r="W1980" s="7"/>
      <c r="X1980" s="2">
        <v>2016</v>
      </c>
      <c r="Y1980" s="3"/>
    </row>
    <row r="1981" spans="1:25" s="11" customFormat="1" ht="89.25" customHeight="1" outlineLevel="1" x14ac:dyDescent="0.25">
      <c r="A1981" s="1"/>
      <c r="B1981" s="2" t="s">
        <v>6474</v>
      </c>
      <c r="C1981" s="3" t="s">
        <v>83</v>
      </c>
      <c r="D1981" s="3" t="s">
        <v>3235</v>
      </c>
      <c r="E1981" s="3" t="s">
        <v>3236</v>
      </c>
      <c r="F1981" s="3" t="s">
        <v>3237</v>
      </c>
      <c r="G1981" s="19"/>
      <c r="H1981" s="2" t="s">
        <v>88</v>
      </c>
      <c r="I1981" s="4">
        <v>0.4</v>
      </c>
      <c r="J1981" s="5">
        <v>710000000</v>
      </c>
      <c r="K1981" s="5" t="s">
        <v>89</v>
      </c>
      <c r="L1981" s="2" t="s">
        <v>754</v>
      </c>
      <c r="M1981" s="6" t="s">
        <v>682</v>
      </c>
      <c r="N1981" s="7" t="s">
        <v>92</v>
      </c>
      <c r="O1981" s="7" t="s">
        <v>93</v>
      </c>
      <c r="P1981" s="3" t="s">
        <v>94</v>
      </c>
      <c r="Q1981" s="8" t="s">
        <v>2439</v>
      </c>
      <c r="R1981" s="7" t="s">
        <v>2440</v>
      </c>
      <c r="S1981" s="9">
        <v>100</v>
      </c>
      <c r="T1981" s="9">
        <v>375</v>
      </c>
      <c r="U1981" s="9">
        <v>0</v>
      </c>
      <c r="V1981" s="9">
        <f t="shared" si="1584"/>
        <v>0</v>
      </c>
      <c r="W1981" s="7" t="s">
        <v>97</v>
      </c>
      <c r="X1981" s="2">
        <v>2016</v>
      </c>
      <c r="Y1981" s="2" t="s">
        <v>7793</v>
      </c>
    </row>
    <row r="1982" spans="1:25" s="11" customFormat="1" ht="89.25" customHeight="1" outlineLevel="1" x14ac:dyDescent="0.25">
      <c r="A1982" s="1"/>
      <c r="B1982" s="2" t="s">
        <v>8348</v>
      </c>
      <c r="C1982" s="3" t="s">
        <v>83</v>
      </c>
      <c r="D1982" s="3" t="s">
        <v>3235</v>
      </c>
      <c r="E1982" s="3" t="s">
        <v>3236</v>
      </c>
      <c r="F1982" s="3" t="s">
        <v>3237</v>
      </c>
      <c r="G1982" s="19"/>
      <c r="H1982" s="2" t="s">
        <v>88</v>
      </c>
      <c r="I1982" s="4">
        <v>0</v>
      </c>
      <c r="J1982" s="5">
        <v>710000000</v>
      </c>
      <c r="K1982" s="5" t="s">
        <v>89</v>
      </c>
      <c r="L1982" s="2" t="s">
        <v>754</v>
      </c>
      <c r="M1982" s="6" t="s">
        <v>682</v>
      </c>
      <c r="N1982" s="7" t="s">
        <v>92</v>
      </c>
      <c r="O1982" s="7" t="s">
        <v>93</v>
      </c>
      <c r="P1982" s="3" t="s">
        <v>673</v>
      </c>
      <c r="Q1982" s="8" t="s">
        <v>2439</v>
      </c>
      <c r="R1982" s="7" t="s">
        <v>2440</v>
      </c>
      <c r="S1982" s="9">
        <v>100</v>
      </c>
      <c r="T1982" s="9">
        <v>375</v>
      </c>
      <c r="U1982" s="9">
        <f t="shared" ref="U1982" si="1607">T1982*S1982</f>
        <v>37500</v>
      </c>
      <c r="V1982" s="9">
        <f t="shared" ref="V1982" si="1608">U1982*1.12</f>
        <v>42000.000000000007</v>
      </c>
      <c r="W1982" s="7"/>
      <c r="X1982" s="2">
        <v>2016</v>
      </c>
      <c r="Y1982" s="2"/>
    </row>
    <row r="1983" spans="1:25" s="11" customFormat="1" ht="89.25" customHeight="1" outlineLevel="1" x14ac:dyDescent="0.25">
      <c r="A1983" s="1"/>
      <c r="B1983" s="2" t="s">
        <v>6475</v>
      </c>
      <c r="C1983" s="3" t="s">
        <v>83</v>
      </c>
      <c r="D1983" s="3" t="s">
        <v>3430</v>
      </c>
      <c r="E1983" s="3" t="s">
        <v>3248</v>
      </c>
      <c r="F1983" s="3" t="s">
        <v>3431</v>
      </c>
      <c r="G1983" s="19"/>
      <c r="H1983" s="2" t="s">
        <v>88</v>
      </c>
      <c r="I1983" s="4">
        <v>0.4</v>
      </c>
      <c r="J1983" s="5">
        <v>710000000</v>
      </c>
      <c r="K1983" s="5" t="s">
        <v>89</v>
      </c>
      <c r="L1983" s="2" t="s">
        <v>754</v>
      </c>
      <c r="M1983" s="6" t="s">
        <v>682</v>
      </c>
      <c r="N1983" s="7" t="s">
        <v>92</v>
      </c>
      <c r="O1983" s="7" t="s">
        <v>93</v>
      </c>
      <c r="P1983" s="3" t="s">
        <v>94</v>
      </c>
      <c r="Q1983" s="8" t="s">
        <v>3085</v>
      </c>
      <c r="R1983" s="7" t="s">
        <v>3086</v>
      </c>
      <c r="S1983" s="9">
        <v>50</v>
      </c>
      <c r="T1983" s="9">
        <v>1607.59</v>
      </c>
      <c r="U1983" s="9">
        <v>0</v>
      </c>
      <c r="V1983" s="9">
        <f t="shared" si="1584"/>
        <v>0</v>
      </c>
      <c r="W1983" s="7" t="s">
        <v>97</v>
      </c>
      <c r="X1983" s="2">
        <v>2016</v>
      </c>
      <c r="Y1983" s="2" t="s">
        <v>7793</v>
      </c>
    </row>
    <row r="1984" spans="1:25" s="11" customFormat="1" ht="89.25" customHeight="1" outlineLevel="1" x14ac:dyDescent="0.25">
      <c r="A1984" s="1"/>
      <c r="B1984" s="2" t="s">
        <v>8349</v>
      </c>
      <c r="C1984" s="3" t="s">
        <v>83</v>
      </c>
      <c r="D1984" s="3" t="s">
        <v>3430</v>
      </c>
      <c r="E1984" s="3" t="s">
        <v>3248</v>
      </c>
      <c r="F1984" s="3" t="s">
        <v>3431</v>
      </c>
      <c r="G1984" s="19"/>
      <c r="H1984" s="2" t="s">
        <v>88</v>
      </c>
      <c r="I1984" s="4">
        <v>0</v>
      </c>
      <c r="J1984" s="5">
        <v>710000000</v>
      </c>
      <c r="K1984" s="5" t="s">
        <v>89</v>
      </c>
      <c r="L1984" s="2" t="s">
        <v>754</v>
      </c>
      <c r="M1984" s="6" t="s">
        <v>682</v>
      </c>
      <c r="N1984" s="7" t="s">
        <v>92</v>
      </c>
      <c r="O1984" s="7" t="s">
        <v>93</v>
      </c>
      <c r="P1984" s="3" t="s">
        <v>673</v>
      </c>
      <c r="Q1984" s="8" t="s">
        <v>3085</v>
      </c>
      <c r="R1984" s="7" t="s">
        <v>3086</v>
      </c>
      <c r="S1984" s="9">
        <v>50</v>
      </c>
      <c r="T1984" s="9">
        <v>1607.59</v>
      </c>
      <c r="U1984" s="9">
        <f t="shared" ref="U1984" si="1609">T1984*S1984</f>
        <v>80379.5</v>
      </c>
      <c r="V1984" s="9">
        <f t="shared" ref="V1984" si="1610">U1984*1.12</f>
        <v>90025.040000000008</v>
      </c>
      <c r="W1984" s="7"/>
      <c r="X1984" s="2">
        <v>2016</v>
      </c>
      <c r="Y1984" s="2"/>
    </row>
    <row r="1985" spans="1:25" s="11" customFormat="1" ht="89.25" customHeight="1" outlineLevel="1" x14ac:dyDescent="0.25">
      <c r="A1985" s="1"/>
      <c r="B1985" s="2" t="s">
        <v>6476</v>
      </c>
      <c r="C1985" s="3" t="s">
        <v>83</v>
      </c>
      <c r="D1985" s="3" t="s">
        <v>3432</v>
      </c>
      <c r="E1985" s="3" t="s">
        <v>3248</v>
      </c>
      <c r="F1985" s="3" t="s">
        <v>3433</v>
      </c>
      <c r="G1985" s="3"/>
      <c r="H1985" s="2" t="s">
        <v>88</v>
      </c>
      <c r="I1985" s="4">
        <v>0.4</v>
      </c>
      <c r="J1985" s="5">
        <v>710000000</v>
      </c>
      <c r="K1985" s="3" t="s">
        <v>89</v>
      </c>
      <c r="L1985" s="2" t="s">
        <v>754</v>
      </c>
      <c r="M1985" s="6" t="s">
        <v>682</v>
      </c>
      <c r="N1985" s="7" t="s">
        <v>92</v>
      </c>
      <c r="O1985" s="7" t="s">
        <v>93</v>
      </c>
      <c r="P1985" s="3" t="s">
        <v>94</v>
      </c>
      <c r="Q1985" s="8" t="s">
        <v>3085</v>
      </c>
      <c r="R1985" s="7" t="s">
        <v>3086</v>
      </c>
      <c r="S1985" s="9">
        <v>60</v>
      </c>
      <c r="T1985" s="9">
        <v>2286.61</v>
      </c>
      <c r="U1985" s="9">
        <v>0</v>
      </c>
      <c r="V1985" s="9">
        <f t="shared" si="1584"/>
        <v>0</v>
      </c>
      <c r="W1985" s="7" t="s">
        <v>97</v>
      </c>
      <c r="X1985" s="2">
        <v>2016</v>
      </c>
      <c r="Y1985" s="3" t="s">
        <v>7793</v>
      </c>
    </row>
    <row r="1986" spans="1:25" s="11" customFormat="1" ht="89.25" customHeight="1" outlineLevel="1" x14ac:dyDescent="0.25">
      <c r="A1986" s="1"/>
      <c r="B1986" s="2" t="s">
        <v>8350</v>
      </c>
      <c r="C1986" s="3" t="s">
        <v>83</v>
      </c>
      <c r="D1986" s="3" t="s">
        <v>3432</v>
      </c>
      <c r="E1986" s="3" t="s">
        <v>3248</v>
      </c>
      <c r="F1986" s="3" t="s">
        <v>3433</v>
      </c>
      <c r="G1986" s="3"/>
      <c r="H1986" s="2" t="s">
        <v>88</v>
      </c>
      <c r="I1986" s="4">
        <v>0</v>
      </c>
      <c r="J1986" s="5">
        <v>710000000</v>
      </c>
      <c r="K1986" s="3" t="s">
        <v>89</v>
      </c>
      <c r="L1986" s="2" t="s">
        <v>754</v>
      </c>
      <c r="M1986" s="6" t="s">
        <v>682</v>
      </c>
      <c r="N1986" s="7" t="s">
        <v>92</v>
      </c>
      <c r="O1986" s="7" t="s">
        <v>93</v>
      </c>
      <c r="P1986" s="3" t="s">
        <v>673</v>
      </c>
      <c r="Q1986" s="8" t="s">
        <v>3085</v>
      </c>
      <c r="R1986" s="7" t="s">
        <v>3086</v>
      </c>
      <c r="S1986" s="9">
        <v>60</v>
      </c>
      <c r="T1986" s="9">
        <v>2286.61</v>
      </c>
      <c r="U1986" s="9">
        <f t="shared" ref="U1986" si="1611">T1986*S1986</f>
        <v>137196.6</v>
      </c>
      <c r="V1986" s="9">
        <f t="shared" ref="V1986" si="1612">U1986*1.12</f>
        <v>153660.19200000001</v>
      </c>
      <c r="W1986" s="7"/>
      <c r="X1986" s="2">
        <v>2016</v>
      </c>
      <c r="Y1986" s="3"/>
    </row>
    <row r="1987" spans="1:25" s="20" customFormat="1" ht="89.25" customHeight="1" outlineLevel="1" x14ac:dyDescent="0.25">
      <c r="A1987" s="1"/>
      <c r="B1987" s="2" t="s">
        <v>6477</v>
      </c>
      <c r="C1987" s="3" t="s">
        <v>83</v>
      </c>
      <c r="D1987" s="3" t="s">
        <v>3258</v>
      </c>
      <c r="E1987" s="3" t="s">
        <v>3248</v>
      </c>
      <c r="F1987" s="3" t="s">
        <v>3259</v>
      </c>
      <c r="G1987" s="19" t="s">
        <v>3250</v>
      </c>
      <c r="H1987" s="2" t="s">
        <v>88</v>
      </c>
      <c r="I1987" s="4">
        <v>0.4</v>
      </c>
      <c r="J1987" s="5">
        <v>710000000</v>
      </c>
      <c r="K1987" s="5" t="s">
        <v>89</v>
      </c>
      <c r="L1987" s="2" t="s">
        <v>754</v>
      </c>
      <c r="M1987" s="6" t="s">
        <v>682</v>
      </c>
      <c r="N1987" s="7" t="s">
        <v>92</v>
      </c>
      <c r="O1987" s="7" t="s">
        <v>93</v>
      </c>
      <c r="P1987" s="3" t="s">
        <v>94</v>
      </c>
      <c r="Q1987" s="8" t="s">
        <v>3085</v>
      </c>
      <c r="R1987" s="7" t="s">
        <v>3086</v>
      </c>
      <c r="S1987" s="9">
        <v>25</v>
      </c>
      <c r="T1987" s="9">
        <v>1411</v>
      </c>
      <c r="U1987" s="9">
        <v>0</v>
      </c>
      <c r="V1987" s="9">
        <f t="shared" si="1584"/>
        <v>0</v>
      </c>
      <c r="W1987" s="7" t="s">
        <v>97</v>
      </c>
      <c r="X1987" s="2">
        <v>2016</v>
      </c>
      <c r="Y1987" s="2" t="s">
        <v>7793</v>
      </c>
    </row>
    <row r="1988" spans="1:25" s="20" customFormat="1" ht="89.25" customHeight="1" outlineLevel="1" x14ac:dyDescent="0.25">
      <c r="A1988" s="1"/>
      <c r="B1988" s="2" t="s">
        <v>8351</v>
      </c>
      <c r="C1988" s="3" t="s">
        <v>83</v>
      </c>
      <c r="D1988" s="3" t="s">
        <v>3258</v>
      </c>
      <c r="E1988" s="3" t="s">
        <v>3248</v>
      </c>
      <c r="F1988" s="3" t="s">
        <v>3259</v>
      </c>
      <c r="G1988" s="19" t="s">
        <v>3250</v>
      </c>
      <c r="H1988" s="2" t="s">
        <v>88</v>
      </c>
      <c r="I1988" s="4">
        <v>0</v>
      </c>
      <c r="J1988" s="5">
        <v>710000000</v>
      </c>
      <c r="K1988" s="5" t="s">
        <v>89</v>
      </c>
      <c r="L1988" s="2" t="s">
        <v>754</v>
      </c>
      <c r="M1988" s="6" t="s">
        <v>682</v>
      </c>
      <c r="N1988" s="7" t="s">
        <v>92</v>
      </c>
      <c r="O1988" s="7" t="s">
        <v>93</v>
      </c>
      <c r="P1988" s="3" t="s">
        <v>673</v>
      </c>
      <c r="Q1988" s="8" t="s">
        <v>3085</v>
      </c>
      <c r="R1988" s="7" t="s">
        <v>3086</v>
      </c>
      <c r="S1988" s="9">
        <v>25</v>
      </c>
      <c r="T1988" s="9">
        <v>1411</v>
      </c>
      <c r="U1988" s="9">
        <f t="shared" ref="U1988" si="1613">T1988*S1988</f>
        <v>35275</v>
      </c>
      <c r="V1988" s="9">
        <f t="shared" ref="V1988" si="1614">U1988*1.12</f>
        <v>39508.000000000007</v>
      </c>
      <c r="W1988" s="7"/>
      <c r="X1988" s="2">
        <v>2016</v>
      </c>
      <c r="Y1988" s="2"/>
    </row>
    <row r="1989" spans="1:25" s="20" customFormat="1" ht="89.25" customHeight="1" outlineLevel="1" x14ac:dyDescent="0.25">
      <c r="A1989" s="1"/>
      <c r="B1989" s="2" t="s">
        <v>6478</v>
      </c>
      <c r="C1989" s="3" t="s">
        <v>83</v>
      </c>
      <c r="D1989" s="3" t="s">
        <v>3409</v>
      </c>
      <c r="E1989" s="3" t="s">
        <v>3248</v>
      </c>
      <c r="F1989" s="3" t="s">
        <v>3410</v>
      </c>
      <c r="G1989" s="3"/>
      <c r="H1989" s="2" t="s">
        <v>88</v>
      </c>
      <c r="I1989" s="4">
        <v>0.4</v>
      </c>
      <c r="J1989" s="5">
        <v>710000000</v>
      </c>
      <c r="K1989" s="3" t="s">
        <v>89</v>
      </c>
      <c r="L1989" s="2" t="s">
        <v>754</v>
      </c>
      <c r="M1989" s="6" t="s">
        <v>682</v>
      </c>
      <c r="N1989" s="7" t="s">
        <v>92</v>
      </c>
      <c r="O1989" s="7" t="s">
        <v>93</v>
      </c>
      <c r="P1989" s="3" t="s">
        <v>94</v>
      </c>
      <c r="Q1989" s="8" t="s">
        <v>3085</v>
      </c>
      <c r="R1989" s="7" t="s">
        <v>3086</v>
      </c>
      <c r="S1989" s="9">
        <v>50</v>
      </c>
      <c r="T1989" s="9">
        <v>1495.09</v>
      </c>
      <c r="U1989" s="9">
        <v>0</v>
      </c>
      <c r="V1989" s="9">
        <f t="shared" si="1584"/>
        <v>0</v>
      </c>
      <c r="W1989" s="7" t="s">
        <v>97</v>
      </c>
      <c r="X1989" s="2">
        <v>2016</v>
      </c>
      <c r="Y1989" s="3" t="s">
        <v>7793</v>
      </c>
    </row>
    <row r="1990" spans="1:25" s="20" customFormat="1" ht="89.25" customHeight="1" outlineLevel="1" x14ac:dyDescent="0.25">
      <c r="A1990" s="1"/>
      <c r="B1990" s="2" t="s">
        <v>8352</v>
      </c>
      <c r="C1990" s="3" t="s">
        <v>83</v>
      </c>
      <c r="D1990" s="3" t="s">
        <v>3409</v>
      </c>
      <c r="E1990" s="3" t="s">
        <v>3248</v>
      </c>
      <c r="F1990" s="3" t="s">
        <v>3410</v>
      </c>
      <c r="G1990" s="3"/>
      <c r="H1990" s="2" t="s">
        <v>88</v>
      </c>
      <c r="I1990" s="4">
        <v>0</v>
      </c>
      <c r="J1990" s="5">
        <v>710000000</v>
      </c>
      <c r="K1990" s="3" t="s">
        <v>89</v>
      </c>
      <c r="L1990" s="2" t="s">
        <v>754</v>
      </c>
      <c r="M1990" s="6" t="s">
        <v>682</v>
      </c>
      <c r="N1990" s="7" t="s">
        <v>92</v>
      </c>
      <c r="O1990" s="7" t="s">
        <v>93</v>
      </c>
      <c r="P1990" s="3" t="s">
        <v>673</v>
      </c>
      <c r="Q1990" s="8" t="s">
        <v>3085</v>
      </c>
      <c r="R1990" s="7" t="s">
        <v>3086</v>
      </c>
      <c r="S1990" s="9">
        <v>50</v>
      </c>
      <c r="T1990" s="9">
        <v>1495.09</v>
      </c>
      <c r="U1990" s="9">
        <f t="shared" ref="U1990" si="1615">T1990*S1990</f>
        <v>74754.5</v>
      </c>
      <c r="V1990" s="9">
        <f t="shared" ref="V1990" si="1616">U1990*1.12</f>
        <v>83725.040000000008</v>
      </c>
      <c r="W1990" s="7"/>
      <c r="X1990" s="2">
        <v>2016</v>
      </c>
      <c r="Y1990" s="3"/>
    </row>
    <row r="1991" spans="1:25" s="11" customFormat="1" ht="89.25" customHeight="1" outlineLevel="1" x14ac:dyDescent="0.25">
      <c r="A1991" s="1"/>
      <c r="B1991" s="2" t="s">
        <v>6479</v>
      </c>
      <c r="C1991" s="3" t="s">
        <v>83</v>
      </c>
      <c r="D1991" s="3" t="s">
        <v>3205</v>
      </c>
      <c r="E1991" s="3" t="s">
        <v>3206</v>
      </c>
      <c r="F1991" s="3" t="s">
        <v>3207</v>
      </c>
      <c r="G1991" s="19"/>
      <c r="H1991" s="2" t="s">
        <v>88</v>
      </c>
      <c r="I1991" s="4">
        <v>0.4</v>
      </c>
      <c r="J1991" s="5">
        <v>710000000</v>
      </c>
      <c r="K1991" s="5" t="s">
        <v>89</v>
      </c>
      <c r="L1991" s="2" t="s">
        <v>754</v>
      </c>
      <c r="M1991" s="6" t="s">
        <v>682</v>
      </c>
      <c r="N1991" s="7" t="s">
        <v>92</v>
      </c>
      <c r="O1991" s="7" t="s">
        <v>93</v>
      </c>
      <c r="P1991" s="3" t="s">
        <v>94</v>
      </c>
      <c r="Q1991" s="8" t="s">
        <v>3208</v>
      </c>
      <c r="R1991" s="7" t="s">
        <v>3209</v>
      </c>
      <c r="S1991" s="9">
        <v>24</v>
      </c>
      <c r="T1991" s="9">
        <v>1103</v>
      </c>
      <c r="U1991" s="9">
        <v>0</v>
      </c>
      <c r="V1991" s="9">
        <f t="shared" si="1584"/>
        <v>0</v>
      </c>
      <c r="W1991" s="7" t="s">
        <v>97</v>
      </c>
      <c r="X1991" s="2">
        <v>2016</v>
      </c>
      <c r="Y1991" s="2" t="s">
        <v>7793</v>
      </c>
    </row>
    <row r="1992" spans="1:25" s="11" customFormat="1" ht="89.25" customHeight="1" outlineLevel="1" x14ac:dyDescent="0.25">
      <c r="A1992" s="1"/>
      <c r="B1992" s="2" t="s">
        <v>8353</v>
      </c>
      <c r="C1992" s="3" t="s">
        <v>83</v>
      </c>
      <c r="D1992" s="3" t="s">
        <v>3205</v>
      </c>
      <c r="E1992" s="3" t="s">
        <v>3206</v>
      </c>
      <c r="F1992" s="3" t="s">
        <v>3207</v>
      </c>
      <c r="G1992" s="19"/>
      <c r="H1992" s="2" t="s">
        <v>88</v>
      </c>
      <c r="I1992" s="4">
        <v>0</v>
      </c>
      <c r="J1992" s="5">
        <v>710000000</v>
      </c>
      <c r="K1992" s="5" t="s">
        <v>89</v>
      </c>
      <c r="L1992" s="2" t="s">
        <v>754</v>
      </c>
      <c r="M1992" s="6" t="s">
        <v>682</v>
      </c>
      <c r="N1992" s="7" t="s">
        <v>92</v>
      </c>
      <c r="O1992" s="7" t="s">
        <v>93</v>
      </c>
      <c r="P1992" s="3" t="s">
        <v>673</v>
      </c>
      <c r="Q1992" s="8" t="s">
        <v>3208</v>
      </c>
      <c r="R1992" s="7" t="s">
        <v>3209</v>
      </c>
      <c r="S1992" s="9">
        <v>24</v>
      </c>
      <c r="T1992" s="9">
        <v>1103</v>
      </c>
      <c r="U1992" s="9">
        <f t="shared" ref="U1992" si="1617">T1992*S1992</f>
        <v>26472</v>
      </c>
      <c r="V1992" s="9">
        <f t="shared" ref="V1992" si="1618">U1992*1.12</f>
        <v>29648.640000000003</v>
      </c>
      <c r="W1992" s="7"/>
      <c r="X1992" s="2">
        <v>2016</v>
      </c>
      <c r="Y1992" s="2"/>
    </row>
    <row r="1993" spans="1:25" s="20" customFormat="1" ht="89.25" customHeight="1" outlineLevel="1" x14ac:dyDescent="0.25">
      <c r="A1993" s="1"/>
      <c r="B1993" s="2" t="s">
        <v>6480</v>
      </c>
      <c r="C1993" s="3" t="s">
        <v>83</v>
      </c>
      <c r="D1993" s="3" t="s">
        <v>3210</v>
      </c>
      <c r="E1993" s="3" t="s">
        <v>3211</v>
      </c>
      <c r="F1993" s="3" t="s">
        <v>3212</v>
      </c>
      <c r="G1993" s="19"/>
      <c r="H1993" s="2" t="s">
        <v>88</v>
      </c>
      <c r="I1993" s="4">
        <v>0.4</v>
      </c>
      <c r="J1993" s="5">
        <v>710000000</v>
      </c>
      <c r="K1993" s="5" t="s">
        <v>89</v>
      </c>
      <c r="L1993" s="2" t="s">
        <v>754</v>
      </c>
      <c r="M1993" s="6" t="s">
        <v>682</v>
      </c>
      <c r="N1993" s="7" t="s">
        <v>92</v>
      </c>
      <c r="O1993" s="7" t="s">
        <v>93</v>
      </c>
      <c r="P1993" s="3" t="s">
        <v>94</v>
      </c>
      <c r="Q1993" s="8" t="s">
        <v>3213</v>
      </c>
      <c r="R1993" s="7" t="s">
        <v>3214</v>
      </c>
      <c r="S1993" s="9">
        <v>20</v>
      </c>
      <c r="T1993" s="9">
        <v>1518</v>
      </c>
      <c r="U1993" s="9">
        <v>0</v>
      </c>
      <c r="V1993" s="9">
        <f t="shared" si="1584"/>
        <v>0</v>
      </c>
      <c r="W1993" s="7" t="s">
        <v>97</v>
      </c>
      <c r="X1993" s="2">
        <v>2016</v>
      </c>
      <c r="Y1993" s="2" t="s">
        <v>7793</v>
      </c>
    </row>
    <row r="1994" spans="1:25" s="20" customFormat="1" ht="89.25" customHeight="1" outlineLevel="1" x14ac:dyDescent="0.25">
      <c r="A1994" s="1"/>
      <c r="B1994" s="2" t="s">
        <v>8354</v>
      </c>
      <c r="C1994" s="3" t="s">
        <v>83</v>
      </c>
      <c r="D1994" s="3" t="s">
        <v>3210</v>
      </c>
      <c r="E1994" s="3" t="s">
        <v>3211</v>
      </c>
      <c r="F1994" s="3" t="s">
        <v>3212</v>
      </c>
      <c r="G1994" s="19"/>
      <c r="H1994" s="2" t="s">
        <v>88</v>
      </c>
      <c r="I1994" s="4">
        <v>0</v>
      </c>
      <c r="J1994" s="5">
        <v>710000000</v>
      </c>
      <c r="K1994" s="5" t="s">
        <v>89</v>
      </c>
      <c r="L1994" s="2" t="s">
        <v>754</v>
      </c>
      <c r="M1994" s="6" t="s">
        <v>682</v>
      </c>
      <c r="N1994" s="7" t="s">
        <v>92</v>
      </c>
      <c r="O1994" s="7" t="s">
        <v>93</v>
      </c>
      <c r="P1994" s="3" t="s">
        <v>673</v>
      </c>
      <c r="Q1994" s="8" t="s">
        <v>3213</v>
      </c>
      <c r="R1994" s="7" t="s">
        <v>3214</v>
      </c>
      <c r="S1994" s="9">
        <v>20</v>
      </c>
      <c r="T1994" s="9">
        <v>1518</v>
      </c>
      <c r="U1994" s="9">
        <f t="shared" ref="U1994" si="1619">T1994*S1994</f>
        <v>30360</v>
      </c>
      <c r="V1994" s="9">
        <f t="shared" ref="V1994" si="1620">U1994*1.12</f>
        <v>34003.200000000004</v>
      </c>
      <c r="W1994" s="7"/>
      <c r="X1994" s="2">
        <v>2016</v>
      </c>
      <c r="Y1994" s="2"/>
    </row>
    <row r="1995" spans="1:25" s="11" customFormat="1" ht="89.25" customHeight="1" outlineLevel="1" x14ac:dyDescent="0.25">
      <c r="A1995" s="1"/>
      <c r="B1995" s="2" t="s">
        <v>6481</v>
      </c>
      <c r="C1995" s="3" t="s">
        <v>83</v>
      </c>
      <c r="D1995" s="3" t="s">
        <v>3172</v>
      </c>
      <c r="E1995" s="3" t="s">
        <v>3173</v>
      </c>
      <c r="F1995" s="3" t="s">
        <v>3174</v>
      </c>
      <c r="G1995" s="19" t="s">
        <v>3175</v>
      </c>
      <c r="H1995" s="2" t="s">
        <v>88</v>
      </c>
      <c r="I1995" s="4">
        <v>0.4</v>
      </c>
      <c r="J1995" s="5">
        <v>710000000</v>
      </c>
      <c r="K1995" s="5" t="s">
        <v>89</v>
      </c>
      <c r="L1995" s="2" t="s">
        <v>754</v>
      </c>
      <c r="M1995" s="6" t="s">
        <v>682</v>
      </c>
      <c r="N1995" s="7" t="s">
        <v>92</v>
      </c>
      <c r="O1995" s="7" t="s">
        <v>93</v>
      </c>
      <c r="P1995" s="3" t="s">
        <v>94</v>
      </c>
      <c r="Q1995" s="8" t="s">
        <v>522</v>
      </c>
      <c r="R1995" s="7" t="s">
        <v>523</v>
      </c>
      <c r="S1995" s="9">
        <v>10</v>
      </c>
      <c r="T1995" s="9">
        <v>938</v>
      </c>
      <c r="U1995" s="9">
        <v>0</v>
      </c>
      <c r="V1995" s="9">
        <f t="shared" si="1584"/>
        <v>0</v>
      </c>
      <c r="W1995" s="7" t="s">
        <v>97</v>
      </c>
      <c r="X1995" s="2">
        <v>2016</v>
      </c>
      <c r="Y1995" s="2" t="s">
        <v>7793</v>
      </c>
    </row>
    <row r="1996" spans="1:25" s="11" customFormat="1" ht="89.25" customHeight="1" outlineLevel="1" x14ac:dyDescent="0.25">
      <c r="A1996" s="1"/>
      <c r="B1996" s="2" t="s">
        <v>8355</v>
      </c>
      <c r="C1996" s="3" t="s">
        <v>83</v>
      </c>
      <c r="D1996" s="3" t="s">
        <v>3172</v>
      </c>
      <c r="E1996" s="3" t="s">
        <v>3173</v>
      </c>
      <c r="F1996" s="3" t="s">
        <v>3174</v>
      </c>
      <c r="G1996" s="19" t="s">
        <v>3175</v>
      </c>
      <c r="H1996" s="2" t="s">
        <v>88</v>
      </c>
      <c r="I1996" s="4">
        <v>0</v>
      </c>
      <c r="J1996" s="5">
        <v>710000000</v>
      </c>
      <c r="K1996" s="5" t="s">
        <v>89</v>
      </c>
      <c r="L1996" s="2" t="s">
        <v>754</v>
      </c>
      <c r="M1996" s="6" t="s">
        <v>682</v>
      </c>
      <c r="N1996" s="7" t="s">
        <v>92</v>
      </c>
      <c r="O1996" s="7" t="s">
        <v>93</v>
      </c>
      <c r="P1996" s="3" t="s">
        <v>673</v>
      </c>
      <c r="Q1996" s="8" t="s">
        <v>522</v>
      </c>
      <c r="R1996" s="7" t="s">
        <v>523</v>
      </c>
      <c r="S1996" s="9">
        <v>10</v>
      </c>
      <c r="T1996" s="9">
        <v>938</v>
      </c>
      <c r="U1996" s="9">
        <f t="shared" ref="U1996" si="1621">T1996*S1996</f>
        <v>9380</v>
      </c>
      <c r="V1996" s="9">
        <f t="shared" ref="V1996" si="1622">U1996*1.12</f>
        <v>10505.6</v>
      </c>
      <c r="W1996" s="7"/>
      <c r="X1996" s="2">
        <v>2016</v>
      </c>
      <c r="Y1996" s="2"/>
    </row>
    <row r="1997" spans="1:25" s="11" customFormat="1" ht="89.25" customHeight="1" outlineLevel="1" x14ac:dyDescent="0.25">
      <c r="A1997" s="1"/>
      <c r="B1997" s="2" t="s">
        <v>6482</v>
      </c>
      <c r="C1997" s="3" t="s">
        <v>83</v>
      </c>
      <c r="D1997" s="3" t="s">
        <v>3276</v>
      </c>
      <c r="E1997" s="3" t="s">
        <v>3272</v>
      </c>
      <c r="F1997" s="3" t="s">
        <v>3277</v>
      </c>
      <c r="G1997" s="19" t="s">
        <v>3434</v>
      </c>
      <c r="H1997" s="2" t="s">
        <v>88</v>
      </c>
      <c r="I1997" s="4">
        <v>0.4</v>
      </c>
      <c r="J1997" s="5">
        <v>710000000</v>
      </c>
      <c r="K1997" s="5" t="s">
        <v>89</v>
      </c>
      <c r="L1997" s="2" t="s">
        <v>754</v>
      </c>
      <c r="M1997" s="6" t="s">
        <v>682</v>
      </c>
      <c r="N1997" s="7" t="s">
        <v>92</v>
      </c>
      <c r="O1997" s="7" t="s">
        <v>93</v>
      </c>
      <c r="P1997" s="3" t="s">
        <v>94</v>
      </c>
      <c r="Q1997" s="31">
        <v>796</v>
      </c>
      <c r="R1997" s="5" t="s">
        <v>118</v>
      </c>
      <c r="S1997" s="9">
        <v>1000</v>
      </c>
      <c r="T1997" s="9">
        <v>1.79</v>
      </c>
      <c r="U1997" s="9">
        <v>0</v>
      </c>
      <c r="V1997" s="9">
        <f t="shared" si="1584"/>
        <v>0</v>
      </c>
      <c r="W1997" s="7" t="s">
        <v>97</v>
      </c>
      <c r="X1997" s="2">
        <v>2016</v>
      </c>
      <c r="Y1997" s="2" t="s">
        <v>7793</v>
      </c>
    </row>
    <row r="1998" spans="1:25" s="11" customFormat="1" ht="89.25" customHeight="1" outlineLevel="1" x14ac:dyDescent="0.25">
      <c r="A1998" s="1"/>
      <c r="B1998" s="2" t="s">
        <v>8356</v>
      </c>
      <c r="C1998" s="3" t="s">
        <v>83</v>
      </c>
      <c r="D1998" s="3" t="s">
        <v>3276</v>
      </c>
      <c r="E1998" s="3" t="s">
        <v>3272</v>
      </c>
      <c r="F1998" s="3" t="s">
        <v>3277</v>
      </c>
      <c r="G1998" s="19" t="s">
        <v>3434</v>
      </c>
      <c r="H1998" s="2" t="s">
        <v>88</v>
      </c>
      <c r="I1998" s="4">
        <v>0</v>
      </c>
      <c r="J1998" s="5">
        <v>710000000</v>
      </c>
      <c r="K1998" s="5" t="s">
        <v>89</v>
      </c>
      <c r="L1998" s="2" t="s">
        <v>754</v>
      </c>
      <c r="M1998" s="6" t="s">
        <v>682</v>
      </c>
      <c r="N1998" s="7" t="s">
        <v>92</v>
      </c>
      <c r="O1998" s="7" t="s">
        <v>93</v>
      </c>
      <c r="P1998" s="3" t="s">
        <v>673</v>
      </c>
      <c r="Q1998" s="31">
        <v>796</v>
      </c>
      <c r="R1998" s="5" t="s">
        <v>118</v>
      </c>
      <c r="S1998" s="9">
        <v>1000</v>
      </c>
      <c r="T1998" s="9">
        <v>1.79</v>
      </c>
      <c r="U1998" s="9">
        <f t="shared" ref="U1998" si="1623">T1998*S1998</f>
        <v>1790</v>
      </c>
      <c r="V1998" s="9">
        <f t="shared" ref="V1998" si="1624">U1998*1.12</f>
        <v>2004.8000000000002</v>
      </c>
      <c r="W1998" s="7"/>
      <c r="X1998" s="2">
        <v>2016</v>
      </c>
      <c r="Y1998" s="2"/>
    </row>
    <row r="1999" spans="1:25" s="11" customFormat="1" ht="89.25" customHeight="1" outlineLevel="1" x14ac:dyDescent="0.25">
      <c r="A1999" s="1"/>
      <c r="B1999" s="2" t="s">
        <v>6483</v>
      </c>
      <c r="C1999" s="3" t="s">
        <v>83</v>
      </c>
      <c r="D1999" s="3" t="s">
        <v>3435</v>
      </c>
      <c r="E1999" s="3" t="s">
        <v>3296</v>
      </c>
      <c r="F1999" s="3" t="s">
        <v>3436</v>
      </c>
      <c r="G1999" s="19"/>
      <c r="H1999" s="2" t="s">
        <v>88</v>
      </c>
      <c r="I1999" s="4">
        <v>0.4</v>
      </c>
      <c r="J1999" s="5">
        <v>710000000</v>
      </c>
      <c r="K1999" s="3" t="s">
        <v>89</v>
      </c>
      <c r="L1999" s="2" t="s">
        <v>754</v>
      </c>
      <c r="M1999" s="6" t="s">
        <v>682</v>
      </c>
      <c r="N1999" s="7" t="s">
        <v>92</v>
      </c>
      <c r="O1999" s="7" t="s">
        <v>93</v>
      </c>
      <c r="P1999" s="3" t="s">
        <v>94</v>
      </c>
      <c r="Q1999" s="8">
        <v>796</v>
      </c>
      <c r="R1999" s="7" t="s">
        <v>118</v>
      </c>
      <c r="S1999" s="9">
        <v>150</v>
      </c>
      <c r="T1999" s="9">
        <v>42.41</v>
      </c>
      <c r="U1999" s="9">
        <v>0</v>
      </c>
      <c r="V1999" s="9">
        <f t="shared" si="1584"/>
        <v>0</v>
      </c>
      <c r="W1999" s="7" t="s">
        <v>97</v>
      </c>
      <c r="X1999" s="2">
        <v>2016</v>
      </c>
      <c r="Y1999" s="2" t="s">
        <v>7793</v>
      </c>
    </row>
    <row r="2000" spans="1:25" s="11" customFormat="1" ht="89.25" customHeight="1" outlineLevel="1" x14ac:dyDescent="0.25">
      <c r="A2000" s="1"/>
      <c r="B2000" s="2" t="s">
        <v>8357</v>
      </c>
      <c r="C2000" s="3" t="s">
        <v>83</v>
      </c>
      <c r="D2000" s="3" t="s">
        <v>3435</v>
      </c>
      <c r="E2000" s="3" t="s">
        <v>3296</v>
      </c>
      <c r="F2000" s="3" t="s">
        <v>3436</v>
      </c>
      <c r="G2000" s="19"/>
      <c r="H2000" s="2" t="s">
        <v>88</v>
      </c>
      <c r="I2000" s="4">
        <v>0</v>
      </c>
      <c r="J2000" s="5">
        <v>710000000</v>
      </c>
      <c r="K2000" s="3" t="s">
        <v>89</v>
      </c>
      <c r="L2000" s="2" t="s">
        <v>754</v>
      </c>
      <c r="M2000" s="6" t="s">
        <v>682</v>
      </c>
      <c r="N2000" s="7" t="s">
        <v>92</v>
      </c>
      <c r="O2000" s="7" t="s">
        <v>93</v>
      </c>
      <c r="P2000" s="3" t="s">
        <v>673</v>
      </c>
      <c r="Q2000" s="8">
        <v>796</v>
      </c>
      <c r="R2000" s="7" t="s">
        <v>118</v>
      </c>
      <c r="S2000" s="9">
        <v>150</v>
      </c>
      <c r="T2000" s="9">
        <v>42.41</v>
      </c>
      <c r="U2000" s="9">
        <f t="shared" ref="U2000" si="1625">T2000*S2000</f>
        <v>6361.4999999999991</v>
      </c>
      <c r="V2000" s="9">
        <f t="shared" ref="V2000" si="1626">U2000*1.12</f>
        <v>7124.88</v>
      </c>
      <c r="W2000" s="7" t="s">
        <v>97</v>
      </c>
      <c r="X2000" s="2">
        <v>2016</v>
      </c>
      <c r="Y2000" s="3"/>
    </row>
    <row r="2001" spans="1:25" s="11" customFormat="1" ht="89.25" customHeight="1" outlineLevel="1" x14ac:dyDescent="0.25">
      <c r="A2001" s="1"/>
      <c r="B2001" s="2" t="s">
        <v>6484</v>
      </c>
      <c r="C2001" s="3" t="s">
        <v>83</v>
      </c>
      <c r="D2001" s="3" t="s">
        <v>3295</v>
      </c>
      <c r="E2001" s="3" t="s">
        <v>3296</v>
      </c>
      <c r="F2001" s="3" t="s">
        <v>3297</v>
      </c>
      <c r="G2001" s="19"/>
      <c r="H2001" s="2" t="s">
        <v>88</v>
      </c>
      <c r="I2001" s="4">
        <v>0.4</v>
      </c>
      <c r="J2001" s="5">
        <v>710000000</v>
      </c>
      <c r="K2001" s="3" t="s">
        <v>89</v>
      </c>
      <c r="L2001" s="2" t="s">
        <v>754</v>
      </c>
      <c r="M2001" s="6" t="s">
        <v>682</v>
      </c>
      <c r="N2001" s="7" t="s">
        <v>92</v>
      </c>
      <c r="O2001" s="7" t="s">
        <v>93</v>
      </c>
      <c r="P2001" s="3" t="s">
        <v>94</v>
      </c>
      <c r="Q2001" s="8">
        <v>796</v>
      </c>
      <c r="R2001" s="7" t="s">
        <v>118</v>
      </c>
      <c r="S2001" s="9">
        <v>1500</v>
      </c>
      <c r="T2001" s="9">
        <v>3.57</v>
      </c>
      <c r="U2001" s="9">
        <v>0</v>
      </c>
      <c r="V2001" s="9">
        <f t="shared" si="1584"/>
        <v>0</v>
      </c>
      <c r="W2001" s="7" t="s">
        <v>97</v>
      </c>
      <c r="X2001" s="2">
        <v>2016</v>
      </c>
      <c r="Y2001" s="3" t="s">
        <v>7793</v>
      </c>
    </row>
    <row r="2002" spans="1:25" s="11" customFormat="1" ht="89.25" customHeight="1" outlineLevel="1" x14ac:dyDescent="0.25">
      <c r="A2002" s="1"/>
      <c r="B2002" s="2" t="s">
        <v>8358</v>
      </c>
      <c r="C2002" s="3" t="s">
        <v>83</v>
      </c>
      <c r="D2002" s="3" t="s">
        <v>3295</v>
      </c>
      <c r="E2002" s="3" t="s">
        <v>3296</v>
      </c>
      <c r="F2002" s="3" t="s">
        <v>3297</v>
      </c>
      <c r="G2002" s="19"/>
      <c r="H2002" s="2" t="s">
        <v>88</v>
      </c>
      <c r="I2002" s="4">
        <v>0</v>
      </c>
      <c r="J2002" s="5">
        <v>710000000</v>
      </c>
      <c r="K2002" s="3" t="s">
        <v>89</v>
      </c>
      <c r="L2002" s="2" t="s">
        <v>754</v>
      </c>
      <c r="M2002" s="6" t="s">
        <v>682</v>
      </c>
      <c r="N2002" s="7" t="s">
        <v>92</v>
      </c>
      <c r="O2002" s="7" t="s">
        <v>93</v>
      </c>
      <c r="P2002" s="3" t="s">
        <v>673</v>
      </c>
      <c r="Q2002" s="8">
        <v>796</v>
      </c>
      <c r="R2002" s="7" t="s">
        <v>118</v>
      </c>
      <c r="S2002" s="9">
        <v>1500</v>
      </c>
      <c r="T2002" s="9">
        <v>3.57</v>
      </c>
      <c r="U2002" s="9">
        <f t="shared" ref="U2002" si="1627">T2002*S2002</f>
        <v>5355</v>
      </c>
      <c r="V2002" s="9">
        <f t="shared" ref="V2002" si="1628">U2002*1.12</f>
        <v>5997.6</v>
      </c>
      <c r="W2002" s="7"/>
      <c r="X2002" s="2">
        <v>2016</v>
      </c>
      <c r="Y2002" s="3"/>
    </row>
    <row r="2003" spans="1:25" s="20" customFormat="1" ht="89.25" customHeight="1" outlineLevel="1" x14ac:dyDescent="0.25">
      <c r="A2003" s="1"/>
      <c r="B2003" s="2" t="s">
        <v>6485</v>
      </c>
      <c r="C2003" s="3" t="s">
        <v>83</v>
      </c>
      <c r="D2003" s="3" t="s">
        <v>3437</v>
      </c>
      <c r="E2003" s="3" t="s">
        <v>2569</v>
      </c>
      <c r="F2003" s="3" t="s">
        <v>3438</v>
      </c>
      <c r="G2003" s="19"/>
      <c r="H2003" s="2" t="s">
        <v>88</v>
      </c>
      <c r="I2003" s="4">
        <v>0.4</v>
      </c>
      <c r="J2003" s="5">
        <v>710000000</v>
      </c>
      <c r="K2003" s="3" t="s">
        <v>89</v>
      </c>
      <c r="L2003" s="2" t="s">
        <v>754</v>
      </c>
      <c r="M2003" s="6" t="s">
        <v>682</v>
      </c>
      <c r="N2003" s="7" t="s">
        <v>92</v>
      </c>
      <c r="O2003" s="7" t="s">
        <v>93</v>
      </c>
      <c r="P2003" s="3" t="s">
        <v>94</v>
      </c>
      <c r="Q2003" s="8" t="s">
        <v>2433</v>
      </c>
      <c r="R2003" s="7" t="s">
        <v>2434</v>
      </c>
      <c r="S2003" s="9">
        <v>200</v>
      </c>
      <c r="T2003" s="9">
        <v>87.95</v>
      </c>
      <c r="U2003" s="9">
        <v>0</v>
      </c>
      <c r="V2003" s="9">
        <f t="shared" si="1584"/>
        <v>0</v>
      </c>
      <c r="W2003" s="7" t="s">
        <v>97</v>
      </c>
      <c r="X2003" s="2">
        <v>2016</v>
      </c>
      <c r="Y2003" s="3" t="s">
        <v>7793</v>
      </c>
    </row>
    <row r="2004" spans="1:25" s="20" customFormat="1" ht="89.25" customHeight="1" outlineLevel="1" x14ac:dyDescent="0.25">
      <c r="A2004" s="1"/>
      <c r="B2004" s="2" t="s">
        <v>8359</v>
      </c>
      <c r="C2004" s="3" t="s">
        <v>83</v>
      </c>
      <c r="D2004" s="3" t="s">
        <v>3437</v>
      </c>
      <c r="E2004" s="3" t="s">
        <v>2569</v>
      </c>
      <c r="F2004" s="3" t="s">
        <v>3438</v>
      </c>
      <c r="G2004" s="19"/>
      <c r="H2004" s="2" t="s">
        <v>88</v>
      </c>
      <c r="I2004" s="4">
        <v>0</v>
      </c>
      <c r="J2004" s="5">
        <v>710000000</v>
      </c>
      <c r="K2004" s="3" t="s">
        <v>89</v>
      </c>
      <c r="L2004" s="2" t="s">
        <v>754</v>
      </c>
      <c r="M2004" s="6" t="s">
        <v>682</v>
      </c>
      <c r="N2004" s="7" t="s">
        <v>92</v>
      </c>
      <c r="O2004" s="7" t="s">
        <v>93</v>
      </c>
      <c r="P2004" s="3" t="s">
        <v>673</v>
      </c>
      <c r="Q2004" s="8" t="s">
        <v>2433</v>
      </c>
      <c r="R2004" s="7" t="s">
        <v>2434</v>
      </c>
      <c r="S2004" s="9">
        <v>200</v>
      </c>
      <c r="T2004" s="9">
        <v>87.95</v>
      </c>
      <c r="U2004" s="9">
        <f t="shared" ref="U2004" si="1629">T2004*S2004</f>
        <v>17590</v>
      </c>
      <c r="V2004" s="9">
        <f t="shared" ref="V2004" si="1630">U2004*1.12</f>
        <v>19700.800000000003</v>
      </c>
      <c r="W2004" s="7"/>
      <c r="X2004" s="2">
        <v>2016</v>
      </c>
      <c r="Y2004" s="3"/>
    </row>
    <row r="2005" spans="1:25" s="20" customFormat="1" ht="89.25" customHeight="1" outlineLevel="1" x14ac:dyDescent="0.25">
      <c r="A2005" s="1"/>
      <c r="B2005" s="2" t="s">
        <v>6486</v>
      </c>
      <c r="C2005" s="3" t="s">
        <v>83</v>
      </c>
      <c r="D2005" s="3" t="s">
        <v>3439</v>
      </c>
      <c r="E2005" s="3" t="s">
        <v>3440</v>
      </c>
      <c r="F2005" s="3" t="s">
        <v>3441</v>
      </c>
      <c r="G2005" s="19"/>
      <c r="H2005" s="2" t="s">
        <v>88</v>
      </c>
      <c r="I2005" s="4">
        <v>0.4</v>
      </c>
      <c r="J2005" s="5">
        <v>710000000</v>
      </c>
      <c r="K2005" s="5" t="s">
        <v>89</v>
      </c>
      <c r="L2005" s="2" t="s">
        <v>754</v>
      </c>
      <c r="M2005" s="6" t="s">
        <v>682</v>
      </c>
      <c r="N2005" s="7" t="s">
        <v>92</v>
      </c>
      <c r="O2005" s="7" t="s">
        <v>93</v>
      </c>
      <c r="P2005" s="3" t="s">
        <v>94</v>
      </c>
      <c r="Q2005" s="8">
        <v>796</v>
      </c>
      <c r="R2005" s="7" t="s">
        <v>118</v>
      </c>
      <c r="S2005" s="9">
        <v>7</v>
      </c>
      <c r="T2005" s="9">
        <v>565</v>
      </c>
      <c r="U2005" s="9">
        <v>0</v>
      </c>
      <c r="V2005" s="9">
        <f t="shared" si="1584"/>
        <v>0</v>
      </c>
      <c r="W2005" s="7" t="s">
        <v>97</v>
      </c>
      <c r="X2005" s="2">
        <v>2016</v>
      </c>
      <c r="Y2005" s="2" t="s">
        <v>7793</v>
      </c>
    </row>
    <row r="2006" spans="1:25" s="20" customFormat="1" ht="89.25" customHeight="1" outlineLevel="1" x14ac:dyDescent="0.25">
      <c r="A2006" s="1"/>
      <c r="B2006" s="2" t="s">
        <v>8360</v>
      </c>
      <c r="C2006" s="3" t="s">
        <v>83</v>
      </c>
      <c r="D2006" s="3" t="s">
        <v>3439</v>
      </c>
      <c r="E2006" s="3" t="s">
        <v>3440</v>
      </c>
      <c r="F2006" s="3" t="s">
        <v>3441</v>
      </c>
      <c r="G2006" s="19"/>
      <c r="H2006" s="2" t="s">
        <v>88</v>
      </c>
      <c r="I2006" s="4">
        <v>0</v>
      </c>
      <c r="J2006" s="5">
        <v>710000000</v>
      </c>
      <c r="K2006" s="5" t="s">
        <v>89</v>
      </c>
      <c r="L2006" s="2" t="s">
        <v>754</v>
      </c>
      <c r="M2006" s="6" t="s">
        <v>682</v>
      </c>
      <c r="N2006" s="7" t="s">
        <v>92</v>
      </c>
      <c r="O2006" s="7" t="s">
        <v>93</v>
      </c>
      <c r="P2006" s="3" t="s">
        <v>673</v>
      </c>
      <c r="Q2006" s="8">
        <v>796</v>
      </c>
      <c r="R2006" s="7" t="s">
        <v>118</v>
      </c>
      <c r="S2006" s="9">
        <v>7</v>
      </c>
      <c r="T2006" s="9">
        <v>565</v>
      </c>
      <c r="U2006" s="9">
        <f t="shared" ref="U2006" si="1631">T2006*S2006</f>
        <v>3955</v>
      </c>
      <c r="V2006" s="9">
        <f t="shared" ref="V2006" si="1632">U2006*1.12</f>
        <v>4429.6000000000004</v>
      </c>
      <c r="W2006" s="7"/>
      <c r="X2006" s="2">
        <v>2016</v>
      </c>
      <c r="Y2006" s="2"/>
    </row>
    <row r="2007" spans="1:25" s="11" customFormat="1" ht="89.25" customHeight="1" outlineLevel="1" x14ac:dyDescent="0.25">
      <c r="A2007" s="1"/>
      <c r="B2007" s="2" t="s">
        <v>6487</v>
      </c>
      <c r="C2007" s="3" t="s">
        <v>83</v>
      </c>
      <c r="D2007" s="3" t="s">
        <v>3442</v>
      </c>
      <c r="E2007" s="3" t="s">
        <v>2071</v>
      </c>
      <c r="F2007" s="3" t="s">
        <v>3443</v>
      </c>
      <c r="G2007" s="19" t="s">
        <v>3444</v>
      </c>
      <c r="H2007" s="2" t="s">
        <v>88</v>
      </c>
      <c r="I2007" s="4">
        <v>0.4</v>
      </c>
      <c r="J2007" s="5">
        <v>710000000</v>
      </c>
      <c r="K2007" s="5" t="s">
        <v>89</v>
      </c>
      <c r="L2007" s="2" t="s">
        <v>754</v>
      </c>
      <c r="M2007" s="6" t="s">
        <v>682</v>
      </c>
      <c r="N2007" s="7" t="s">
        <v>92</v>
      </c>
      <c r="O2007" s="7" t="s">
        <v>93</v>
      </c>
      <c r="P2007" s="3" t="s">
        <v>94</v>
      </c>
      <c r="Q2007" s="8">
        <v>796</v>
      </c>
      <c r="R2007" s="7" t="s">
        <v>118</v>
      </c>
      <c r="S2007" s="9">
        <v>5</v>
      </c>
      <c r="T2007" s="9">
        <v>1429</v>
      </c>
      <c r="U2007" s="9">
        <v>0</v>
      </c>
      <c r="V2007" s="9">
        <f t="shared" si="1584"/>
        <v>0</v>
      </c>
      <c r="W2007" s="7" t="s">
        <v>97</v>
      </c>
      <c r="X2007" s="2">
        <v>2016</v>
      </c>
      <c r="Y2007" s="2" t="s">
        <v>7793</v>
      </c>
    </row>
    <row r="2008" spans="1:25" s="11" customFormat="1" ht="89.25" customHeight="1" outlineLevel="1" x14ac:dyDescent="0.25">
      <c r="A2008" s="1"/>
      <c r="B2008" s="2" t="s">
        <v>8361</v>
      </c>
      <c r="C2008" s="3" t="s">
        <v>83</v>
      </c>
      <c r="D2008" s="3" t="s">
        <v>3442</v>
      </c>
      <c r="E2008" s="3" t="s">
        <v>2071</v>
      </c>
      <c r="F2008" s="3" t="s">
        <v>3443</v>
      </c>
      <c r="G2008" s="19" t="s">
        <v>3444</v>
      </c>
      <c r="H2008" s="2" t="s">
        <v>88</v>
      </c>
      <c r="I2008" s="4">
        <v>0</v>
      </c>
      <c r="J2008" s="5">
        <v>710000000</v>
      </c>
      <c r="K2008" s="5" t="s">
        <v>89</v>
      </c>
      <c r="L2008" s="2" t="s">
        <v>754</v>
      </c>
      <c r="M2008" s="6" t="s">
        <v>682</v>
      </c>
      <c r="N2008" s="7" t="s">
        <v>92</v>
      </c>
      <c r="O2008" s="7" t="s">
        <v>93</v>
      </c>
      <c r="P2008" s="3" t="s">
        <v>673</v>
      </c>
      <c r="Q2008" s="8">
        <v>796</v>
      </c>
      <c r="R2008" s="7" t="s">
        <v>118</v>
      </c>
      <c r="S2008" s="9">
        <v>5</v>
      </c>
      <c r="T2008" s="9">
        <v>1429</v>
      </c>
      <c r="U2008" s="9">
        <f t="shared" ref="U2008" si="1633">T2008*S2008</f>
        <v>7145</v>
      </c>
      <c r="V2008" s="9">
        <f t="shared" ref="V2008" si="1634">U2008*1.12</f>
        <v>8002.4000000000005</v>
      </c>
      <c r="W2008" s="7"/>
      <c r="X2008" s="2">
        <v>2016</v>
      </c>
      <c r="Y2008" s="2"/>
    </row>
    <row r="2009" spans="1:25" s="11" customFormat="1" ht="89.25" customHeight="1" outlineLevel="1" x14ac:dyDescent="0.25">
      <c r="A2009" s="1"/>
      <c r="B2009" s="2" t="s">
        <v>6488</v>
      </c>
      <c r="C2009" s="3" t="s">
        <v>83</v>
      </c>
      <c r="D2009" s="3" t="s">
        <v>3334</v>
      </c>
      <c r="E2009" s="3" t="s">
        <v>3335</v>
      </c>
      <c r="F2009" s="3" t="s">
        <v>3336</v>
      </c>
      <c r="G2009" s="19" t="s">
        <v>3445</v>
      </c>
      <c r="H2009" s="2" t="s">
        <v>88</v>
      </c>
      <c r="I2009" s="4">
        <v>0.4</v>
      </c>
      <c r="J2009" s="5">
        <v>710000000</v>
      </c>
      <c r="K2009" s="5" t="s">
        <v>89</v>
      </c>
      <c r="L2009" s="2" t="s">
        <v>754</v>
      </c>
      <c r="M2009" s="6" t="s">
        <v>682</v>
      </c>
      <c r="N2009" s="7" t="s">
        <v>92</v>
      </c>
      <c r="O2009" s="7" t="s">
        <v>93</v>
      </c>
      <c r="P2009" s="3" t="s">
        <v>94</v>
      </c>
      <c r="Q2009" s="8" t="s">
        <v>3085</v>
      </c>
      <c r="R2009" s="7" t="s">
        <v>3086</v>
      </c>
      <c r="S2009" s="9">
        <v>5</v>
      </c>
      <c r="T2009" s="9">
        <v>768</v>
      </c>
      <c r="U2009" s="9">
        <v>0</v>
      </c>
      <c r="V2009" s="9">
        <f t="shared" si="1584"/>
        <v>0</v>
      </c>
      <c r="W2009" s="7" t="s">
        <v>97</v>
      </c>
      <c r="X2009" s="2">
        <v>2016</v>
      </c>
      <c r="Y2009" s="2" t="s">
        <v>7793</v>
      </c>
    </row>
    <row r="2010" spans="1:25" s="11" customFormat="1" ht="89.25" customHeight="1" outlineLevel="1" x14ac:dyDescent="0.25">
      <c r="A2010" s="1"/>
      <c r="B2010" s="2" t="s">
        <v>8362</v>
      </c>
      <c r="C2010" s="3" t="s">
        <v>83</v>
      </c>
      <c r="D2010" s="3" t="s">
        <v>3334</v>
      </c>
      <c r="E2010" s="3" t="s">
        <v>3335</v>
      </c>
      <c r="F2010" s="3" t="s">
        <v>3336</v>
      </c>
      <c r="G2010" s="19" t="s">
        <v>3445</v>
      </c>
      <c r="H2010" s="2" t="s">
        <v>88</v>
      </c>
      <c r="I2010" s="4">
        <v>0</v>
      </c>
      <c r="J2010" s="5">
        <v>710000000</v>
      </c>
      <c r="K2010" s="5" t="s">
        <v>89</v>
      </c>
      <c r="L2010" s="2" t="s">
        <v>754</v>
      </c>
      <c r="M2010" s="6" t="s">
        <v>682</v>
      </c>
      <c r="N2010" s="7" t="s">
        <v>92</v>
      </c>
      <c r="O2010" s="7" t="s">
        <v>93</v>
      </c>
      <c r="P2010" s="3" t="s">
        <v>673</v>
      </c>
      <c r="Q2010" s="8" t="s">
        <v>3085</v>
      </c>
      <c r="R2010" s="7" t="s">
        <v>3086</v>
      </c>
      <c r="S2010" s="9">
        <v>5</v>
      </c>
      <c r="T2010" s="9">
        <v>768</v>
      </c>
      <c r="U2010" s="9">
        <f t="shared" ref="U2010" si="1635">T2010*S2010</f>
        <v>3840</v>
      </c>
      <c r="V2010" s="9">
        <f t="shared" ref="V2010" si="1636">U2010*1.12</f>
        <v>4300.8</v>
      </c>
      <c r="W2010" s="7"/>
      <c r="X2010" s="2">
        <v>2016</v>
      </c>
      <c r="Y2010" s="2"/>
    </row>
    <row r="2011" spans="1:25" s="11" customFormat="1" ht="89.25" customHeight="1" outlineLevel="1" x14ac:dyDescent="0.2">
      <c r="A2011" s="25"/>
      <c r="B2011" s="2" t="s">
        <v>6489</v>
      </c>
      <c r="C2011" s="3" t="s">
        <v>83</v>
      </c>
      <c r="D2011" s="3" t="s">
        <v>3316</v>
      </c>
      <c r="E2011" s="3" t="s">
        <v>2924</v>
      </c>
      <c r="F2011" s="3" t="s">
        <v>3317</v>
      </c>
      <c r="G2011" s="19" t="s">
        <v>3318</v>
      </c>
      <c r="H2011" s="2" t="s">
        <v>88</v>
      </c>
      <c r="I2011" s="4">
        <v>0.4</v>
      </c>
      <c r="J2011" s="5">
        <v>710000000</v>
      </c>
      <c r="K2011" s="5" t="s">
        <v>89</v>
      </c>
      <c r="L2011" s="2" t="s">
        <v>754</v>
      </c>
      <c r="M2011" s="6" t="s">
        <v>682</v>
      </c>
      <c r="N2011" s="7" t="s">
        <v>92</v>
      </c>
      <c r="O2011" s="7" t="s">
        <v>93</v>
      </c>
      <c r="P2011" s="3" t="s">
        <v>94</v>
      </c>
      <c r="Q2011" s="8">
        <v>796</v>
      </c>
      <c r="R2011" s="7" t="s">
        <v>118</v>
      </c>
      <c r="S2011" s="9">
        <v>8</v>
      </c>
      <c r="T2011" s="9">
        <v>268</v>
      </c>
      <c r="U2011" s="9">
        <v>0</v>
      </c>
      <c r="V2011" s="9">
        <f t="shared" si="1584"/>
        <v>0</v>
      </c>
      <c r="W2011" s="7" t="s">
        <v>97</v>
      </c>
      <c r="X2011" s="2">
        <v>2016</v>
      </c>
      <c r="Y2011" s="2" t="s">
        <v>7793</v>
      </c>
    </row>
    <row r="2012" spans="1:25" s="11" customFormat="1" ht="89.25" customHeight="1" outlineLevel="1" x14ac:dyDescent="0.25">
      <c r="A2012" s="1"/>
      <c r="B2012" s="2" t="s">
        <v>8363</v>
      </c>
      <c r="C2012" s="3" t="s">
        <v>83</v>
      </c>
      <c r="D2012" s="3" t="s">
        <v>3316</v>
      </c>
      <c r="E2012" s="3" t="s">
        <v>2924</v>
      </c>
      <c r="F2012" s="3" t="s">
        <v>3317</v>
      </c>
      <c r="G2012" s="19" t="s">
        <v>3318</v>
      </c>
      <c r="H2012" s="2" t="s">
        <v>88</v>
      </c>
      <c r="I2012" s="4">
        <v>0</v>
      </c>
      <c r="J2012" s="5">
        <v>710000000</v>
      </c>
      <c r="K2012" s="5" t="s">
        <v>89</v>
      </c>
      <c r="L2012" s="2" t="s">
        <v>754</v>
      </c>
      <c r="M2012" s="6" t="s">
        <v>682</v>
      </c>
      <c r="N2012" s="7" t="s">
        <v>92</v>
      </c>
      <c r="O2012" s="7" t="s">
        <v>93</v>
      </c>
      <c r="P2012" s="3" t="s">
        <v>673</v>
      </c>
      <c r="Q2012" s="8">
        <v>796</v>
      </c>
      <c r="R2012" s="7" t="s">
        <v>118</v>
      </c>
      <c r="S2012" s="9">
        <v>8</v>
      </c>
      <c r="T2012" s="9">
        <v>268</v>
      </c>
      <c r="U2012" s="9">
        <f t="shared" ref="U2012" si="1637">T2012*S2012</f>
        <v>2144</v>
      </c>
      <c r="V2012" s="9">
        <f t="shared" ref="V2012" si="1638">U2012*1.12</f>
        <v>2401.2800000000002</v>
      </c>
      <c r="W2012" s="7"/>
      <c r="X2012" s="2">
        <v>2016</v>
      </c>
      <c r="Y2012" s="2"/>
    </row>
    <row r="2013" spans="1:25" s="11" customFormat="1" ht="89.25" customHeight="1" outlineLevel="1" x14ac:dyDescent="0.25">
      <c r="A2013" s="1"/>
      <c r="B2013" s="2" t="s">
        <v>6490</v>
      </c>
      <c r="C2013" s="3" t="s">
        <v>83</v>
      </c>
      <c r="D2013" s="3" t="s">
        <v>3704</v>
      </c>
      <c r="E2013" s="3" t="s">
        <v>3705</v>
      </c>
      <c r="F2013" s="3" t="s">
        <v>3706</v>
      </c>
      <c r="G2013" s="19" t="s">
        <v>3707</v>
      </c>
      <c r="H2013" s="2" t="s">
        <v>694</v>
      </c>
      <c r="I2013" s="4">
        <v>0</v>
      </c>
      <c r="J2013" s="5">
        <v>710000000</v>
      </c>
      <c r="K2013" s="5" t="s">
        <v>89</v>
      </c>
      <c r="L2013" s="2" t="s">
        <v>754</v>
      </c>
      <c r="M2013" s="6" t="s">
        <v>787</v>
      </c>
      <c r="N2013" s="7" t="s">
        <v>92</v>
      </c>
      <c r="O2013" s="7" t="s">
        <v>93</v>
      </c>
      <c r="P2013" s="3" t="s">
        <v>673</v>
      </c>
      <c r="Q2013" s="8">
        <v>796</v>
      </c>
      <c r="R2013" s="7" t="s">
        <v>118</v>
      </c>
      <c r="S2013" s="9">
        <f>8+200</f>
        <v>208</v>
      </c>
      <c r="T2013" s="9">
        <v>1256.29</v>
      </c>
      <c r="U2013" s="9">
        <f t="shared" ref="U2013:U2029" si="1639">T2013*S2013</f>
        <v>261308.32</v>
      </c>
      <c r="V2013" s="9">
        <f t="shared" si="1584"/>
        <v>292665.31840000005</v>
      </c>
      <c r="W2013" s="7"/>
      <c r="X2013" s="2">
        <v>2016</v>
      </c>
      <c r="Y2013" s="2"/>
    </row>
    <row r="2014" spans="1:25" s="11" customFormat="1" ht="89.25" customHeight="1" outlineLevel="1" x14ac:dyDescent="0.25">
      <c r="A2014" s="1"/>
      <c r="B2014" s="2" t="s">
        <v>6491</v>
      </c>
      <c r="C2014" s="3" t="s">
        <v>83</v>
      </c>
      <c r="D2014" s="3" t="s">
        <v>3704</v>
      </c>
      <c r="E2014" s="3" t="s">
        <v>3705</v>
      </c>
      <c r="F2014" s="3" t="s">
        <v>3706</v>
      </c>
      <c r="G2014" s="19" t="s">
        <v>3708</v>
      </c>
      <c r="H2014" s="2" t="s">
        <v>694</v>
      </c>
      <c r="I2014" s="4">
        <v>0</v>
      </c>
      <c r="J2014" s="5">
        <v>710000000</v>
      </c>
      <c r="K2014" s="5" t="s">
        <v>89</v>
      </c>
      <c r="L2014" s="2" t="s">
        <v>754</v>
      </c>
      <c r="M2014" s="6" t="s">
        <v>787</v>
      </c>
      <c r="N2014" s="7" t="s">
        <v>92</v>
      </c>
      <c r="O2014" s="7" t="s">
        <v>93</v>
      </c>
      <c r="P2014" s="3" t="s">
        <v>673</v>
      </c>
      <c r="Q2014" s="8" t="s">
        <v>117</v>
      </c>
      <c r="R2014" s="7" t="s">
        <v>118</v>
      </c>
      <c r="S2014" s="9">
        <v>4</v>
      </c>
      <c r="T2014" s="9">
        <v>429.91</v>
      </c>
      <c r="U2014" s="9">
        <f t="shared" si="1639"/>
        <v>1719.64</v>
      </c>
      <c r="V2014" s="9">
        <f t="shared" si="1584"/>
        <v>1925.9968000000003</v>
      </c>
      <c r="W2014" s="7"/>
      <c r="X2014" s="2">
        <v>2016</v>
      </c>
      <c r="Y2014" s="2"/>
    </row>
    <row r="2015" spans="1:25" s="11" customFormat="1" ht="89.25" customHeight="1" outlineLevel="1" x14ac:dyDescent="0.25">
      <c r="A2015" s="1"/>
      <c r="B2015" s="2" t="s">
        <v>6492</v>
      </c>
      <c r="C2015" s="3" t="s">
        <v>83</v>
      </c>
      <c r="D2015" s="3" t="s">
        <v>3709</v>
      </c>
      <c r="E2015" s="3" t="s">
        <v>3710</v>
      </c>
      <c r="F2015" s="3" t="s">
        <v>3711</v>
      </c>
      <c r="G2015" s="19" t="s">
        <v>3712</v>
      </c>
      <c r="H2015" s="2" t="s">
        <v>694</v>
      </c>
      <c r="I2015" s="4">
        <v>0</v>
      </c>
      <c r="J2015" s="5">
        <v>710000000</v>
      </c>
      <c r="K2015" s="5" t="s">
        <v>89</v>
      </c>
      <c r="L2015" s="2" t="s">
        <v>754</v>
      </c>
      <c r="M2015" s="6" t="s">
        <v>787</v>
      </c>
      <c r="N2015" s="7" t="s">
        <v>92</v>
      </c>
      <c r="O2015" s="7" t="s">
        <v>93</v>
      </c>
      <c r="P2015" s="3" t="s">
        <v>673</v>
      </c>
      <c r="Q2015" s="8" t="s">
        <v>117</v>
      </c>
      <c r="R2015" s="7" t="s">
        <v>118</v>
      </c>
      <c r="S2015" s="9">
        <f>8+25+10+10</f>
        <v>53</v>
      </c>
      <c r="T2015" s="9">
        <v>250</v>
      </c>
      <c r="U2015" s="9">
        <f t="shared" si="1639"/>
        <v>13250</v>
      </c>
      <c r="V2015" s="9">
        <f t="shared" si="1584"/>
        <v>14840.000000000002</v>
      </c>
      <c r="W2015" s="7"/>
      <c r="X2015" s="2">
        <v>2016</v>
      </c>
      <c r="Y2015" s="2"/>
    </row>
    <row r="2016" spans="1:25" s="11" customFormat="1" ht="89.25" customHeight="1" outlineLevel="1" x14ac:dyDescent="0.25">
      <c r="A2016" s="1"/>
      <c r="B2016" s="2" t="s">
        <v>6493</v>
      </c>
      <c r="C2016" s="3" t="s">
        <v>83</v>
      </c>
      <c r="D2016" s="3" t="s">
        <v>3713</v>
      </c>
      <c r="E2016" s="3" t="s">
        <v>3714</v>
      </c>
      <c r="F2016" s="3" t="s">
        <v>3715</v>
      </c>
      <c r="G2016" s="19" t="s">
        <v>3716</v>
      </c>
      <c r="H2016" s="2" t="s">
        <v>694</v>
      </c>
      <c r="I2016" s="4">
        <v>0</v>
      </c>
      <c r="J2016" s="5">
        <v>710000000</v>
      </c>
      <c r="K2016" s="5" t="s">
        <v>89</v>
      </c>
      <c r="L2016" s="2" t="s">
        <v>754</v>
      </c>
      <c r="M2016" s="6" t="s">
        <v>787</v>
      </c>
      <c r="N2016" s="7" t="s">
        <v>92</v>
      </c>
      <c r="O2016" s="7" t="s">
        <v>93</v>
      </c>
      <c r="P2016" s="3" t="s">
        <v>673</v>
      </c>
      <c r="Q2016" s="8">
        <v>796</v>
      </c>
      <c r="R2016" s="7" t="s">
        <v>118</v>
      </c>
      <c r="S2016" s="9">
        <f>1+1+2+1+1</f>
        <v>6</v>
      </c>
      <c r="T2016" s="9">
        <v>3794.64</v>
      </c>
      <c r="U2016" s="9">
        <f t="shared" si="1639"/>
        <v>22767.84</v>
      </c>
      <c r="V2016" s="9">
        <f t="shared" si="1584"/>
        <v>25499.980800000001</v>
      </c>
      <c r="W2016" s="7"/>
      <c r="X2016" s="2">
        <v>2016</v>
      </c>
      <c r="Y2016" s="2"/>
    </row>
    <row r="2017" spans="1:25" s="11" customFormat="1" ht="89.25" customHeight="1" outlineLevel="1" x14ac:dyDescent="0.25">
      <c r="A2017" s="1"/>
      <c r="B2017" s="2" t="s">
        <v>6494</v>
      </c>
      <c r="C2017" s="3" t="s">
        <v>83</v>
      </c>
      <c r="D2017" s="3" t="s">
        <v>3717</v>
      </c>
      <c r="E2017" s="3" t="s">
        <v>3714</v>
      </c>
      <c r="F2017" s="3" t="s">
        <v>3718</v>
      </c>
      <c r="G2017" s="19" t="s">
        <v>3719</v>
      </c>
      <c r="H2017" s="2" t="s">
        <v>694</v>
      </c>
      <c r="I2017" s="4">
        <v>0</v>
      </c>
      <c r="J2017" s="5">
        <v>710000000</v>
      </c>
      <c r="K2017" s="5" t="s">
        <v>89</v>
      </c>
      <c r="L2017" s="2" t="s">
        <v>754</v>
      </c>
      <c r="M2017" s="6" t="s">
        <v>787</v>
      </c>
      <c r="N2017" s="7" t="s">
        <v>92</v>
      </c>
      <c r="O2017" s="7" t="s">
        <v>93</v>
      </c>
      <c r="P2017" s="3" t="s">
        <v>673</v>
      </c>
      <c r="Q2017" s="8">
        <v>796</v>
      </c>
      <c r="R2017" s="7" t="s">
        <v>118</v>
      </c>
      <c r="S2017" s="9">
        <f>9+2+2+1+2+1+1</f>
        <v>18</v>
      </c>
      <c r="T2017" s="9">
        <v>3267.86</v>
      </c>
      <c r="U2017" s="9">
        <f t="shared" si="1639"/>
        <v>58821.48</v>
      </c>
      <c r="V2017" s="9">
        <f t="shared" si="1584"/>
        <v>65880.057600000015</v>
      </c>
      <c r="W2017" s="7"/>
      <c r="X2017" s="2">
        <v>2016</v>
      </c>
      <c r="Y2017" s="2"/>
    </row>
    <row r="2018" spans="1:25" s="11" customFormat="1" ht="89.25" customHeight="1" outlineLevel="1" x14ac:dyDescent="0.25">
      <c r="A2018" s="1"/>
      <c r="B2018" s="2" t="s">
        <v>6495</v>
      </c>
      <c r="C2018" s="3" t="s">
        <v>83</v>
      </c>
      <c r="D2018" s="3" t="s">
        <v>3720</v>
      </c>
      <c r="E2018" s="3" t="s">
        <v>3721</v>
      </c>
      <c r="F2018" s="3" t="s">
        <v>3722</v>
      </c>
      <c r="G2018" s="19" t="s">
        <v>3723</v>
      </c>
      <c r="H2018" s="2" t="s">
        <v>694</v>
      </c>
      <c r="I2018" s="4">
        <v>0</v>
      </c>
      <c r="J2018" s="5">
        <v>710000000</v>
      </c>
      <c r="K2018" s="5" t="s">
        <v>89</v>
      </c>
      <c r="L2018" s="2" t="s">
        <v>754</v>
      </c>
      <c r="M2018" s="6" t="s">
        <v>787</v>
      </c>
      <c r="N2018" s="7" t="s">
        <v>92</v>
      </c>
      <c r="O2018" s="7" t="s">
        <v>93</v>
      </c>
      <c r="P2018" s="3" t="s">
        <v>673</v>
      </c>
      <c r="Q2018" s="8">
        <v>796</v>
      </c>
      <c r="R2018" s="7" t="s">
        <v>118</v>
      </c>
      <c r="S2018" s="9">
        <f>1+9+4+1</f>
        <v>15</v>
      </c>
      <c r="T2018" s="9">
        <v>2589.29</v>
      </c>
      <c r="U2018" s="9">
        <f t="shared" si="1639"/>
        <v>38839.35</v>
      </c>
      <c r="V2018" s="9">
        <f t="shared" si="1584"/>
        <v>43500.072</v>
      </c>
      <c r="W2018" s="7"/>
      <c r="X2018" s="2">
        <v>2016</v>
      </c>
      <c r="Y2018" s="2"/>
    </row>
    <row r="2019" spans="1:25" s="11" customFormat="1" ht="89.25" customHeight="1" outlineLevel="1" x14ac:dyDescent="0.25">
      <c r="A2019" s="1"/>
      <c r="B2019" s="2" t="s">
        <v>6496</v>
      </c>
      <c r="C2019" s="3" t="s">
        <v>83</v>
      </c>
      <c r="D2019" s="3" t="s">
        <v>3724</v>
      </c>
      <c r="E2019" s="3" t="s">
        <v>3714</v>
      </c>
      <c r="F2019" s="3" t="s">
        <v>3725</v>
      </c>
      <c r="G2019" s="19" t="s">
        <v>3726</v>
      </c>
      <c r="H2019" s="2" t="s">
        <v>694</v>
      </c>
      <c r="I2019" s="4">
        <v>0</v>
      </c>
      <c r="J2019" s="5">
        <v>710000000</v>
      </c>
      <c r="K2019" s="5" t="s">
        <v>89</v>
      </c>
      <c r="L2019" s="2" t="s">
        <v>754</v>
      </c>
      <c r="M2019" s="6" t="s">
        <v>787</v>
      </c>
      <c r="N2019" s="7" t="s">
        <v>92</v>
      </c>
      <c r="O2019" s="7" t="s">
        <v>93</v>
      </c>
      <c r="P2019" s="3" t="s">
        <v>673</v>
      </c>
      <c r="Q2019" s="19">
        <v>797</v>
      </c>
      <c r="R2019" s="19" t="s">
        <v>118</v>
      </c>
      <c r="S2019" s="9">
        <f>6+33+35+16+1+3+1</f>
        <v>95</v>
      </c>
      <c r="T2019" s="9">
        <v>4241</v>
      </c>
      <c r="U2019" s="9">
        <f t="shared" si="1639"/>
        <v>402895</v>
      </c>
      <c r="V2019" s="9">
        <f t="shared" si="1584"/>
        <v>451242.4</v>
      </c>
      <c r="W2019" s="7"/>
      <c r="X2019" s="2">
        <v>2016</v>
      </c>
      <c r="Y2019" s="2"/>
    </row>
    <row r="2020" spans="1:25" s="11" customFormat="1" ht="89.25" customHeight="1" outlineLevel="1" x14ac:dyDescent="0.25">
      <c r="A2020" s="1"/>
      <c r="B2020" s="2" t="s">
        <v>6497</v>
      </c>
      <c r="C2020" s="3" t="s">
        <v>83</v>
      </c>
      <c r="D2020" s="3" t="s">
        <v>3727</v>
      </c>
      <c r="E2020" s="3" t="s">
        <v>3728</v>
      </c>
      <c r="F2020" s="3" t="s">
        <v>3729</v>
      </c>
      <c r="G2020" s="19" t="s">
        <v>3730</v>
      </c>
      <c r="H2020" s="2" t="s">
        <v>694</v>
      </c>
      <c r="I2020" s="4">
        <v>0</v>
      </c>
      <c r="J2020" s="5">
        <v>710000000</v>
      </c>
      <c r="K2020" s="5" t="s">
        <v>89</v>
      </c>
      <c r="L2020" s="2" t="s">
        <v>754</v>
      </c>
      <c r="M2020" s="6" t="s">
        <v>787</v>
      </c>
      <c r="N2020" s="7" t="s">
        <v>92</v>
      </c>
      <c r="O2020" s="7" t="s">
        <v>93</v>
      </c>
      <c r="P2020" s="3" t="s">
        <v>673</v>
      </c>
      <c r="Q2020" s="19">
        <v>798</v>
      </c>
      <c r="R2020" s="19" t="s">
        <v>118</v>
      </c>
      <c r="S2020" s="9">
        <f>5+4+4+2+1</f>
        <v>16</v>
      </c>
      <c r="T2020" s="9">
        <v>553.57000000000005</v>
      </c>
      <c r="U2020" s="9">
        <f t="shared" si="1639"/>
        <v>8857.1200000000008</v>
      </c>
      <c r="V2020" s="9">
        <f t="shared" si="1584"/>
        <v>9919.974400000001</v>
      </c>
      <c r="W2020" s="7"/>
      <c r="X2020" s="2">
        <v>2016</v>
      </c>
      <c r="Y2020" s="2"/>
    </row>
    <row r="2021" spans="1:25" s="11" customFormat="1" ht="89.25" customHeight="1" outlineLevel="1" x14ac:dyDescent="0.25">
      <c r="A2021" s="1"/>
      <c r="B2021" s="2" t="s">
        <v>6498</v>
      </c>
      <c r="C2021" s="3" t="s">
        <v>83</v>
      </c>
      <c r="D2021" s="3" t="s">
        <v>3731</v>
      </c>
      <c r="E2021" s="3" t="s">
        <v>3732</v>
      </c>
      <c r="F2021" s="3" t="s">
        <v>3733</v>
      </c>
      <c r="G2021" s="19" t="s">
        <v>3734</v>
      </c>
      <c r="H2021" s="2" t="s">
        <v>694</v>
      </c>
      <c r="I2021" s="4">
        <v>0</v>
      </c>
      <c r="J2021" s="5">
        <v>710000000</v>
      </c>
      <c r="K2021" s="5" t="s">
        <v>89</v>
      </c>
      <c r="L2021" s="2" t="s">
        <v>754</v>
      </c>
      <c r="M2021" s="6" t="s">
        <v>787</v>
      </c>
      <c r="N2021" s="7" t="s">
        <v>92</v>
      </c>
      <c r="O2021" s="7" t="s">
        <v>93</v>
      </c>
      <c r="P2021" s="3" t="s">
        <v>673</v>
      </c>
      <c r="Q2021" s="19">
        <v>799</v>
      </c>
      <c r="R2021" s="19" t="s">
        <v>118</v>
      </c>
      <c r="S2021" s="9">
        <f>2+4+2</f>
        <v>8</v>
      </c>
      <c r="T2021" s="9">
        <v>11790.18</v>
      </c>
      <c r="U2021" s="9">
        <f t="shared" si="1639"/>
        <v>94321.44</v>
      </c>
      <c r="V2021" s="9">
        <f t="shared" si="1584"/>
        <v>105640.01280000001</v>
      </c>
      <c r="W2021" s="7"/>
      <c r="X2021" s="2">
        <v>2016</v>
      </c>
      <c r="Y2021" s="2"/>
    </row>
    <row r="2022" spans="1:25" s="11" customFormat="1" ht="89.25" customHeight="1" outlineLevel="1" x14ac:dyDescent="0.25">
      <c r="A2022" s="1"/>
      <c r="B2022" s="2" t="s">
        <v>6499</v>
      </c>
      <c r="C2022" s="3" t="s">
        <v>83</v>
      </c>
      <c r="D2022" s="3" t="s">
        <v>3735</v>
      </c>
      <c r="E2022" s="3" t="s">
        <v>3736</v>
      </c>
      <c r="F2022" s="3" t="s">
        <v>3737</v>
      </c>
      <c r="G2022" s="19" t="s">
        <v>3738</v>
      </c>
      <c r="H2022" s="2" t="s">
        <v>694</v>
      </c>
      <c r="I2022" s="4">
        <v>0</v>
      </c>
      <c r="J2022" s="5">
        <v>710000000</v>
      </c>
      <c r="K2022" s="5" t="s">
        <v>89</v>
      </c>
      <c r="L2022" s="2" t="s">
        <v>754</v>
      </c>
      <c r="M2022" s="6" t="s">
        <v>787</v>
      </c>
      <c r="N2022" s="7" t="s">
        <v>92</v>
      </c>
      <c r="O2022" s="7" t="s">
        <v>93</v>
      </c>
      <c r="P2022" s="3" t="s">
        <v>673</v>
      </c>
      <c r="Q2022" s="8">
        <v>796</v>
      </c>
      <c r="R2022" s="7" t="s">
        <v>118</v>
      </c>
      <c r="S2022" s="9">
        <f>2+5+4+2</f>
        <v>13</v>
      </c>
      <c r="T2022" s="9">
        <v>825.29</v>
      </c>
      <c r="U2022" s="9">
        <f t="shared" si="1639"/>
        <v>10728.77</v>
      </c>
      <c r="V2022" s="9">
        <f t="shared" si="1584"/>
        <v>12016.222400000002</v>
      </c>
      <c r="W2022" s="7"/>
      <c r="X2022" s="2">
        <v>2016</v>
      </c>
      <c r="Y2022" s="2"/>
    </row>
    <row r="2023" spans="1:25" s="20" customFormat="1" ht="89.25" customHeight="1" outlineLevel="1" x14ac:dyDescent="0.25">
      <c r="A2023" s="1"/>
      <c r="B2023" s="2" t="s">
        <v>6500</v>
      </c>
      <c r="C2023" s="3" t="s">
        <v>83</v>
      </c>
      <c r="D2023" s="3" t="s">
        <v>3739</v>
      </c>
      <c r="E2023" s="3" t="s">
        <v>3736</v>
      </c>
      <c r="F2023" s="3" t="s">
        <v>3740</v>
      </c>
      <c r="G2023" s="19" t="s">
        <v>3741</v>
      </c>
      <c r="H2023" s="2" t="s">
        <v>694</v>
      </c>
      <c r="I2023" s="4">
        <v>0</v>
      </c>
      <c r="J2023" s="5">
        <v>710000000</v>
      </c>
      <c r="K2023" s="5" t="s">
        <v>89</v>
      </c>
      <c r="L2023" s="2" t="s">
        <v>754</v>
      </c>
      <c r="M2023" s="6" t="s">
        <v>787</v>
      </c>
      <c r="N2023" s="7" t="s">
        <v>92</v>
      </c>
      <c r="O2023" s="7" t="s">
        <v>93</v>
      </c>
      <c r="P2023" s="3" t="s">
        <v>673</v>
      </c>
      <c r="Q2023" s="8">
        <v>796</v>
      </c>
      <c r="R2023" s="7" t="s">
        <v>118</v>
      </c>
      <c r="S2023" s="9">
        <f>2+5+4+2+1</f>
        <v>14</v>
      </c>
      <c r="T2023" s="9">
        <v>2678.57</v>
      </c>
      <c r="U2023" s="9">
        <f t="shared" si="1639"/>
        <v>37499.980000000003</v>
      </c>
      <c r="V2023" s="9">
        <f t="shared" si="1584"/>
        <v>41999.977600000006</v>
      </c>
      <c r="W2023" s="7"/>
      <c r="X2023" s="2">
        <v>2016</v>
      </c>
      <c r="Y2023" s="2"/>
    </row>
    <row r="2024" spans="1:25" s="11" customFormat="1" ht="89.25" customHeight="1" outlineLevel="1" x14ac:dyDescent="0.25">
      <c r="A2024" s="1"/>
      <c r="B2024" s="2" t="s">
        <v>6501</v>
      </c>
      <c r="C2024" s="3" t="s">
        <v>83</v>
      </c>
      <c r="D2024" s="3" t="s">
        <v>3742</v>
      </c>
      <c r="E2024" s="3" t="s">
        <v>3743</v>
      </c>
      <c r="F2024" s="3" t="s">
        <v>3744</v>
      </c>
      <c r="G2024" s="19" t="s">
        <v>3745</v>
      </c>
      <c r="H2024" s="2" t="s">
        <v>694</v>
      </c>
      <c r="I2024" s="4">
        <v>0</v>
      </c>
      <c r="J2024" s="5">
        <v>710000000</v>
      </c>
      <c r="K2024" s="5" t="s">
        <v>89</v>
      </c>
      <c r="L2024" s="2" t="s">
        <v>754</v>
      </c>
      <c r="M2024" s="6" t="s">
        <v>787</v>
      </c>
      <c r="N2024" s="7" t="s">
        <v>92</v>
      </c>
      <c r="O2024" s="7" t="s">
        <v>93</v>
      </c>
      <c r="P2024" s="3" t="s">
        <v>673</v>
      </c>
      <c r="Q2024" s="8">
        <v>796</v>
      </c>
      <c r="R2024" s="7" t="s">
        <v>118</v>
      </c>
      <c r="S2024" s="9">
        <f>1+1+1</f>
        <v>3</v>
      </c>
      <c r="T2024" s="9">
        <v>3589.29</v>
      </c>
      <c r="U2024" s="9">
        <f t="shared" si="1639"/>
        <v>10767.869999999999</v>
      </c>
      <c r="V2024" s="9">
        <f t="shared" si="1584"/>
        <v>12060.0144</v>
      </c>
      <c r="W2024" s="7"/>
      <c r="X2024" s="2">
        <v>2016</v>
      </c>
      <c r="Y2024" s="2"/>
    </row>
    <row r="2025" spans="1:25" s="11" customFormat="1" ht="89.25" customHeight="1" outlineLevel="1" x14ac:dyDescent="0.25">
      <c r="A2025" s="1"/>
      <c r="B2025" s="2" t="s">
        <v>6502</v>
      </c>
      <c r="C2025" s="3" t="s">
        <v>83</v>
      </c>
      <c r="D2025" s="3" t="s">
        <v>3720</v>
      </c>
      <c r="E2025" s="3" t="s">
        <v>3721</v>
      </c>
      <c r="F2025" s="3" t="s">
        <v>3722</v>
      </c>
      <c r="G2025" s="19" t="s">
        <v>3746</v>
      </c>
      <c r="H2025" s="2" t="s">
        <v>694</v>
      </c>
      <c r="I2025" s="4">
        <v>0</v>
      </c>
      <c r="J2025" s="5">
        <v>710000000</v>
      </c>
      <c r="K2025" s="5" t="s">
        <v>89</v>
      </c>
      <c r="L2025" s="2" t="s">
        <v>754</v>
      </c>
      <c r="M2025" s="6" t="s">
        <v>787</v>
      </c>
      <c r="N2025" s="7" t="s">
        <v>92</v>
      </c>
      <c r="O2025" s="7" t="s">
        <v>93</v>
      </c>
      <c r="P2025" s="3" t="s">
        <v>673</v>
      </c>
      <c r="Q2025" s="8">
        <v>796</v>
      </c>
      <c r="R2025" s="7" t="s">
        <v>118</v>
      </c>
      <c r="S2025" s="9">
        <f>2+4</f>
        <v>6</v>
      </c>
      <c r="T2025" s="9">
        <v>2899</v>
      </c>
      <c r="U2025" s="9">
        <f t="shared" si="1639"/>
        <v>17394</v>
      </c>
      <c r="V2025" s="9">
        <f t="shared" si="1584"/>
        <v>19481.280000000002</v>
      </c>
      <c r="W2025" s="7"/>
      <c r="X2025" s="2">
        <v>2016</v>
      </c>
      <c r="Y2025" s="2"/>
    </row>
    <row r="2026" spans="1:25" s="11" customFormat="1" ht="89.25" customHeight="1" outlineLevel="1" x14ac:dyDescent="0.25">
      <c r="A2026" s="1"/>
      <c r="B2026" s="2" t="s">
        <v>6503</v>
      </c>
      <c r="C2026" s="9" t="s">
        <v>83</v>
      </c>
      <c r="D2026" s="9" t="s">
        <v>3747</v>
      </c>
      <c r="E2026" s="9" t="s">
        <v>3748</v>
      </c>
      <c r="F2026" s="9" t="s">
        <v>3749</v>
      </c>
      <c r="G2026" s="19" t="s">
        <v>3750</v>
      </c>
      <c r="H2026" s="2" t="s">
        <v>694</v>
      </c>
      <c r="I2026" s="4">
        <v>0</v>
      </c>
      <c r="J2026" s="5">
        <v>710000000</v>
      </c>
      <c r="K2026" s="5" t="s">
        <v>89</v>
      </c>
      <c r="L2026" s="2" t="s">
        <v>754</v>
      </c>
      <c r="M2026" s="6" t="s">
        <v>787</v>
      </c>
      <c r="N2026" s="7" t="s">
        <v>92</v>
      </c>
      <c r="O2026" s="7" t="s">
        <v>93</v>
      </c>
      <c r="P2026" s="3" t="s">
        <v>673</v>
      </c>
      <c r="Q2026" s="8">
        <v>796</v>
      </c>
      <c r="R2026" s="7" t="s">
        <v>118</v>
      </c>
      <c r="S2026" s="9">
        <f>1+1</f>
        <v>2</v>
      </c>
      <c r="T2026" s="9">
        <v>1828</v>
      </c>
      <c r="U2026" s="9">
        <f t="shared" si="1639"/>
        <v>3656</v>
      </c>
      <c r="V2026" s="9">
        <f t="shared" si="1584"/>
        <v>4094.7200000000003</v>
      </c>
      <c r="W2026" s="7"/>
      <c r="X2026" s="2">
        <v>2016</v>
      </c>
      <c r="Y2026" s="2"/>
    </row>
    <row r="2027" spans="1:25" s="20" customFormat="1" ht="89.25" customHeight="1" outlineLevel="1" x14ac:dyDescent="0.25">
      <c r="A2027" s="1"/>
      <c r="B2027" s="2" t="s">
        <v>6504</v>
      </c>
      <c r="C2027" s="3" t="s">
        <v>83</v>
      </c>
      <c r="D2027" s="3" t="s">
        <v>3747</v>
      </c>
      <c r="E2027" s="3" t="s">
        <v>3748</v>
      </c>
      <c r="F2027" s="3" t="s">
        <v>3749</v>
      </c>
      <c r="G2027" s="19" t="s">
        <v>3751</v>
      </c>
      <c r="H2027" s="2" t="s">
        <v>694</v>
      </c>
      <c r="I2027" s="4">
        <v>0</v>
      </c>
      <c r="J2027" s="5">
        <v>710000000</v>
      </c>
      <c r="K2027" s="5" t="s">
        <v>89</v>
      </c>
      <c r="L2027" s="2" t="s">
        <v>754</v>
      </c>
      <c r="M2027" s="6" t="s">
        <v>787</v>
      </c>
      <c r="N2027" s="7" t="s">
        <v>92</v>
      </c>
      <c r="O2027" s="7" t="s">
        <v>93</v>
      </c>
      <c r="P2027" s="3" t="s">
        <v>673</v>
      </c>
      <c r="Q2027" s="31">
        <v>796</v>
      </c>
      <c r="R2027" s="5" t="s">
        <v>118</v>
      </c>
      <c r="S2027" s="9">
        <f>2+1</f>
        <v>3</v>
      </c>
      <c r="T2027" s="9">
        <v>2592</v>
      </c>
      <c r="U2027" s="9">
        <f t="shared" si="1639"/>
        <v>7776</v>
      </c>
      <c r="V2027" s="9">
        <f t="shared" si="1584"/>
        <v>8709.1200000000008</v>
      </c>
      <c r="W2027" s="7"/>
      <c r="X2027" s="2">
        <v>2016</v>
      </c>
      <c r="Y2027" s="2"/>
    </row>
    <row r="2028" spans="1:25" s="11" customFormat="1" ht="89.25" customHeight="1" outlineLevel="1" x14ac:dyDescent="0.25">
      <c r="A2028" s="1"/>
      <c r="B2028" s="2" t="s">
        <v>6505</v>
      </c>
      <c r="C2028" s="3" t="s">
        <v>83</v>
      </c>
      <c r="D2028" s="3" t="s">
        <v>3752</v>
      </c>
      <c r="E2028" s="3" t="s">
        <v>3753</v>
      </c>
      <c r="F2028" s="3" t="s">
        <v>3722</v>
      </c>
      <c r="G2028" s="19" t="s">
        <v>3754</v>
      </c>
      <c r="H2028" s="2" t="s">
        <v>694</v>
      </c>
      <c r="I2028" s="4">
        <v>0</v>
      </c>
      <c r="J2028" s="5">
        <v>710000000</v>
      </c>
      <c r="K2028" s="5" t="s">
        <v>89</v>
      </c>
      <c r="L2028" s="2" t="s">
        <v>754</v>
      </c>
      <c r="M2028" s="6" t="s">
        <v>787</v>
      </c>
      <c r="N2028" s="7" t="s">
        <v>92</v>
      </c>
      <c r="O2028" s="7" t="s">
        <v>93</v>
      </c>
      <c r="P2028" s="3" t="s">
        <v>673</v>
      </c>
      <c r="Q2028" s="31">
        <v>796</v>
      </c>
      <c r="R2028" s="5" t="s">
        <v>118</v>
      </c>
      <c r="S2028" s="9">
        <v>1</v>
      </c>
      <c r="T2028" s="9">
        <v>7672</v>
      </c>
      <c r="U2028" s="9">
        <f t="shared" si="1639"/>
        <v>7672</v>
      </c>
      <c r="V2028" s="9">
        <f t="shared" si="1584"/>
        <v>8592.6400000000012</v>
      </c>
      <c r="W2028" s="7"/>
      <c r="X2028" s="2">
        <v>2016</v>
      </c>
      <c r="Y2028" s="2"/>
    </row>
    <row r="2029" spans="1:25" s="11" customFormat="1" ht="89.25" customHeight="1" outlineLevel="1" x14ac:dyDescent="0.25">
      <c r="A2029" s="1"/>
      <c r="B2029" s="2" t="s">
        <v>6506</v>
      </c>
      <c r="C2029" s="3" t="s">
        <v>83</v>
      </c>
      <c r="D2029" s="3" t="s">
        <v>3755</v>
      </c>
      <c r="E2029" s="3" t="s">
        <v>3756</v>
      </c>
      <c r="F2029" s="3" t="s">
        <v>3757</v>
      </c>
      <c r="G2029" s="19" t="s">
        <v>3758</v>
      </c>
      <c r="H2029" s="2" t="s">
        <v>694</v>
      </c>
      <c r="I2029" s="4">
        <v>0</v>
      </c>
      <c r="J2029" s="5">
        <v>710000000</v>
      </c>
      <c r="K2029" s="5" t="s">
        <v>89</v>
      </c>
      <c r="L2029" s="2" t="s">
        <v>754</v>
      </c>
      <c r="M2029" s="6" t="s">
        <v>787</v>
      </c>
      <c r="N2029" s="7" t="s">
        <v>92</v>
      </c>
      <c r="O2029" s="7" t="s">
        <v>93</v>
      </c>
      <c r="P2029" s="3" t="s">
        <v>673</v>
      </c>
      <c r="Q2029" s="8">
        <v>796</v>
      </c>
      <c r="R2029" s="7" t="s">
        <v>118</v>
      </c>
      <c r="S2029" s="9">
        <v>32</v>
      </c>
      <c r="T2029" s="9">
        <v>7165</v>
      </c>
      <c r="U2029" s="9">
        <f t="shared" si="1639"/>
        <v>229280</v>
      </c>
      <c r="V2029" s="9">
        <f t="shared" si="1584"/>
        <v>256793.60000000003</v>
      </c>
      <c r="W2029" s="7"/>
      <c r="X2029" s="2">
        <v>2016</v>
      </c>
      <c r="Y2029" s="2"/>
    </row>
    <row r="2030" spans="1:25" s="11" customFormat="1" ht="89.25" customHeight="1" outlineLevel="1" x14ac:dyDescent="0.25">
      <c r="A2030" s="1"/>
      <c r="B2030" s="2" t="s">
        <v>6507</v>
      </c>
      <c r="C2030" s="3" t="s">
        <v>83</v>
      </c>
      <c r="D2030" s="3" t="s">
        <v>3759</v>
      </c>
      <c r="E2030" s="3" t="s">
        <v>3760</v>
      </c>
      <c r="F2030" s="3" t="s">
        <v>3761</v>
      </c>
      <c r="G2030" s="19" t="s">
        <v>3762</v>
      </c>
      <c r="H2030" s="2" t="s">
        <v>694</v>
      </c>
      <c r="I2030" s="4">
        <v>0</v>
      </c>
      <c r="J2030" s="5">
        <v>710000000</v>
      </c>
      <c r="K2030" s="5" t="s">
        <v>89</v>
      </c>
      <c r="L2030" s="2" t="s">
        <v>754</v>
      </c>
      <c r="M2030" s="6" t="s">
        <v>787</v>
      </c>
      <c r="N2030" s="7" t="s">
        <v>92</v>
      </c>
      <c r="O2030" s="7" t="s">
        <v>93</v>
      </c>
      <c r="P2030" s="3" t="s">
        <v>673</v>
      </c>
      <c r="Q2030" s="8">
        <v>796</v>
      </c>
      <c r="R2030" s="7" t="s">
        <v>118</v>
      </c>
      <c r="S2030" s="9">
        <f>2</f>
        <v>2</v>
      </c>
      <c r="T2030" s="9">
        <v>1025</v>
      </c>
      <c r="U2030" s="9">
        <f>S2030*T2030</f>
        <v>2050</v>
      </c>
      <c r="V2030" s="9">
        <f t="shared" si="1584"/>
        <v>2296</v>
      </c>
      <c r="W2030" s="7"/>
      <c r="X2030" s="2">
        <v>2016</v>
      </c>
      <c r="Y2030" s="2"/>
    </row>
    <row r="2031" spans="1:25" s="11" customFormat="1" ht="89.25" customHeight="1" outlineLevel="1" x14ac:dyDescent="0.25">
      <c r="A2031" s="1"/>
      <c r="B2031" s="2" t="s">
        <v>6508</v>
      </c>
      <c r="C2031" s="3" t="s">
        <v>83</v>
      </c>
      <c r="D2031" s="3" t="s">
        <v>2644</v>
      </c>
      <c r="E2031" s="3" t="s">
        <v>2645</v>
      </c>
      <c r="F2031" s="3" t="s">
        <v>2646</v>
      </c>
      <c r="G2031" s="19" t="s">
        <v>3763</v>
      </c>
      <c r="H2031" s="2" t="s">
        <v>694</v>
      </c>
      <c r="I2031" s="4">
        <v>0</v>
      </c>
      <c r="J2031" s="5">
        <v>710000000</v>
      </c>
      <c r="K2031" s="5" t="s">
        <v>89</v>
      </c>
      <c r="L2031" s="2" t="s">
        <v>754</v>
      </c>
      <c r="M2031" s="6" t="s">
        <v>787</v>
      </c>
      <c r="N2031" s="7" t="s">
        <v>92</v>
      </c>
      <c r="O2031" s="7" t="s">
        <v>93</v>
      </c>
      <c r="P2031" s="3" t="s">
        <v>673</v>
      </c>
      <c r="Q2031" s="8">
        <v>796</v>
      </c>
      <c r="R2031" s="7" t="s">
        <v>118</v>
      </c>
      <c r="S2031" s="9">
        <f>1+3</f>
        <v>4</v>
      </c>
      <c r="T2031" s="9">
        <v>4754</v>
      </c>
      <c r="U2031" s="9">
        <f t="shared" ref="U2031:U2069" si="1640">T2031*S2031</f>
        <v>19016</v>
      </c>
      <c r="V2031" s="9">
        <f t="shared" si="1584"/>
        <v>21297.920000000002</v>
      </c>
      <c r="W2031" s="7"/>
      <c r="X2031" s="2">
        <v>2016</v>
      </c>
      <c r="Y2031" s="2"/>
    </row>
    <row r="2032" spans="1:25" s="11" customFormat="1" ht="89.25" customHeight="1" outlineLevel="1" x14ac:dyDescent="0.25">
      <c r="A2032" s="1"/>
      <c r="B2032" s="2" t="s">
        <v>6509</v>
      </c>
      <c r="C2032" s="3" t="s">
        <v>83</v>
      </c>
      <c r="D2032" s="3" t="s">
        <v>3764</v>
      </c>
      <c r="E2032" s="3" t="s">
        <v>3765</v>
      </c>
      <c r="F2032" s="3" t="s">
        <v>3761</v>
      </c>
      <c r="G2032" s="3" t="s">
        <v>3766</v>
      </c>
      <c r="H2032" s="2" t="s">
        <v>694</v>
      </c>
      <c r="I2032" s="4">
        <v>0</v>
      </c>
      <c r="J2032" s="5">
        <v>710000000</v>
      </c>
      <c r="K2032" s="3" t="s">
        <v>89</v>
      </c>
      <c r="L2032" s="2" t="s">
        <v>754</v>
      </c>
      <c r="M2032" s="3" t="s">
        <v>787</v>
      </c>
      <c r="N2032" s="7" t="s">
        <v>92</v>
      </c>
      <c r="O2032" s="7" t="s">
        <v>93</v>
      </c>
      <c r="P2032" s="3" t="s">
        <v>673</v>
      </c>
      <c r="Q2032" s="8">
        <v>796</v>
      </c>
      <c r="R2032" s="7" t="s">
        <v>118</v>
      </c>
      <c r="S2032" s="9">
        <v>25</v>
      </c>
      <c r="T2032" s="9">
        <v>2240</v>
      </c>
      <c r="U2032" s="9">
        <f t="shared" si="1640"/>
        <v>56000</v>
      </c>
      <c r="V2032" s="9">
        <f t="shared" si="1584"/>
        <v>62720.000000000007</v>
      </c>
      <c r="W2032" s="3"/>
      <c r="X2032" s="2">
        <v>2016</v>
      </c>
      <c r="Y2032" s="3"/>
    </row>
    <row r="2033" spans="1:25" s="11" customFormat="1" ht="89.25" customHeight="1" outlineLevel="1" x14ac:dyDescent="0.25">
      <c r="A2033" s="1"/>
      <c r="B2033" s="2" t="s">
        <v>6510</v>
      </c>
      <c r="C2033" s="3" t="s">
        <v>83</v>
      </c>
      <c r="D2033" s="3" t="s">
        <v>3720</v>
      </c>
      <c r="E2033" s="3" t="s">
        <v>3721</v>
      </c>
      <c r="F2033" s="3" t="s">
        <v>3722</v>
      </c>
      <c r="G2033" s="19" t="s">
        <v>3767</v>
      </c>
      <c r="H2033" s="2" t="s">
        <v>694</v>
      </c>
      <c r="I2033" s="4">
        <v>0</v>
      </c>
      <c r="J2033" s="5">
        <v>710000000</v>
      </c>
      <c r="K2033" s="5" t="s">
        <v>89</v>
      </c>
      <c r="L2033" s="2" t="s">
        <v>754</v>
      </c>
      <c r="M2033" s="6" t="s">
        <v>787</v>
      </c>
      <c r="N2033" s="7" t="s">
        <v>92</v>
      </c>
      <c r="O2033" s="7" t="s">
        <v>93</v>
      </c>
      <c r="P2033" s="3" t="s">
        <v>673</v>
      </c>
      <c r="Q2033" s="8">
        <v>796</v>
      </c>
      <c r="R2033" s="7" t="s">
        <v>118</v>
      </c>
      <c r="S2033" s="9">
        <f>1+1+2</f>
        <v>4</v>
      </c>
      <c r="T2033" s="9">
        <v>9777</v>
      </c>
      <c r="U2033" s="9">
        <f t="shared" si="1640"/>
        <v>39108</v>
      </c>
      <c r="V2033" s="9">
        <f t="shared" si="1584"/>
        <v>43800.960000000006</v>
      </c>
      <c r="W2033" s="7"/>
      <c r="X2033" s="2">
        <v>2016</v>
      </c>
      <c r="Y2033" s="2"/>
    </row>
    <row r="2034" spans="1:25" s="11" customFormat="1" ht="102" customHeight="1" outlineLevel="1" x14ac:dyDescent="0.25">
      <c r="A2034" s="1"/>
      <c r="B2034" s="2" t="s">
        <v>6511</v>
      </c>
      <c r="C2034" s="3" t="s">
        <v>83</v>
      </c>
      <c r="D2034" s="3" t="s">
        <v>3720</v>
      </c>
      <c r="E2034" s="3" t="s">
        <v>3721</v>
      </c>
      <c r="F2034" s="3" t="s">
        <v>3722</v>
      </c>
      <c r="G2034" s="19" t="s">
        <v>3768</v>
      </c>
      <c r="H2034" s="2" t="s">
        <v>694</v>
      </c>
      <c r="I2034" s="4">
        <v>0</v>
      </c>
      <c r="J2034" s="5">
        <v>710000000</v>
      </c>
      <c r="K2034" s="5" t="s">
        <v>89</v>
      </c>
      <c r="L2034" s="2" t="s">
        <v>754</v>
      </c>
      <c r="M2034" s="6" t="s">
        <v>787</v>
      </c>
      <c r="N2034" s="7" t="s">
        <v>92</v>
      </c>
      <c r="O2034" s="7" t="s">
        <v>93</v>
      </c>
      <c r="P2034" s="3" t="s">
        <v>673</v>
      </c>
      <c r="Q2034" s="8">
        <v>796</v>
      </c>
      <c r="R2034" s="7" t="s">
        <v>118</v>
      </c>
      <c r="S2034" s="9">
        <f>4+1+2+4</f>
        <v>11</v>
      </c>
      <c r="T2034" s="9">
        <v>1776.79</v>
      </c>
      <c r="U2034" s="9">
        <f t="shared" si="1640"/>
        <v>19544.689999999999</v>
      </c>
      <c r="V2034" s="9">
        <f t="shared" si="1584"/>
        <v>21890.052800000001</v>
      </c>
      <c r="W2034" s="7"/>
      <c r="X2034" s="2">
        <v>2016</v>
      </c>
      <c r="Y2034" s="2"/>
    </row>
    <row r="2035" spans="1:25" s="11" customFormat="1" ht="89.25" customHeight="1" outlineLevel="1" x14ac:dyDescent="0.25">
      <c r="A2035" s="1"/>
      <c r="B2035" s="2" t="s">
        <v>6512</v>
      </c>
      <c r="C2035" s="3" t="s">
        <v>83</v>
      </c>
      <c r="D2035" s="3" t="s">
        <v>3769</v>
      </c>
      <c r="E2035" s="3" t="s">
        <v>858</v>
      </c>
      <c r="F2035" s="3" t="s">
        <v>2465</v>
      </c>
      <c r="G2035" s="19" t="s">
        <v>3770</v>
      </c>
      <c r="H2035" s="2" t="s">
        <v>694</v>
      </c>
      <c r="I2035" s="4">
        <v>0</v>
      </c>
      <c r="J2035" s="5">
        <v>710000000</v>
      </c>
      <c r="K2035" s="5" t="s">
        <v>89</v>
      </c>
      <c r="L2035" s="2" t="s">
        <v>754</v>
      </c>
      <c r="M2035" s="6" t="s">
        <v>787</v>
      </c>
      <c r="N2035" s="7" t="s">
        <v>92</v>
      </c>
      <c r="O2035" s="7" t="s">
        <v>93</v>
      </c>
      <c r="P2035" s="3" t="s">
        <v>673</v>
      </c>
      <c r="Q2035" s="8">
        <v>796</v>
      </c>
      <c r="R2035" s="7" t="s">
        <v>118</v>
      </c>
      <c r="S2035" s="9">
        <f>45+8+1+2+45</f>
        <v>101</v>
      </c>
      <c r="T2035" s="9">
        <v>3075.89</v>
      </c>
      <c r="U2035" s="9">
        <f t="shared" si="1640"/>
        <v>310664.89</v>
      </c>
      <c r="V2035" s="9">
        <f t="shared" si="1584"/>
        <v>347944.67680000007</v>
      </c>
      <c r="W2035" s="7"/>
      <c r="X2035" s="2">
        <v>2016</v>
      </c>
      <c r="Y2035" s="2"/>
    </row>
    <row r="2036" spans="1:25" s="11" customFormat="1" ht="89.25" customHeight="1" outlineLevel="1" x14ac:dyDescent="0.25">
      <c r="A2036" s="1"/>
      <c r="B2036" s="2" t="s">
        <v>6513</v>
      </c>
      <c r="C2036" s="3" t="s">
        <v>83</v>
      </c>
      <c r="D2036" s="3" t="s">
        <v>3771</v>
      </c>
      <c r="E2036" s="3" t="s">
        <v>887</v>
      </c>
      <c r="F2036" s="3" t="s">
        <v>3772</v>
      </c>
      <c r="G2036" s="19"/>
      <c r="H2036" s="2" t="s">
        <v>694</v>
      </c>
      <c r="I2036" s="4">
        <v>0</v>
      </c>
      <c r="J2036" s="5">
        <v>710000000</v>
      </c>
      <c r="K2036" s="5" t="s">
        <v>89</v>
      </c>
      <c r="L2036" s="2" t="s">
        <v>754</v>
      </c>
      <c r="M2036" s="6" t="s">
        <v>787</v>
      </c>
      <c r="N2036" s="7" t="s">
        <v>92</v>
      </c>
      <c r="O2036" s="7" t="s">
        <v>93</v>
      </c>
      <c r="P2036" s="3" t="s">
        <v>673</v>
      </c>
      <c r="Q2036" s="8" t="s">
        <v>2439</v>
      </c>
      <c r="R2036" s="7" t="s">
        <v>2440</v>
      </c>
      <c r="S2036" s="9">
        <f>50+50</f>
        <v>100</v>
      </c>
      <c r="T2036" s="9">
        <v>287.58</v>
      </c>
      <c r="U2036" s="9">
        <f t="shared" si="1640"/>
        <v>28758</v>
      </c>
      <c r="V2036" s="9">
        <f t="shared" si="1584"/>
        <v>32208.960000000003</v>
      </c>
      <c r="W2036" s="7"/>
      <c r="X2036" s="2">
        <v>2016</v>
      </c>
      <c r="Y2036" s="2"/>
    </row>
    <row r="2037" spans="1:25" s="11" customFormat="1" ht="89.25" customHeight="1" outlineLevel="1" x14ac:dyDescent="0.25">
      <c r="A2037" s="1"/>
      <c r="B2037" s="2" t="s">
        <v>6514</v>
      </c>
      <c r="C2037" s="3" t="s">
        <v>83</v>
      </c>
      <c r="D2037" s="3" t="s">
        <v>3773</v>
      </c>
      <c r="E2037" s="3" t="s">
        <v>3774</v>
      </c>
      <c r="F2037" s="3" t="s">
        <v>3775</v>
      </c>
      <c r="G2037" s="19" t="s">
        <v>3776</v>
      </c>
      <c r="H2037" s="2" t="s">
        <v>694</v>
      </c>
      <c r="I2037" s="4">
        <v>0</v>
      </c>
      <c r="J2037" s="5">
        <v>710000000</v>
      </c>
      <c r="K2037" s="5" t="s">
        <v>89</v>
      </c>
      <c r="L2037" s="2" t="s">
        <v>754</v>
      </c>
      <c r="M2037" s="6" t="s">
        <v>787</v>
      </c>
      <c r="N2037" s="7" t="s">
        <v>92</v>
      </c>
      <c r="O2037" s="7" t="s">
        <v>93</v>
      </c>
      <c r="P2037" s="3" t="s">
        <v>673</v>
      </c>
      <c r="Q2037" s="8">
        <v>796</v>
      </c>
      <c r="R2037" s="7" t="s">
        <v>118</v>
      </c>
      <c r="S2037" s="9">
        <v>4</v>
      </c>
      <c r="T2037" s="9">
        <v>8269.58</v>
      </c>
      <c r="U2037" s="9">
        <f t="shared" si="1640"/>
        <v>33078.32</v>
      </c>
      <c r="V2037" s="9">
        <f t="shared" si="1584"/>
        <v>37047.718400000005</v>
      </c>
      <c r="W2037" s="7"/>
      <c r="X2037" s="2">
        <v>2016</v>
      </c>
      <c r="Y2037" s="2"/>
    </row>
    <row r="2038" spans="1:25" s="11" customFormat="1" ht="89.25" customHeight="1" outlineLevel="1" x14ac:dyDescent="0.25">
      <c r="A2038" s="1"/>
      <c r="B2038" s="2" t="s">
        <v>6515</v>
      </c>
      <c r="C2038" s="3" t="s">
        <v>83</v>
      </c>
      <c r="D2038" s="3" t="s">
        <v>3777</v>
      </c>
      <c r="E2038" s="3" t="s">
        <v>880</v>
      </c>
      <c r="F2038" s="3" t="s">
        <v>3778</v>
      </c>
      <c r="G2038" s="19" t="s">
        <v>3779</v>
      </c>
      <c r="H2038" s="2" t="s">
        <v>694</v>
      </c>
      <c r="I2038" s="4">
        <v>0</v>
      </c>
      <c r="J2038" s="5">
        <v>710000000</v>
      </c>
      <c r="K2038" s="5" t="s">
        <v>89</v>
      </c>
      <c r="L2038" s="2" t="s">
        <v>754</v>
      </c>
      <c r="M2038" s="6" t="s">
        <v>787</v>
      </c>
      <c r="N2038" s="7" t="s">
        <v>92</v>
      </c>
      <c r="O2038" s="7" t="s">
        <v>93</v>
      </c>
      <c r="P2038" s="3" t="s">
        <v>673</v>
      </c>
      <c r="Q2038" s="8">
        <v>796</v>
      </c>
      <c r="R2038" s="7" t="s">
        <v>118</v>
      </c>
      <c r="S2038" s="9">
        <v>15</v>
      </c>
      <c r="T2038" s="9">
        <v>4929</v>
      </c>
      <c r="U2038" s="9">
        <f t="shared" si="1640"/>
        <v>73935</v>
      </c>
      <c r="V2038" s="9">
        <f t="shared" si="1584"/>
        <v>82807.200000000012</v>
      </c>
      <c r="W2038" s="7"/>
      <c r="X2038" s="2">
        <v>2016</v>
      </c>
      <c r="Y2038" s="2"/>
    </row>
    <row r="2039" spans="1:25" s="11" customFormat="1" ht="89.25" customHeight="1" outlineLevel="1" x14ac:dyDescent="0.25">
      <c r="A2039" s="1"/>
      <c r="B2039" s="2" t="s">
        <v>6516</v>
      </c>
      <c r="C2039" s="3" t="s">
        <v>83</v>
      </c>
      <c r="D2039" s="3" t="s">
        <v>3780</v>
      </c>
      <c r="E2039" s="3" t="s">
        <v>2976</v>
      </c>
      <c r="F2039" s="3" t="s">
        <v>3781</v>
      </c>
      <c r="G2039" s="19" t="s">
        <v>3782</v>
      </c>
      <c r="H2039" s="2" t="s">
        <v>694</v>
      </c>
      <c r="I2039" s="4">
        <v>0</v>
      </c>
      <c r="J2039" s="5">
        <v>710000000</v>
      </c>
      <c r="K2039" s="5" t="s">
        <v>89</v>
      </c>
      <c r="L2039" s="2" t="s">
        <v>754</v>
      </c>
      <c r="M2039" s="6" t="s">
        <v>787</v>
      </c>
      <c r="N2039" s="7" t="s">
        <v>92</v>
      </c>
      <c r="O2039" s="7" t="s">
        <v>93</v>
      </c>
      <c r="P2039" s="3" t="s">
        <v>673</v>
      </c>
      <c r="Q2039" s="8">
        <v>796</v>
      </c>
      <c r="R2039" s="7" t="s">
        <v>118</v>
      </c>
      <c r="S2039" s="9">
        <f>17+10</f>
        <v>27</v>
      </c>
      <c r="T2039" s="9">
        <v>384</v>
      </c>
      <c r="U2039" s="9">
        <f t="shared" si="1640"/>
        <v>10368</v>
      </c>
      <c r="V2039" s="9">
        <f t="shared" si="1584"/>
        <v>11612.160000000002</v>
      </c>
      <c r="W2039" s="7"/>
      <c r="X2039" s="2">
        <v>2016</v>
      </c>
      <c r="Y2039" s="2"/>
    </row>
    <row r="2040" spans="1:25" s="11" customFormat="1" ht="89.25" customHeight="1" outlineLevel="1" x14ac:dyDescent="0.25">
      <c r="A2040" s="1"/>
      <c r="B2040" s="2" t="s">
        <v>6517</v>
      </c>
      <c r="C2040" s="3" t="s">
        <v>83</v>
      </c>
      <c r="D2040" s="3" t="s">
        <v>3783</v>
      </c>
      <c r="E2040" s="3" t="s">
        <v>2489</v>
      </c>
      <c r="F2040" s="3" t="s">
        <v>3784</v>
      </c>
      <c r="G2040" s="19"/>
      <c r="H2040" s="2" t="s">
        <v>694</v>
      </c>
      <c r="I2040" s="4">
        <v>0</v>
      </c>
      <c r="J2040" s="5">
        <v>710000000</v>
      </c>
      <c r="K2040" s="5" t="s">
        <v>89</v>
      </c>
      <c r="L2040" s="2" t="s">
        <v>754</v>
      </c>
      <c r="M2040" s="6" t="s">
        <v>787</v>
      </c>
      <c r="N2040" s="7" t="s">
        <v>92</v>
      </c>
      <c r="O2040" s="7" t="s">
        <v>93</v>
      </c>
      <c r="P2040" s="3" t="s">
        <v>673</v>
      </c>
      <c r="Q2040" s="8">
        <v>796</v>
      </c>
      <c r="R2040" s="7" t="s">
        <v>118</v>
      </c>
      <c r="S2040" s="9">
        <v>3</v>
      </c>
      <c r="T2040" s="9">
        <v>33767.86</v>
      </c>
      <c r="U2040" s="9">
        <f t="shared" si="1640"/>
        <v>101303.58</v>
      </c>
      <c r="V2040" s="9">
        <f t="shared" si="1584"/>
        <v>113460.00960000002</v>
      </c>
      <c r="W2040" s="7"/>
      <c r="X2040" s="2">
        <v>2016</v>
      </c>
      <c r="Y2040" s="2"/>
    </row>
    <row r="2041" spans="1:25" s="11" customFormat="1" ht="102" customHeight="1" outlineLevel="1" x14ac:dyDescent="0.25">
      <c r="A2041" s="1"/>
      <c r="B2041" s="2" t="s">
        <v>6518</v>
      </c>
      <c r="C2041" s="3" t="s">
        <v>83</v>
      </c>
      <c r="D2041" s="3" t="s">
        <v>3785</v>
      </c>
      <c r="E2041" s="3" t="s">
        <v>2489</v>
      </c>
      <c r="F2041" s="3" t="s">
        <v>3786</v>
      </c>
      <c r="G2041" s="3" t="s">
        <v>3787</v>
      </c>
      <c r="H2041" s="2" t="s">
        <v>694</v>
      </c>
      <c r="I2041" s="4">
        <v>0</v>
      </c>
      <c r="J2041" s="5">
        <v>710000000</v>
      </c>
      <c r="K2041" s="5" t="s">
        <v>89</v>
      </c>
      <c r="L2041" s="2" t="s">
        <v>754</v>
      </c>
      <c r="M2041" s="6" t="s">
        <v>787</v>
      </c>
      <c r="N2041" s="7" t="s">
        <v>92</v>
      </c>
      <c r="O2041" s="7" t="s">
        <v>93</v>
      </c>
      <c r="P2041" s="3" t="s">
        <v>673</v>
      </c>
      <c r="Q2041" s="8">
        <v>796</v>
      </c>
      <c r="R2041" s="7" t="s">
        <v>118</v>
      </c>
      <c r="S2041" s="9">
        <v>5</v>
      </c>
      <c r="T2041" s="9">
        <v>40178.57</v>
      </c>
      <c r="U2041" s="9">
        <f t="shared" si="1640"/>
        <v>200892.85</v>
      </c>
      <c r="V2041" s="9">
        <f t="shared" si="1584"/>
        <v>224999.99200000003</v>
      </c>
      <c r="W2041" s="7"/>
      <c r="X2041" s="2">
        <v>2016</v>
      </c>
      <c r="Y2041" s="2"/>
    </row>
    <row r="2042" spans="1:25" s="11" customFormat="1" ht="89.25" customHeight="1" outlineLevel="1" x14ac:dyDescent="0.25">
      <c r="A2042" s="1"/>
      <c r="B2042" s="2" t="s">
        <v>6519</v>
      </c>
      <c r="C2042" s="3" t="s">
        <v>83</v>
      </c>
      <c r="D2042" s="3" t="s">
        <v>3764</v>
      </c>
      <c r="E2042" s="3" t="s">
        <v>3765</v>
      </c>
      <c r="F2042" s="3" t="s">
        <v>3761</v>
      </c>
      <c r="G2042" s="19" t="s">
        <v>3788</v>
      </c>
      <c r="H2042" s="2" t="s">
        <v>694</v>
      </c>
      <c r="I2042" s="4">
        <v>0</v>
      </c>
      <c r="J2042" s="5">
        <v>710000000</v>
      </c>
      <c r="K2042" s="5" t="s">
        <v>89</v>
      </c>
      <c r="L2042" s="2" t="s">
        <v>754</v>
      </c>
      <c r="M2042" s="6" t="s">
        <v>787</v>
      </c>
      <c r="N2042" s="7" t="s">
        <v>92</v>
      </c>
      <c r="O2042" s="7" t="s">
        <v>93</v>
      </c>
      <c r="P2042" s="3" t="s">
        <v>673</v>
      </c>
      <c r="Q2042" s="8">
        <v>796</v>
      </c>
      <c r="R2042" s="7" t="s">
        <v>118</v>
      </c>
      <c r="S2042" s="9">
        <v>2</v>
      </c>
      <c r="T2042" s="9">
        <v>2490</v>
      </c>
      <c r="U2042" s="9">
        <f t="shared" si="1640"/>
        <v>4980</v>
      </c>
      <c r="V2042" s="9">
        <f t="shared" si="1584"/>
        <v>5577.6</v>
      </c>
      <c r="W2042" s="7"/>
      <c r="X2042" s="2">
        <v>2016</v>
      </c>
      <c r="Y2042" s="2"/>
    </row>
    <row r="2043" spans="1:25" s="11" customFormat="1" ht="89.25" customHeight="1" outlineLevel="1" x14ac:dyDescent="0.25">
      <c r="A2043" s="1"/>
      <c r="B2043" s="2" t="s">
        <v>6520</v>
      </c>
      <c r="C2043" s="3" t="s">
        <v>83</v>
      </c>
      <c r="D2043" s="3" t="s">
        <v>3764</v>
      </c>
      <c r="E2043" s="3" t="s">
        <v>3765</v>
      </c>
      <c r="F2043" s="3" t="s">
        <v>3761</v>
      </c>
      <c r="G2043" s="19" t="s">
        <v>3789</v>
      </c>
      <c r="H2043" s="2" t="s">
        <v>694</v>
      </c>
      <c r="I2043" s="4">
        <v>0</v>
      </c>
      <c r="J2043" s="5">
        <v>710000000</v>
      </c>
      <c r="K2043" s="5" t="s">
        <v>89</v>
      </c>
      <c r="L2043" s="2" t="s">
        <v>754</v>
      </c>
      <c r="M2043" s="6" t="s">
        <v>787</v>
      </c>
      <c r="N2043" s="7" t="s">
        <v>92</v>
      </c>
      <c r="O2043" s="7" t="s">
        <v>93</v>
      </c>
      <c r="P2043" s="3" t="s">
        <v>673</v>
      </c>
      <c r="Q2043" s="8">
        <v>796</v>
      </c>
      <c r="R2043" s="7" t="s">
        <v>118</v>
      </c>
      <c r="S2043" s="9">
        <v>3</v>
      </c>
      <c r="T2043" s="9">
        <v>2240</v>
      </c>
      <c r="U2043" s="9">
        <f t="shared" si="1640"/>
        <v>6720</v>
      </c>
      <c r="V2043" s="9">
        <f t="shared" si="1584"/>
        <v>7526.4000000000005</v>
      </c>
      <c r="W2043" s="7"/>
      <c r="X2043" s="2">
        <v>2016</v>
      </c>
      <c r="Y2043" s="2"/>
    </row>
    <row r="2044" spans="1:25" s="11" customFormat="1" ht="89.25" customHeight="1" outlineLevel="1" x14ac:dyDescent="0.25">
      <c r="A2044" s="1"/>
      <c r="B2044" s="2" t="s">
        <v>6521</v>
      </c>
      <c r="C2044" s="3" t="s">
        <v>83</v>
      </c>
      <c r="D2044" s="3" t="s">
        <v>3790</v>
      </c>
      <c r="E2044" s="3" t="s">
        <v>3791</v>
      </c>
      <c r="F2044" s="3" t="s">
        <v>3792</v>
      </c>
      <c r="G2044" s="19" t="s">
        <v>3793</v>
      </c>
      <c r="H2044" s="2" t="s">
        <v>694</v>
      </c>
      <c r="I2044" s="4">
        <v>0</v>
      </c>
      <c r="J2044" s="5">
        <v>710000000</v>
      </c>
      <c r="K2044" s="5" t="s">
        <v>89</v>
      </c>
      <c r="L2044" s="2" t="s">
        <v>754</v>
      </c>
      <c r="M2044" s="6" t="s">
        <v>787</v>
      </c>
      <c r="N2044" s="7" t="s">
        <v>92</v>
      </c>
      <c r="O2044" s="7" t="s">
        <v>93</v>
      </c>
      <c r="P2044" s="3" t="s">
        <v>673</v>
      </c>
      <c r="Q2044" s="8">
        <v>796</v>
      </c>
      <c r="R2044" s="7" t="s">
        <v>118</v>
      </c>
      <c r="S2044" s="9">
        <f>2+2</f>
        <v>4</v>
      </c>
      <c r="T2044" s="9">
        <v>12500</v>
      </c>
      <c r="U2044" s="9">
        <f t="shared" si="1640"/>
        <v>50000</v>
      </c>
      <c r="V2044" s="9">
        <f t="shared" si="1584"/>
        <v>56000.000000000007</v>
      </c>
      <c r="W2044" s="7"/>
      <c r="X2044" s="2">
        <v>2016</v>
      </c>
      <c r="Y2044" s="2"/>
    </row>
    <row r="2045" spans="1:25" s="11" customFormat="1" ht="89.25" customHeight="1" outlineLevel="1" x14ac:dyDescent="0.25">
      <c r="A2045" s="1"/>
      <c r="B2045" s="2" t="s">
        <v>6522</v>
      </c>
      <c r="C2045" s="3" t="s">
        <v>83</v>
      </c>
      <c r="D2045" s="3" t="s">
        <v>3790</v>
      </c>
      <c r="E2045" s="3" t="s">
        <v>3791</v>
      </c>
      <c r="F2045" s="3" t="s">
        <v>3792</v>
      </c>
      <c r="G2045" s="19" t="s">
        <v>3794</v>
      </c>
      <c r="H2045" s="2" t="s">
        <v>694</v>
      </c>
      <c r="I2045" s="4">
        <v>0</v>
      </c>
      <c r="J2045" s="5">
        <v>710000000</v>
      </c>
      <c r="K2045" s="5" t="s">
        <v>89</v>
      </c>
      <c r="L2045" s="2" t="s">
        <v>754</v>
      </c>
      <c r="M2045" s="6" t="s">
        <v>787</v>
      </c>
      <c r="N2045" s="7" t="s">
        <v>92</v>
      </c>
      <c r="O2045" s="7" t="s">
        <v>93</v>
      </c>
      <c r="P2045" s="3" t="s">
        <v>673</v>
      </c>
      <c r="Q2045" s="8">
        <v>796</v>
      </c>
      <c r="R2045" s="7" t="s">
        <v>118</v>
      </c>
      <c r="S2045" s="9">
        <f>1+45</f>
        <v>46</v>
      </c>
      <c r="T2045" s="9">
        <v>7589.29</v>
      </c>
      <c r="U2045" s="9">
        <f t="shared" si="1640"/>
        <v>349107.34</v>
      </c>
      <c r="V2045" s="9">
        <f t="shared" si="1584"/>
        <v>391000.22080000007</v>
      </c>
      <c r="W2045" s="7"/>
      <c r="X2045" s="2">
        <v>2016</v>
      </c>
      <c r="Y2045" s="2"/>
    </row>
    <row r="2046" spans="1:25" s="11" customFormat="1" ht="89.25" customHeight="1" outlineLevel="1" x14ac:dyDescent="0.25">
      <c r="A2046" s="1"/>
      <c r="B2046" s="2" t="s">
        <v>6523</v>
      </c>
      <c r="C2046" s="3" t="s">
        <v>83</v>
      </c>
      <c r="D2046" s="19" t="s">
        <v>3724</v>
      </c>
      <c r="E2046" s="19" t="s">
        <v>3714</v>
      </c>
      <c r="F2046" s="19" t="s">
        <v>3725</v>
      </c>
      <c r="G2046" s="19" t="s">
        <v>3795</v>
      </c>
      <c r="H2046" s="2" t="s">
        <v>694</v>
      </c>
      <c r="I2046" s="4">
        <v>0</v>
      </c>
      <c r="J2046" s="5">
        <v>710000000</v>
      </c>
      <c r="K2046" s="5" t="s">
        <v>89</v>
      </c>
      <c r="L2046" s="2" t="s">
        <v>754</v>
      </c>
      <c r="M2046" s="6" t="s">
        <v>91</v>
      </c>
      <c r="N2046" s="7" t="s">
        <v>92</v>
      </c>
      <c r="O2046" s="7" t="s">
        <v>93</v>
      </c>
      <c r="P2046" s="3" t="s">
        <v>673</v>
      </c>
      <c r="Q2046" s="8" t="s">
        <v>117</v>
      </c>
      <c r="R2046" s="7" t="s">
        <v>118</v>
      </c>
      <c r="S2046" s="9">
        <v>16</v>
      </c>
      <c r="T2046" s="9">
        <v>2946</v>
      </c>
      <c r="U2046" s="9">
        <f t="shared" si="1640"/>
        <v>47136</v>
      </c>
      <c r="V2046" s="9">
        <f t="shared" si="1584"/>
        <v>52792.320000000007</v>
      </c>
      <c r="W2046" s="7"/>
      <c r="X2046" s="2">
        <v>2016</v>
      </c>
      <c r="Y2046" s="2"/>
    </row>
    <row r="2047" spans="1:25" s="11" customFormat="1" ht="89.25" customHeight="1" outlineLevel="1" x14ac:dyDescent="0.25">
      <c r="A2047" s="1"/>
      <c r="B2047" s="2" t="s">
        <v>6524</v>
      </c>
      <c r="C2047" s="3" t="s">
        <v>83</v>
      </c>
      <c r="D2047" s="19" t="s">
        <v>3796</v>
      </c>
      <c r="E2047" s="19" t="s">
        <v>3797</v>
      </c>
      <c r="F2047" s="19" t="s">
        <v>3706</v>
      </c>
      <c r="G2047" s="19" t="s">
        <v>3798</v>
      </c>
      <c r="H2047" s="2" t="s">
        <v>694</v>
      </c>
      <c r="I2047" s="4">
        <v>0</v>
      </c>
      <c r="J2047" s="5">
        <v>710000000</v>
      </c>
      <c r="K2047" s="5" t="s">
        <v>89</v>
      </c>
      <c r="L2047" s="2" t="s">
        <v>754</v>
      </c>
      <c r="M2047" s="6" t="s">
        <v>91</v>
      </c>
      <c r="N2047" s="7" t="s">
        <v>92</v>
      </c>
      <c r="O2047" s="7" t="s">
        <v>93</v>
      </c>
      <c r="P2047" s="3" t="s">
        <v>673</v>
      </c>
      <c r="Q2047" s="8" t="s">
        <v>117</v>
      </c>
      <c r="R2047" s="7" t="s">
        <v>118</v>
      </c>
      <c r="S2047" s="9">
        <v>30</v>
      </c>
      <c r="T2047" s="9">
        <v>304</v>
      </c>
      <c r="U2047" s="9">
        <f t="shared" si="1640"/>
        <v>9120</v>
      </c>
      <c r="V2047" s="9">
        <f t="shared" si="1584"/>
        <v>10214.400000000001</v>
      </c>
      <c r="W2047" s="7"/>
      <c r="X2047" s="2">
        <v>2016</v>
      </c>
      <c r="Y2047" s="2"/>
    </row>
    <row r="2048" spans="1:25" s="11" customFormat="1" ht="89.25" customHeight="1" outlineLevel="1" x14ac:dyDescent="0.25">
      <c r="A2048" s="1"/>
      <c r="B2048" s="2" t="s">
        <v>6525</v>
      </c>
      <c r="C2048" s="3" t="s">
        <v>83</v>
      </c>
      <c r="D2048" s="19" t="s">
        <v>3796</v>
      </c>
      <c r="E2048" s="19" t="s">
        <v>3797</v>
      </c>
      <c r="F2048" s="19" t="s">
        <v>3706</v>
      </c>
      <c r="G2048" s="19" t="s">
        <v>3798</v>
      </c>
      <c r="H2048" s="2" t="s">
        <v>694</v>
      </c>
      <c r="I2048" s="4">
        <v>0</v>
      </c>
      <c r="J2048" s="5">
        <v>710000000</v>
      </c>
      <c r="K2048" s="5" t="s">
        <v>89</v>
      </c>
      <c r="L2048" s="2" t="s">
        <v>754</v>
      </c>
      <c r="M2048" s="6" t="s">
        <v>91</v>
      </c>
      <c r="N2048" s="7" t="s">
        <v>92</v>
      </c>
      <c r="O2048" s="7" t="s">
        <v>93</v>
      </c>
      <c r="P2048" s="3" t="s">
        <v>673</v>
      </c>
      <c r="Q2048" s="8" t="s">
        <v>117</v>
      </c>
      <c r="R2048" s="7" t="s">
        <v>118</v>
      </c>
      <c r="S2048" s="9">
        <v>30</v>
      </c>
      <c r="T2048" s="9">
        <v>304</v>
      </c>
      <c r="U2048" s="9">
        <f t="shared" si="1640"/>
        <v>9120</v>
      </c>
      <c r="V2048" s="9">
        <f t="shared" si="1584"/>
        <v>10214.400000000001</v>
      </c>
      <c r="W2048" s="7"/>
      <c r="X2048" s="2">
        <v>2016</v>
      </c>
      <c r="Y2048" s="2"/>
    </row>
    <row r="2049" spans="1:25" s="11" customFormat="1" ht="89.25" customHeight="1" outlineLevel="1" x14ac:dyDescent="0.25">
      <c r="A2049" s="1"/>
      <c r="B2049" s="2" t="s">
        <v>6526</v>
      </c>
      <c r="C2049" s="3" t="s">
        <v>83</v>
      </c>
      <c r="D2049" s="19" t="s">
        <v>3796</v>
      </c>
      <c r="E2049" s="19" t="s">
        <v>3797</v>
      </c>
      <c r="F2049" s="19" t="s">
        <v>3706</v>
      </c>
      <c r="G2049" s="19" t="s">
        <v>3799</v>
      </c>
      <c r="H2049" s="2" t="s">
        <v>694</v>
      </c>
      <c r="I2049" s="4">
        <v>0</v>
      </c>
      <c r="J2049" s="5">
        <v>710000000</v>
      </c>
      <c r="K2049" s="5" t="s">
        <v>89</v>
      </c>
      <c r="L2049" s="2" t="s">
        <v>754</v>
      </c>
      <c r="M2049" s="6" t="s">
        <v>91</v>
      </c>
      <c r="N2049" s="7" t="s">
        <v>92</v>
      </c>
      <c r="O2049" s="7" t="s">
        <v>93</v>
      </c>
      <c r="P2049" s="3" t="s">
        <v>673</v>
      </c>
      <c r="Q2049" s="8" t="s">
        <v>117</v>
      </c>
      <c r="R2049" s="7" t="s">
        <v>118</v>
      </c>
      <c r="S2049" s="9">
        <v>21</v>
      </c>
      <c r="T2049" s="9">
        <v>406</v>
      </c>
      <c r="U2049" s="9">
        <f t="shared" si="1640"/>
        <v>8526</v>
      </c>
      <c r="V2049" s="9">
        <f t="shared" si="1584"/>
        <v>9549.1200000000008</v>
      </c>
      <c r="W2049" s="7"/>
      <c r="X2049" s="2">
        <v>2016</v>
      </c>
      <c r="Y2049" s="2"/>
    </row>
    <row r="2050" spans="1:25" s="11" customFormat="1" ht="89.25" customHeight="1" outlineLevel="1" x14ac:dyDescent="0.25">
      <c r="A2050" s="1"/>
      <c r="B2050" s="2" t="s">
        <v>6527</v>
      </c>
      <c r="C2050" s="3" t="s">
        <v>83</v>
      </c>
      <c r="D2050" s="19" t="s">
        <v>3800</v>
      </c>
      <c r="E2050" s="19" t="s">
        <v>3801</v>
      </c>
      <c r="F2050" s="19" t="s">
        <v>3802</v>
      </c>
      <c r="G2050" s="19" t="s">
        <v>3803</v>
      </c>
      <c r="H2050" s="2" t="s">
        <v>694</v>
      </c>
      <c r="I2050" s="4">
        <v>0</v>
      </c>
      <c r="J2050" s="5">
        <v>710000000</v>
      </c>
      <c r="K2050" s="5" t="s">
        <v>89</v>
      </c>
      <c r="L2050" s="2" t="s">
        <v>754</v>
      </c>
      <c r="M2050" s="6" t="s">
        <v>91</v>
      </c>
      <c r="N2050" s="7" t="s">
        <v>92</v>
      </c>
      <c r="O2050" s="7" t="s">
        <v>93</v>
      </c>
      <c r="P2050" s="3" t="s">
        <v>673</v>
      </c>
      <c r="Q2050" s="8" t="s">
        <v>117</v>
      </c>
      <c r="R2050" s="7" t="s">
        <v>118</v>
      </c>
      <c r="S2050" s="9">
        <v>25</v>
      </c>
      <c r="T2050" s="9">
        <v>607</v>
      </c>
      <c r="U2050" s="9">
        <f t="shared" si="1640"/>
        <v>15175</v>
      </c>
      <c r="V2050" s="9">
        <f t="shared" ref="V2050:V2113" si="1641">U2050*1.12</f>
        <v>16996</v>
      </c>
      <c r="W2050" s="7"/>
      <c r="X2050" s="2">
        <v>2016</v>
      </c>
      <c r="Y2050" s="2"/>
    </row>
    <row r="2051" spans="1:25" s="11" customFormat="1" ht="89.25" customHeight="1" outlineLevel="1" x14ac:dyDescent="0.25">
      <c r="A2051" s="1"/>
      <c r="B2051" s="2" t="s">
        <v>6528</v>
      </c>
      <c r="C2051" s="3" t="s">
        <v>83</v>
      </c>
      <c r="D2051" s="19" t="s">
        <v>3713</v>
      </c>
      <c r="E2051" s="19" t="s">
        <v>3714</v>
      </c>
      <c r="F2051" s="19" t="s">
        <v>3715</v>
      </c>
      <c r="G2051" s="19" t="s">
        <v>3804</v>
      </c>
      <c r="H2051" s="2" t="s">
        <v>694</v>
      </c>
      <c r="I2051" s="4">
        <v>0</v>
      </c>
      <c r="J2051" s="5">
        <v>710000000</v>
      </c>
      <c r="K2051" s="5" t="s">
        <v>89</v>
      </c>
      <c r="L2051" s="2" t="s">
        <v>754</v>
      </c>
      <c r="M2051" s="6" t="s">
        <v>91</v>
      </c>
      <c r="N2051" s="7" t="s">
        <v>92</v>
      </c>
      <c r="O2051" s="7" t="s">
        <v>93</v>
      </c>
      <c r="P2051" s="3" t="s">
        <v>673</v>
      </c>
      <c r="Q2051" s="8" t="s">
        <v>117</v>
      </c>
      <c r="R2051" s="7" t="s">
        <v>118</v>
      </c>
      <c r="S2051" s="9">
        <v>2</v>
      </c>
      <c r="T2051" s="9">
        <v>902</v>
      </c>
      <c r="U2051" s="9">
        <f t="shared" si="1640"/>
        <v>1804</v>
      </c>
      <c r="V2051" s="9">
        <f t="shared" si="1641"/>
        <v>2020.4800000000002</v>
      </c>
      <c r="W2051" s="7"/>
      <c r="X2051" s="2">
        <v>2016</v>
      </c>
      <c r="Y2051" s="2"/>
    </row>
    <row r="2052" spans="1:25" s="11" customFormat="1" ht="89.25" customHeight="1" outlineLevel="1" x14ac:dyDescent="0.25">
      <c r="A2052" s="1"/>
      <c r="B2052" s="2" t="s">
        <v>6529</v>
      </c>
      <c r="C2052" s="3" t="s">
        <v>83</v>
      </c>
      <c r="D2052" s="19" t="s">
        <v>3717</v>
      </c>
      <c r="E2052" s="19" t="s">
        <v>3714</v>
      </c>
      <c r="F2052" s="19" t="s">
        <v>3718</v>
      </c>
      <c r="G2052" s="19" t="s">
        <v>3805</v>
      </c>
      <c r="H2052" s="2" t="s">
        <v>694</v>
      </c>
      <c r="I2052" s="4">
        <v>0</v>
      </c>
      <c r="J2052" s="5">
        <v>710000000</v>
      </c>
      <c r="K2052" s="5" t="s">
        <v>89</v>
      </c>
      <c r="L2052" s="2" t="s">
        <v>754</v>
      </c>
      <c r="M2052" s="6" t="s">
        <v>91</v>
      </c>
      <c r="N2052" s="7" t="s">
        <v>92</v>
      </c>
      <c r="O2052" s="7" t="s">
        <v>93</v>
      </c>
      <c r="P2052" s="3" t="s">
        <v>673</v>
      </c>
      <c r="Q2052" s="8" t="s">
        <v>117</v>
      </c>
      <c r="R2052" s="7" t="s">
        <v>118</v>
      </c>
      <c r="S2052" s="9">
        <v>2</v>
      </c>
      <c r="T2052" s="9">
        <v>696</v>
      </c>
      <c r="U2052" s="9">
        <f t="shared" si="1640"/>
        <v>1392</v>
      </c>
      <c r="V2052" s="9">
        <f t="shared" si="1641"/>
        <v>1559.0400000000002</v>
      </c>
      <c r="W2052" s="7"/>
      <c r="X2052" s="2">
        <v>2016</v>
      </c>
      <c r="Y2052" s="2"/>
    </row>
    <row r="2053" spans="1:25" s="11" customFormat="1" ht="89.25" customHeight="1" outlineLevel="1" x14ac:dyDescent="0.25">
      <c r="A2053" s="1"/>
      <c r="B2053" s="2" t="s">
        <v>6530</v>
      </c>
      <c r="C2053" s="3" t="s">
        <v>83</v>
      </c>
      <c r="D2053" s="19" t="s">
        <v>3806</v>
      </c>
      <c r="E2053" s="19" t="s">
        <v>3705</v>
      </c>
      <c r="F2053" s="19" t="s">
        <v>3807</v>
      </c>
      <c r="G2053" s="19" t="s">
        <v>3808</v>
      </c>
      <c r="H2053" s="2" t="s">
        <v>694</v>
      </c>
      <c r="I2053" s="4">
        <v>0</v>
      </c>
      <c r="J2053" s="5">
        <v>710000000</v>
      </c>
      <c r="K2053" s="5" t="s">
        <v>89</v>
      </c>
      <c r="L2053" s="2" t="s">
        <v>754</v>
      </c>
      <c r="M2053" s="6" t="s">
        <v>91</v>
      </c>
      <c r="N2053" s="7" t="s">
        <v>92</v>
      </c>
      <c r="O2053" s="7" t="s">
        <v>93</v>
      </c>
      <c r="P2053" s="3" t="s">
        <v>673</v>
      </c>
      <c r="Q2053" s="8" t="s">
        <v>117</v>
      </c>
      <c r="R2053" s="7" t="s">
        <v>118</v>
      </c>
      <c r="S2053" s="9">
        <v>17</v>
      </c>
      <c r="T2053" s="9">
        <v>433</v>
      </c>
      <c r="U2053" s="9">
        <f t="shared" si="1640"/>
        <v>7361</v>
      </c>
      <c r="V2053" s="9">
        <f t="shared" si="1641"/>
        <v>8244.3200000000015</v>
      </c>
      <c r="W2053" s="7"/>
      <c r="X2053" s="2">
        <v>2016</v>
      </c>
      <c r="Y2053" s="2"/>
    </row>
    <row r="2054" spans="1:25" s="11" customFormat="1" ht="89.25" customHeight="1" outlineLevel="1" x14ac:dyDescent="0.25">
      <c r="A2054" s="1"/>
      <c r="B2054" s="2" t="s">
        <v>6531</v>
      </c>
      <c r="C2054" s="3" t="s">
        <v>83</v>
      </c>
      <c r="D2054" s="19" t="s">
        <v>3809</v>
      </c>
      <c r="E2054" s="19" t="s">
        <v>3721</v>
      </c>
      <c r="F2054" s="19" t="s">
        <v>3810</v>
      </c>
      <c r="G2054" s="19"/>
      <c r="H2054" s="2" t="s">
        <v>694</v>
      </c>
      <c r="I2054" s="4">
        <v>0</v>
      </c>
      <c r="J2054" s="5">
        <v>710000000</v>
      </c>
      <c r="K2054" s="5" t="s">
        <v>89</v>
      </c>
      <c r="L2054" s="2" t="s">
        <v>754</v>
      </c>
      <c r="M2054" s="6" t="s">
        <v>91</v>
      </c>
      <c r="N2054" s="7" t="s">
        <v>92</v>
      </c>
      <c r="O2054" s="7" t="s">
        <v>93</v>
      </c>
      <c r="P2054" s="3" t="s">
        <v>673</v>
      </c>
      <c r="Q2054" s="8" t="s">
        <v>117</v>
      </c>
      <c r="R2054" s="7" t="s">
        <v>118</v>
      </c>
      <c r="S2054" s="9">
        <v>3</v>
      </c>
      <c r="T2054" s="9">
        <v>420</v>
      </c>
      <c r="U2054" s="9">
        <f t="shared" si="1640"/>
        <v>1260</v>
      </c>
      <c r="V2054" s="9">
        <f t="shared" si="1641"/>
        <v>1411.2</v>
      </c>
      <c r="W2054" s="7"/>
      <c r="X2054" s="2">
        <v>2016</v>
      </c>
      <c r="Y2054" s="2"/>
    </row>
    <row r="2055" spans="1:25" s="11" customFormat="1" ht="89.25" customHeight="1" outlineLevel="1" x14ac:dyDescent="0.25">
      <c r="A2055" s="1"/>
      <c r="B2055" s="2" t="s">
        <v>6532</v>
      </c>
      <c r="C2055" s="3" t="s">
        <v>83</v>
      </c>
      <c r="D2055" s="19" t="s">
        <v>3709</v>
      </c>
      <c r="E2055" s="19" t="s">
        <v>3710</v>
      </c>
      <c r="F2055" s="19" t="s">
        <v>3711</v>
      </c>
      <c r="G2055" s="19"/>
      <c r="H2055" s="2" t="s">
        <v>694</v>
      </c>
      <c r="I2055" s="4">
        <v>0</v>
      </c>
      <c r="J2055" s="5">
        <v>710000000</v>
      </c>
      <c r="K2055" s="5" t="s">
        <v>89</v>
      </c>
      <c r="L2055" s="2" t="s">
        <v>754</v>
      </c>
      <c r="M2055" s="6" t="s">
        <v>91</v>
      </c>
      <c r="N2055" s="7" t="s">
        <v>92</v>
      </c>
      <c r="O2055" s="7" t="s">
        <v>93</v>
      </c>
      <c r="P2055" s="3" t="s">
        <v>673</v>
      </c>
      <c r="Q2055" s="8" t="s">
        <v>117</v>
      </c>
      <c r="R2055" s="7" t="s">
        <v>118</v>
      </c>
      <c r="S2055" s="9">
        <v>1</v>
      </c>
      <c r="T2055" s="9">
        <v>214</v>
      </c>
      <c r="U2055" s="9">
        <f t="shared" si="1640"/>
        <v>214</v>
      </c>
      <c r="V2055" s="9">
        <f t="shared" si="1641"/>
        <v>239.68000000000004</v>
      </c>
      <c r="W2055" s="7"/>
      <c r="X2055" s="2">
        <v>2016</v>
      </c>
      <c r="Y2055" s="2"/>
    </row>
    <row r="2056" spans="1:25" s="11" customFormat="1" ht="89.25" customHeight="1" outlineLevel="1" x14ac:dyDescent="0.25">
      <c r="A2056" s="1"/>
      <c r="B2056" s="2" t="s">
        <v>6533</v>
      </c>
      <c r="C2056" s="3" t="s">
        <v>83</v>
      </c>
      <c r="D2056" s="19" t="s">
        <v>3811</v>
      </c>
      <c r="E2056" s="19" t="s">
        <v>3812</v>
      </c>
      <c r="F2056" s="19" t="s">
        <v>3813</v>
      </c>
      <c r="G2056" s="19" t="s">
        <v>3814</v>
      </c>
      <c r="H2056" s="2" t="s">
        <v>694</v>
      </c>
      <c r="I2056" s="4">
        <v>0</v>
      </c>
      <c r="J2056" s="5">
        <v>710000000</v>
      </c>
      <c r="K2056" s="5" t="s">
        <v>89</v>
      </c>
      <c r="L2056" s="2" t="s">
        <v>754</v>
      </c>
      <c r="M2056" s="6" t="s">
        <v>91</v>
      </c>
      <c r="N2056" s="7" t="s">
        <v>92</v>
      </c>
      <c r="O2056" s="7" t="s">
        <v>93</v>
      </c>
      <c r="P2056" s="3" t="s">
        <v>673</v>
      </c>
      <c r="Q2056" s="8" t="s">
        <v>117</v>
      </c>
      <c r="R2056" s="7" t="s">
        <v>118</v>
      </c>
      <c r="S2056" s="9">
        <v>10</v>
      </c>
      <c r="T2056" s="9">
        <v>402</v>
      </c>
      <c r="U2056" s="9">
        <f t="shared" si="1640"/>
        <v>4020</v>
      </c>
      <c r="V2056" s="9">
        <f t="shared" si="1641"/>
        <v>4502.4000000000005</v>
      </c>
      <c r="W2056" s="7"/>
      <c r="X2056" s="2">
        <v>2016</v>
      </c>
      <c r="Y2056" s="2"/>
    </row>
    <row r="2057" spans="1:25" s="11" customFormat="1" ht="89.25" customHeight="1" outlineLevel="1" x14ac:dyDescent="0.25">
      <c r="A2057" s="1"/>
      <c r="B2057" s="2" t="s">
        <v>6534</v>
      </c>
      <c r="C2057" s="3" t="s">
        <v>83</v>
      </c>
      <c r="D2057" s="19" t="s">
        <v>3815</v>
      </c>
      <c r="E2057" s="19" t="s">
        <v>3816</v>
      </c>
      <c r="F2057" s="19" t="s">
        <v>3817</v>
      </c>
      <c r="G2057" s="19"/>
      <c r="H2057" s="2" t="s">
        <v>694</v>
      </c>
      <c r="I2057" s="4">
        <v>0</v>
      </c>
      <c r="J2057" s="5">
        <v>710000000</v>
      </c>
      <c r="K2057" s="5" t="s">
        <v>89</v>
      </c>
      <c r="L2057" s="2" t="s">
        <v>754</v>
      </c>
      <c r="M2057" s="6" t="s">
        <v>91</v>
      </c>
      <c r="N2057" s="7" t="s">
        <v>92</v>
      </c>
      <c r="O2057" s="7" t="s">
        <v>93</v>
      </c>
      <c r="P2057" s="3" t="s">
        <v>673</v>
      </c>
      <c r="Q2057" s="8" t="s">
        <v>117</v>
      </c>
      <c r="R2057" s="7" t="s">
        <v>118</v>
      </c>
      <c r="S2057" s="9">
        <v>30</v>
      </c>
      <c r="T2057" s="9">
        <v>174.13</v>
      </c>
      <c r="U2057" s="9">
        <f t="shared" si="1640"/>
        <v>5223.8999999999996</v>
      </c>
      <c r="V2057" s="9">
        <f t="shared" si="1641"/>
        <v>5850.768</v>
      </c>
      <c r="W2057" s="7"/>
      <c r="X2057" s="2">
        <v>2016</v>
      </c>
      <c r="Y2057" s="2"/>
    </row>
    <row r="2058" spans="1:25" s="11" customFormat="1" ht="89.25" customHeight="1" outlineLevel="1" x14ac:dyDescent="0.25">
      <c r="A2058" s="1"/>
      <c r="B2058" s="2" t="s">
        <v>6535</v>
      </c>
      <c r="C2058" s="3" t="s">
        <v>83</v>
      </c>
      <c r="D2058" s="19" t="s">
        <v>3818</v>
      </c>
      <c r="E2058" s="19" t="s">
        <v>3791</v>
      </c>
      <c r="F2058" s="19" t="s">
        <v>3819</v>
      </c>
      <c r="G2058" s="19" t="s">
        <v>3820</v>
      </c>
      <c r="H2058" s="2" t="s">
        <v>694</v>
      </c>
      <c r="I2058" s="4">
        <v>0</v>
      </c>
      <c r="J2058" s="5">
        <v>710000000</v>
      </c>
      <c r="K2058" s="5" t="s">
        <v>89</v>
      </c>
      <c r="L2058" s="2" t="s">
        <v>754</v>
      </c>
      <c r="M2058" s="6" t="s">
        <v>91</v>
      </c>
      <c r="N2058" s="7" t="s">
        <v>92</v>
      </c>
      <c r="O2058" s="7" t="s">
        <v>93</v>
      </c>
      <c r="P2058" s="3" t="s">
        <v>673</v>
      </c>
      <c r="Q2058" s="8" t="s">
        <v>117</v>
      </c>
      <c r="R2058" s="7" t="s">
        <v>118</v>
      </c>
      <c r="S2058" s="9">
        <v>1</v>
      </c>
      <c r="T2058" s="9">
        <v>2527</v>
      </c>
      <c r="U2058" s="9">
        <f t="shared" si="1640"/>
        <v>2527</v>
      </c>
      <c r="V2058" s="9">
        <f t="shared" si="1641"/>
        <v>2830.2400000000002</v>
      </c>
      <c r="W2058" s="7"/>
      <c r="X2058" s="2">
        <v>2016</v>
      </c>
      <c r="Y2058" s="2"/>
    </row>
    <row r="2059" spans="1:25" s="11" customFormat="1" ht="89.25" customHeight="1" outlineLevel="1" x14ac:dyDescent="0.25">
      <c r="A2059" s="1"/>
      <c r="B2059" s="2" t="s">
        <v>6536</v>
      </c>
      <c r="C2059" s="3" t="s">
        <v>83</v>
      </c>
      <c r="D2059" s="19" t="s">
        <v>3821</v>
      </c>
      <c r="E2059" s="19" t="s">
        <v>3791</v>
      </c>
      <c r="F2059" s="19" t="s">
        <v>3822</v>
      </c>
      <c r="G2059" s="19" t="s">
        <v>3823</v>
      </c>
      <c r="H2059" s="2" t="s">
        <v>694</v>
      </c>
      <c r="I2059" s="4">
        <v>0</v>
      </c>
      <c r="J2059" s="5">
        <v>710000000</v>
      </c>
      <c r="K2059" s="5" t="s">
        <v>89</v>
      </c>
      <c r="L2059" s="2" t="s">
        <v>754</v>
      </c>
      <c r="M2059" s="6" t="s">
        <v>91</v>
      </c>
      <c r="N2059" s="7" t="s">
        <v>92</v>
      </c>
      <c r="O2059" s="7" t="s">
        <v>93</v>
      </c>
      <c r="P2059" s="3" t="s">
        <v>673</v>
      </c>
      <c r="Q2059" s="8" t="s">
        <v>117</v>
      </c>
      <c r="R2059" s="7" t="s">
        <v>118</v>
      </c>
      <c r="S2059" s="9">
        <v>8</v>
      </c>
      <c r="T2059" s="9">
        <v>4786</v>
      </c>
      <c r="U2059" s="9">
        <f t="shared" si="1640"/>
        <v>38288</v>
      </c>
      <c r="V2059" s="9">
        <f t="shared" si="1641"/>
        <v>42882.560000000005</v>
      </c>
      <c r="W2059" s="7"/>
      <c r="X2059" s="2">
        <v>2016</v>
      </c>
      <c r="Y2059" s="2"/>
    </row>
    <row r="2060" spans="1:25" s="11" customFormat="1" ht="89.25" customHeight="1" outlineLevel="1" x14ac:dyDescent="0.25">
      <c r="A2060" s="1"/>
      <c r="B2060" s="2" t="s">
        <v>6537</v>
      </c>
      <c r="C2060" s="3" t="s">
        <v>83</v>
      </c>
      <c r="D2060" s="19" t="s">
        <v>3824</v>
      </c>
      <c r="E2060" s="19" t="s">
        <v>3825</v>
      </c>
      <c r="F2060" s="19" t="s">
        <v>3826</v>
      </c>
      <c r="G2060" s="19" t="s">
        <v>3827</v>
      </c>
      <c r="H2060" s="2" t="s">
        <v>694</v>
      </c>
      <c r="I2060" s="4">
        <v>0</v>
      </c>
      <c r="J2060" s="5">
        <v>710000000</v>
      </c>
      <c r="K2060" s="5" t="s">
        <v>89</v>
      </c>
      <c r="L2060" s="2" t="s">
        <v>754</v>
      </c>
      <c r="M2060" s="6" t="s">
        <v>91</v>
      </c>
      <c r="N2060" s="7" t="s">
        <v>92</v>
      </c>
      <c r="O2060" s="7" t="s">
        <v>93</v>
      </c>
      <c r="P2060" s="3" t="s">
        <v>673</v>
      </c>
      <c r="Q2060" s="8" t="s">
        <v>117</v>
      </c>
      <c r="R2060" s="7" t="s">
        <v>118</v>
      </c>
      <c r="S2060" s="9">
        <v>1</v>
      </c>
      <c r="T2060" s="9">
        <v>10268</v>
      </c>
      <c r="U2060" s="9">
        <f t="shared" si="1640"/>
        <v>10268</v>
      </c>
      <c r="V2060" s="9">
        <f t="shared" si="1641"/>
        <v>11500.160000000002</v>
      </c>
      <c r="W2060" s="7"/>
      <c r="X2060" s="2">
        <v>2016</v>
      </c>
      <c r="Y2060" s="2"/>
    </row>
    <row r="2061" spans="1:25" s="11" customFormat="1" ht="89.25" customHeight="1" outlineLevel="1" x14ac:dyDescent="0.25">
      <c r="A2061" s="1"/>
      <c r="B2061" s="2" t="s">
        <v>6538</v>
      </c>
      <c r="C2061" s="3" t="s">
        <v>83</v>
      </c>
      <c r="D2061" s="19" t="s">
        <v>3828</v>
      </c>
      <c r="E2061" s="19" t="s">
        <v>3829</v>
      </c>
      <c r="F2061" s="19" t="s">
        <v>3830</v>
      </c>
      <c r="G2061" s="19" t="s">
        <v>3831</v>
      </c>
      <c r="H2061" s="2" t="s">
        <v>694</v>
      </c>
      <c r="I2061" s="4">
        <v>0</v>
      </c>
      <c r="J2061" s="5">
        <v>710000000</v>
      </c>
      <c r="K2061" s="5" t="s">
        <v>89</v>
      </c>
      <c r="L2061" s="2" t="s">
        <v>754</v>
      </c>
      <c r="M2061" s="6" t="s">
        <v>91</v>
      </c>
      <c r="N2061" s="7" t="s">
        <v>92</v>
      </c>
      <c r="O2061" s="7" t="s">
        <v>93</v>
      </c>
      <c r="P2061" s="3" t="s">
        <v>673</v>
      </c>
      <c r="Q2061" s="8" t="s">
        <v>117</v>
      </c>
      <c r="R2061" s="7" t="s">
        <v>118</v>
      </c>
      <c r="S2061" s="9">
        <v>1</v>
      </c>
      <c r="T2061" s="9">
        <v>22321</v>
      </c>
      <c r="U2061" s="9">
        <f t="shared" si="1640"/>
        <v>22321</v>
      </c>
      <c r="V2061" s="9">
        <f t="shared" si="1641"/>
        <v>24999.520000000004</v>
      </c>
      <c r="W2061" s="7"/>
      <c r="X2061" s="2">
        <v>2016</v>
      </c>
      <c r="Y2061" s="2"/>
    </row>
    <row r="2062" spans="1:25" s="11" customFormat="1" ht="89.25" customHeight="1" outlineLevel="1" x14ac:dyDescent="0.25">
      <c r="A2062" s="1"/>
      <c r="B2062" s="2" t="s">
        <v>6539</v>
      </c>
      <c r="C2062" s="3" t="s">
        <v>83</v>
      </c>
      <c r="D2062" s="19" t="s">
        <v>3832</v>
      </c>
      <c r="E2062" s="19" t="s">
        <v>3833</v>
      </c>
      <c r="F2062" s="19" t="s">
        <v>3834</v>
      </c>
      <c r="G2062" s="19"/>
      <c r="H2062" s="2" t="s">
        <v>694</v>
      </c>
      <c r="I2062" s="4">
        <v>0</v>
      </c>
      <c r="J2062" s="5">
        <v>710000000</v>
      </c>
      <c r="K2062" s="5" t="s">
        <v>89</v>
      </c>
      <c r="L2062" s="2" t="s">
        <v>754</v>
      </c>
      <c r="M2062" s="6" t="s">
        <v>91</v>
      </c>
      <c r="N2062" s="7" t="s">
        <v>92</v>
      </c>
      <c r="O2062" s="7" t="s">
        <v>93</v>
      </c>
      <c r="P2062" s="3" t="s">
        <v>673</v>
      </c>
      <c r="Q2062" s="8" t="s">
        <v>2439</v>
      </c>
      <c r="R2062" s="7" t="s">
        <v>2440</v>
      </c>
      <c r="S2062" s="9">
        <v>60</v>
      </c>
      <c r="T2062" s="9">
        <v>134</v>
      </c>
      <c r="U2062" s="9">
        <f t="shared" si="1640"/>
        <v>8040</v>
      </c>
      <c r="V2062" s="9">
        <f t="shared" si="1641"/>
        <v>9004.8000000000011</v>
      </c>
      <c r="W2062" s="7"/>
      <c r="X2062" s="2">
        <v>2016</v>
      </c>
      <c r="Y2062" s="2"/>
    </row>
    <row r="2063" spans="1:25" s="11" customFormat="1" ht="89.25" customHeight="1" outlineLevel="1" x14ac:dyDescent="0.25">
      <c r="A2063" s="1"/>
      <c r="B2063" s="2" t="s">
        <v>6540</v>
      </c>
      <c r="C2063" s="3" t="s">
        <v>83</v>
      </c>
      <c r="D2063" s="3" t="s">
        <v>3835</v>
      </c>
      <c r="E2063" s="3" t="s">
        <v>3836</v>
      </c>
      <c r="F2063" s="3" t="s">
        <v>3837</v>
      </c>
      <c r="G2063" s="19" t="s">
        <v>3838</v>
      </c>
      <c r="H2063" s="2" t="s">
        <v>694</v>
      </c>
      <c r="I2063" s="4">
        <v>0</v>
      </c>
      <c r="J2063" s="5">
        <v>710000000</v>
      </c>
      <c r="K2063" s="5" t="s">
        <v>89</v>
      </c>
      <c r="L2063" s="2" t="s">
        <v>754</v>
      </c>
      <c r="M2063" s="6" t="s">
        <v>787</v>
      </c>
      <c r="N2063" s="7" t="s">
        <v>92</v>
      </c>
      <c r="O2063" s="7" t="s">
        <v>93</v>
      </c>
      <c r="P2063" s="3" t="s">
        <v>673</v>
      </c>
      <c r="Q2063" s="31">
        <v>796</v>
      </c>
      <c r="R2063" s="5" t="s">
        <v>118</v>
      </c>
      <c r="S2063" s="9">
        <f>1+1+1</f>
        <v>3</v>
      </c>
      <c r="T2063" s="9">
        <v>32530</v>
      </c>
      <c r="U2063" s="9">
        <f t="shared" si="1640"/>
        <v>97590</v>
      </c>
      <c r="V2063" s="9">
        <f t="shared" si="1641"/>
        <v>109300.80000000002</v>
      </c>
      <c r="W2063" s="7"/>
      <c r="X2063" s="2">
        <v>2016</v>
      </c>
      <c r="Y2063" s="2"/>
    </row>
    <row r="2064" spans="1:25" s="11" customFormat="1" ht="89.25" customHeight="1" outlineLevel="1" x14ac:dyDescent="0.25">
      <c r="A2064" s="1"/>
      <c r="B2064" s="2" t="s">
        <v>6541</v>
      </c>
      <c r="C2064" s="3" t="s">
        <v>83</v>
      </c>
      <c r="D2064" s="3" t="s">
        <v>3835</v>
      </c>
      <c r="E2064" s="3" t="s">
        <v>3836</v>
      </c>
      <c r="F2064" s="3" t="s">
        <v>3837</v>
      </c>
      <c r="G2064" s="19" t="s">
        <v>3839</v>
      </c>
      <c r="H2064" s="2" t="s">
        <v>694</v>
      </c>
      <c r="I2064" s="4">
        <v>0</v>
      </c>
      <c r="J2064" s="5">
        <v>710000000</v>
      </c>
      <c r="K2064" s="5" t="s">
        <v>89</v>
      </c>
      <c r="L2064" s="2" t="s">
        <v>754</v>
      </c>
      <c r="M2064" s="6" t="s">
        <v>787</v>
      </c>
      <c r="N2064" s="7" t="s">
        <v>92</v>
      </c>
      <c r="O2064" s="7" t="s">
        <v>93</v>
      </c>
      <c r="P2064" s="3" t="s">
        <v>673</v>
      </c>
      <c r="Q2064" s="8">
        <v>796</v>
      </c>
      <c r="R2064" s="7" t="s">
        <v>118</v>
      </c>
      <c r="S2064" s="9">
        <f>2+1+1+1</f>
        <v>5</v>
      </c>
      <c r="T2064" s="9">
        <v>23973.21</v>
      </c>
      <c r="U2064" s="9">
        <f t="shared" si="1640"/>
        <v>119866.04999999999</v>
      </c>
      <c r="V2064" s="9">
        <f t="shared" si="1641"/>
        <v>134249.976</v>
      </c>
      <c r="W2064" s="7"/>
      <c r="X2064" s="2">
        <v>2016</v>
      </c>
      <c r="Y2064" s="2"/>
    </row>
    <row r="2065" spans="1:25" s="20" customFormat="1" ht="89.25" customHeight="1" outlineLevel="1" x14ac:dyDescent="0.25">
      <c r="A2065" s="1"/>
      <c r="B2065" s="2" t="s">
        <v>6542</v>
      </c>
      <c r="C2065" s="3" t="s">
        <v>83</v>
      </c>
      <c r="D2065" s="3" t="s">
        <v>3840</v>
      </c>
      <c r="E2065" s="3" t="s">
        <v>3841</v>
      </c>
      <c r="F2065" s="3" t="s">
        <v>3842</v>
      </c>
      <c r="G2065" s="19" t="s">
        <v>3843</v>
      </c>
      <c r="H2065" s="2" t="s">
        <v>694</v>
      </c>
      <c r="I2065" s="4">
        <v>0</v>
      </c>
      <c r="J2065" s="5">
        <v>710000000</v>
      </c>
      <c r="K2065" s="5" t="s">
        <v>89</v>
      </c>
      <c r="L2065" s="2" t="s">
        <v>754</v>
      </c>
      <c r="M2065" s="6" t="s">
        <v>787</v>
      </c>
      <c r="N2065" s="7" t="s">
        <v>92</v>
      </c>
      <c r="O2065" s="7" t="s">
        <v>93</v>
      </c>
      <c r="P2065" s="3" t="s">
        <v>673</v>
      </c>
      <c r="Q2065" s="8">
        <v>796</v>
      </c>
      <c r="R2065" s="7" t="s">
        <v>118</v>
      </c>
      <c r="S2065" s="9">
        <v>5</v>
      </c>
      <c r="T2065" s="9">
        <v>38500</v>
      </c>
      <c r="U2065" s="9">
        <f t="shared" si="1640"/>
        <v>192500</v>
      </c>
      <c r="V2065" s="9">
        <f t="shared" si="1641"/>
        <v>215600.00000000003</v>
      </c>
      <c r="W2065" s="7"/>
      <c r="X2065" s="2">
        <v>2016</v>
      </c>
      <c r="Y2065" s="2"/>
    </row>
    <row r="2066" spans="1:25" s="11" customFormat="1" ht="89.25" customHeight="1" outlineLevel="1" x14ac:dyDescent="0.25">
      <c r="A2066" s="1"/>
      <c r="B2066" s="2" t="s">
        <v>6543</v>
      </c>
      <c r="C2066" s="3" t="s">
        <v>83</v>
      </c>
      <c r="D2066" s="3" t="s">
        <v>3844</v>
      </c>
      <c r="E2066" s="3" t="s">
        <v>3845</v>
      </c>
      <c r="F2066" s="3" t="s">
        <v>3846</v>
      </c>
      <c r="G2066" s="3" t="s">
        <v>3847</v>
      </c>
      <c r="H2066" s="2" t="s">
        <v>694</v>
      </c>
      <c r="I2066" s="4">
        <v>0</v>
      </c>
      <c r="J2066" s="5">
        <v>710000000</v>
      </c>
      <c r="K2066" s="3" t="s">
        <v>89</v>
      </c>
      <c r="L2066" s="2" t="s">
        <v>754</v>
      </c>
      <c r="M2066" s="3" t="s">
        <v>787</v>
      </c>
      <c r="N2066" s="7" t="s">
        <v>92</v>
      </c>
      <c r="O2066" s="7" t="s">
        <v>93</v>
      </c>
      <c r="P2066" s="3" t="s">
        <v>673</v>
      </c>
      <c r="Q2066" s="8">
        <v>796</v>
      </c>
      <c r="R2066" s="7" t="s">
        <v>118</v>
      </c>
      <c r="S2066" s="9">
        <v>2</v>
      </c>
      <c r="T2066" s="9">
        <v>46464.29</v>
      </c>
      <c r="U2066" s="9">
        <f t="shared" si="1640"/>
        <v>92928.58</v>
      </c>
      <c r="V2066" s="9">
        <f t="shared" si="1641"/>
        <v>104080.0096</v>
      </c>
      <c r="W2066" s="3"/>
      <c r="X2066" s="2">
        <v>2016</v>
      </c>
      <c r="Y2066" s="3"/>
    </row>
    <row r="2067" spans="1:25" s="11" customFormat="1" ht="89.25" customHeight="1" outlineLevel="1" x14ac:dyDescent="0.25">
      <c r="A2067" s="1"/>
      <c r="B2067" s="2" t="s">
        <v>6544</v>
      </c>
      <c r="C2067" s="3" t="s">
        <v>83</v>
      </c>
      <c r="D2067" s="3" t="s">
        <v>3848</v>
      </c>
      <c r="E2067" s="3" t="s">
        <v>3841</v>
      </c>
      <c r="F2067" s="3" t="s">
        <v>3849</v>
      </c>
      <c r="G2067" s="19" t="s">
        <v>3850</v>
      </c>
      <c r="H2067" s="2" t="s">
        <v>694</v>
      </c>
      <c r="I2067" s="4">
        <v>0</v>
      </c>
      <c r="J2067" s="5">
        <v>710000000</v>
      </c>
      <c r="K2067" s="5" t="s">
        <v>89</v>
      </c>
      <c r="L2067" s="2" t="s">
        <v>754</v>
      </c>
      <c r="M2067" s="6" t="s">
        <v>787</v>
      </c>
      <c r="N2067" s="7" t="s">
        <v>92</v>
      </c>
      <c r="O2067" s="7" t="s">
        <v>93</v>
      </c>
      <c r="P2067" s="3" t="s">
        <v>673</v>
      </c>
      <c r="Q2067" s="8">
        <v>796</v>
      </c>
      <c r="R2067" s="7" t="s">
        <v>118</v>
      </c>
      <c r="S2067" s="9">
        <f>15+1+1</f>
        <v>17</v>
      </c>
      <c r="T2067" s="9">
        <v>24287.96</v>
      </c>
      <c r="U2067" s="9">
        <f t="shared" si="1640"/>
        <v>412895.32</v>
      </c>
      <c r="V2067" s="9">
        <f t="shared" si="1641"/>
        <v>462442.75840000005</v>
      </c>
      <c r="W2067" s="7"/>
      <c r="X2067" s="2">
        <v>2016</v>
      </c>
      <c r="Y2067" s="2"/>
    </row>
    <row r="2068" spans="1:25" s="11" customFormat="1" ht="89.25" customHeight="1" outlineLevel="1" x14ac:dyDescent="0.25">
      <c r="A2068" s="1"/>
      <c r="B2068" s="2" t="s">
        <v>6545</v>
      </c>
      <c r="C2068" s="9" t="s">
        <v>83</v>
      </c>
      <c r="D2068" s="9" t="s">
        <v>3851</v>
      </c>
      <c r="E2068" s="9" t="s">
        <v>3852</v>
      </c>
      <c r="F2068" s="9" t="s">
        <v>3853</v>
      </c>
      <c r="G2068" s="9"/>
      <c r="H2068" s="2" t="s">
        <v>694</v>
      </c>
      <c r="I2068" s="4">
        <v>0</v>
      </c>
      <c r="J2068" s="5">
        <v>710000000</v>
      </c>
      <c r="K2068" s="9" t="s">
        <v>89</v>
      </c>
      <c r="L2068" s="2" t="s">
        <v>754</v>
      </c>
      <c r="M2068" s="9" t="s">
        <v>787</v>
      </c>
      <c r="N2068" s="7" t="s">
        <v>92</v>
      </c>
      <c r="O2068" s="7" t="s">
        <v>93</v>
      </c>
      <c r="P2068" s="3" t="s">
        <v>673</v>
      </c>
      <c r="Q2068" s="8">
        <v>796</v>
      </c>
      <c r="R2068" s="7" t="s">
        <v>118</v>
      </c>
      <c r="S2068" s="9">
        <v>4</v>
      </c>
      <c r="T2068" s="9">
        <v>81433</v>
      </c>
      <c r="U2068" s="9">
        <f t="shared" si="1640"/>
        <v>325732</v>
      </c>
      <c r="V2068" s="9">
        <f t="shared" si="1641"/>
        <v>364819.84</v>
      </c>
      <c r="W2068" s="9"/>
      <c r="X2068" s="2">
        <v>2016</v>
      </c>
      <c r="Y2068" s="9"/>
    </row>
    <row r="2069" spans="1:25" s="11" customFormat="1" ht="89.25" customHeight="1" outlineLevel="1" x14ac:dyDescent="0.25">
      <c r="A2069" s="1"/>
      <c r="B2069" s="2" t="s">
        <v>6546</v>
      </c>
      <c r="C2069" s="3" t="s">
        <v>83</v>
      </c>
      <c r="D2069" s="3" t="s">
        <v>3854</v>
      </c>
      <c r="E2069" s="3" t="s">
        <v>3855</v>
      </c>
      <c r="F2069" s="3" t="s">
        <v>3856</v>
      </c>
      <c r="G2069" s="3" t="s">
        <v>3857</v>
      </c>
      <c r="H2069" s="2" t="s">
        <v>694</v>
      </c>
      <c r="I2069" s="4">
        <v>0</v>
      </c>
      <c r="J2069" s="5">
        <v>710000000</v>
      </c>
      <c r="K2069" s="3" t="s">
        <v>89</v>
      </c>
      <c r="L2069" s="2" t="s">
        <v>754</v>
      </c>
      <c r="M2069" s="3" t="s">
        <v>787</v>
      </c>
      <c r="N2069" s="7" t="s">
        <v>92</v>
      </c>
      <c r="O2069" s="7" t="s">
        <v>93</v>
      </c>
      <c r="P2069" s="3" t="s">
        <v>673</v>
      </c>
      <c r="Q2069" s="8">
        <v>796</v>
      </c>
      <c r="R2069" s="7" t="s">
        <v>118</v>
      </c>
      <c r="S2069" s="9">
        <v>1</v>
      </c>
      <c r="T2069" s="9">
        <v>11188</v>
      </c>
      <c r="U2069" s="9">
        <f t="shared" si="1640"/>
        <v>11188</v>
      </c>
      <c r="V2069" s="9">
        <f t="shared" si="1641"/>
        <v>12530.560000000001</v>
      </c>
      <c r="W2069" s="3"/>
      <c r="X2069" s="2">
        <v>2016</v>
      </c>
      <c r="Y2069" s="3"/>
    </row>
    <row r="2070" spans="1:25" s="11" customFormat="1" ht="89.25" customHeight="1" outlineLevel="1" x14ac:dyDescent="0.25">
      <c r="A2070" s="1"/>
      <c r="B2070" s="2" t="s">
        <v>6547</v>
      </c>
      <c r="C2070" s="3" t="s">
        <v>83</v>
      </c>
      <c r="D2070" s="3" t="s">
        <v>3858</v>
      </c>
      <c r="E2070" s="3" t="s">
        <v>3859</v>
      </c>
      <c r="F2070" s="3" t="s">
        <v>3860</v>
      </c>
      <c r="G2070" s="3"/>
      <c r="H2070" s="2" t="s">
        <v>694</v>
      </c>
      <c r="I2070" s="21">
        <v>0</v>
      </c>
      <c r="J2070" s="5">
        <v>710000000</v>
      </c>
      <c r="K2070" s="3" t="s">
        <v>89</v>
      </c>
      <c r="L2070" s="2" t="s">
        <v>754</v>
      </c>
      <c r="M2070" s="3" t="s">
        <v>787</v>
      </c>
      <c r="N2070" s="7" t="s">
        <v>92</v>
      </c>
      <c r="O2070" s="7" t="s">
        <v>93</v>
      </c>
      <c r="P2070" s="3" t="s">
        <v>673</v>
      </c>
      <c r="Q2070" s="8">
        <v>796</v>
      </c>
      <c r="R2070" s="7" t="s">
        <v>118</v>
      </c>
      <c r="S2070" s="9">
        <v>1</v>
      </c>
      <c r="T2070" s="9">
        <v>9140.6299999999992</v>
      </c>
      <c r="U2070" s="9">
        <f>S2070*T2070</f>
        <v>9140.6299999999992</v>
      </c>
      <c r="V2070" s="9">
        <f t="shared" si="1641"/>
        <v>10237.5056</v>
      </c>
      <c r="W2070" s="3"/>
      <c r="X2070" s="2">
        <v>2016</v>
      </c>
      <c r="Y2070" s="3"/>
    </row>
    <row r="2071" spans="1:25" s="11" customFormat="1" ht="102" customHeight="1" outlineLevel="1" x14ac:dyDescent="0.25">
      <c r="A2071" s="1"/>
      <c r="B2071" s="2" t="s">
        <v>6548</v>
      </c>
      <c r="C2071" s="3" t="s">
        <v>83</v>
      </c>
      <c r="D2071" s="3" t="s">
        <v>3848</v>
      </c>
      <c r="E2071" s="3" t="s">
        <v>3841</v>
      </c>
      <c r="F2071" s="3" t="s">
        <v>3849</v>
      </c>
      <c r="G2071" s="19" t="s">
        <v>3861</v>
      </c>
      <c r="H2071" s="2" t="s">
        <v>694</v>
      </c>
      <c r="I2071" s="4">
        <v>0</v>
      </c>
      <c r="J2071" s="5">
        <v>710000000</v>
      </c>
      <c r="K2071" s="5" t="s">
        <v>89</v>
      </c>
      <c r="L2071" s="2" t="s">
        <v>754</v>
      </c>
      <c r="M2071" s="6" t="s">
        <v>787</v>
      </c>
      <c r="N2071" s="7" t="s">
        <v>92</v>
      </c>
      <c r="O2071" s="7" t="s">
        <v>93</v>
      </c>
      <c r="P2071" s="3" t="s">
        <v>673</v>
      </c>
      <c r="Q2071" s="8">
        <v>796</v>
      </c>
      <c r="R2071" s="7" t="s">
        <v>118</v>
      </c>
      <c r="S2071" s="9">
        <f>1+7</f>
        <v>8</v>
      </c>
      <c r="T2071" s="9">
        <v>24288</v>
      </c>
      <c r="U2071" s="9">
        <f t="shared" ref="U2071:U2134" si="1642">T2071*S2071</f>
        <v>194304</v>
      </c>
      <c r="V2071" s="9">
        <f t="shared" si="1641"/>
        <v>217620.48000000001</v>
      </c>
      <c r="W2071" s="7"/>
      <c r="X2071" s="2">
        <v>2016</v>
      </c>
      <c r="Y2071" s="2"/>
    </row>
    <row r="2072" spans="1:25" s="20" customFormat="1" ht="89.25" customHeight="1" outlineLevel="1" x14ac:dyDescent="0.25">
      <c r="A2072" s="1"/>
      <c r="B2072" s="2" t="s">
        <v>6549</v>
      </c>
      <c r="C2072" s="3" t="s">
        <v>83</v>
      </c>
      <c r="D2072" s="3" t="s">
        <v>3862</v>
      </c>
      <c r="E2072" s="3" t="s">
        <v>3863</v>
      </c>
      <c r="F2072" s="3" t="s">
        <v>3864</v>
      </c>
      <c r="G2072" s="19"/>
      <c r="H2072" s="2" t="s">
        <v>694</v>
      </c>
      <c r="I2072" s="4">
        <v>0</v>
      </c>
      <c r="J2072" s="5">
        <v>710000000</v>
      </c>
      <c r="K2072" s="5" t="s">
        <v>89</v>
      </c>
      <c r="L2072" s="2" t="s">
        <v>754</v>
      </c>
      <c r="M2072" s="6" t="s">
        <v>787</v>
      </c>
      <c r="N2072" s="7" t="s">
        <v>92</v>
      </c>
      <c r="O2072" s="7" t="s">
        <v>93</v>
      </c>
      <c r="P2072" s="3" t="s">
        <v>673</v>
      </c>
      <c r="Q2072" s="8">
        <v>796</v>
      </c>
      <c r="R2072" s="7" t="s">
        <v>118</v>
      </c>
      <c r="S2072" s="9">
        <v>1</v>
      </c>
      <c r="T2072" s="9">
        <v>8866.07</v>
      </c>
      <c r="U2072" s="9">
        <f t="shared" si="1642"/>
        <v>8866.07</v>
      </c>
      <c r="V2072" s="9">
        <f t="shared" si="1641"/>
        <v>9929.9984000000004</v>
      </c>
      <c r="W2072" s="7"/>
      <c r="X2072" s="2">
        <v>2016</v>
      </c>
      <c r="Y2072" s="2"/>
    </row>
    <row r="2073" spans="1:25" s="11" customFormat="1" ht="89.25" customHeight="1" outlineLevel="1" x14ac:dyDescent="0.25">
      <c r="A2073" s="1"/>
      <c r="B2073" s="2" t="s">
        <v>6550</v>
      </c>
      <c r="C2073" s="3" t="s">
        <v>83</v>
      </c>
      <c r="D2073" s="19" t="s">
        <v>3865</v>
      </c>
      <c r="E2073" s="19" t="s">
        <v>3866</v>
      </c>
      <c r="F2073" s="19" t="s">
        <v>3867</v>
      </c>
      <c r="G2073" s="19" t="s">
        <v>3868</v>
      </c>
      <c r="H2073" s="2" t="s">
        <v>694</v>
      </c>
      <c r="I2073" s="4">
        <v>0</v>
      </c>
      <c r="J2073" s="5">
        <v>710000000</v>
      </c>
      <c r="K2073" s="5" t="s">
        <v>89</v>
      </c>
      <c r="L2073" s="2" t="s">
        <v>754</v>
      </c>
      <c r="M2073" s="6" t="s">
        <v>91</v>
      </c>
      <c r="N2073" s="7" t="s">
        <v>92</v>
      </c>
      <c r="O2073" s="7" t="s">
        <v>93</v>
      </c>
      <c r="P2073" s="3" t="s">
        <v>673</v>
      </c>
      <c r="Q2073" s="8" t="s">
        <v>117</v>
      </c>
      <c r="R2073" s="7" t="s">
        <v>118</v>
      </c>
      <c r="S2073" s="9">
        <v>1</v>
      </c>
      <c r="T2073" s="9">
        <v>12116</v>
      </c>
      <c r="U2073" s="9">
        <f t="shared" si="1642"/>
        <v>12116</v>
      </c>
      <c r="V2073" s="9">
        <f t="shared" si="1641"/>
        <v>13569.920000000002</v>
      </c>
      <c r="W2073" s="7"/>
      <c r="X2073" s="2">
        <v>2016</v>
      </c>
      <c r="Y2073" s="2"/>
    </row>
    <row r="2074" spans="1:25" s="11" customFormat="1" ht="102" customHeight="1" outlineLevel="1" x14ac:dyDescent="0.25">
      <c r="A2074" s="1"/>
      <c r="B2074" s="2" t="s">
        <v>6551</v>
      </c>
      <c r="C2074" s="3" t="s">
        <v>83</v>
      </c>
      <c r="D2074" s="19" t="s">
        <v>3869</v>
      </c>
      <c r="E2074" s="19" t="s">
        <v>3870</v>
      </c>
      <c r="F2074" s="19" t="s">
        <v>3871</v>
      </c>
      <c r="G2074" s="19" t="s">
        <v>3872</v>
      </c>
      <c r="H2074" s="2" t="s">
        <v>694</v>
      </c>
      <c r="I2074" s="4">
        <v>0</v>
      </c>
      <c r="J2074" s="5">
        <v>710000000</v>
      </c>
      <c r="K2074" s="5" t="s">
        <v>89</v>
      </c>
      <c r="L2074" s="2" t="s">
        <v>754</v>
      </c>
      <c r="M2074" s="6" t="s">
        <v>91</v>
      </c>
      <c r="N2074" s="7" t="s">
        <v>92</v>
      </c>
      <c r="O2074" s="7" t="s">
        <v>93</v>
      </c>
      <c r="P2074" s="3" t="s">
        <v>673</v>
      </c>
      <c r="Q2074" s="8" t="s">
        <v>117</v>
      </c>
      <c r="R2074" s="7" t="s">
        <v>118</v>
      </c>
      <c r="S2074" s="9">
        <v>1</v>
      </c>
      <c r="T2074" s="9">
        <v>26942</v>
      </c>
      <c r="U2074" s="9">
        <f t="shared" si="1642"/>
        <v>26942</v>
      </c>
      <c r="V2074" s="9">
        <f t="shared" si="1641"/>
        <v>30175.040000000005</v>
      </c>
      <c r="W2074" s="7"/>
      <c r="X2074" s="2">
        <v>2016</v>
      </c>
      <c r="Y2074" s="2"/>
    </row>
    <row r="2075" spans="1:25" s="11" customFormat="1" ht="89.25" customHeight="1" outlineLevel="1" x14ac:dyDescent="0.25">
      <c r="A2075" s="1"/>
      <c r="B2075" s="2" t="s">
        <v>6552</v>
      </c>
      <c r="C2075" s="3" t="s">
        <v>83</v>
      </c>
      <c r="D2075" s="3" t="s">
        <v>3873</v>
      </c>
      <c r="E2075" s="3" t="s">
        <v>3874</v>
      </c>
      <c r="F2075" s="3" t="s">
        <v>3875</v>
      </c>
      <c r="G2075" s="19"/>
      <c r="H2075" s="2" t="s">
        <v>694</v>
      </c>
      <c r="I2075" s="4">
        <v>0</v>
      </c>
      <c r="J2075" s="5">
        <v>710000000</v>
      </c>
      <c r="K2075" s="5" t="s">
        <v>89</v>
      </c>
      <c r="L2075" s="2" t="s">
        <v>754</v>
      </c>
      <c r="M2075" s="6" t="s">
        <v>787</v>
      </c>
      <c r="N2075" s="7" t="s">
        <v>92</v>
      </c>
      <c r="O2075" s="7" t="s">
        <v>93</v>
      </c>
      <c r="P2075" s="3" t="s">
        <v>673</v>
      </c>
      <c r="Q2075" s="8" t="s">
        <v>3876</v>
      </c>
      <c r="R2075" s="7" t="s">
        <v>2605</v>
      </c>
      <c r="S2075" s="9">
        <v>4</v>
      </c>
      <c r="T2075" s="9">
        <v>2246</v>
      </c>
      <c r="U2075" s="9">
        <f t="shared" si="1642"/>
        <v>8984</v>
      </c>
      <c r="V2075" s="9">
        <f t="shared" si="1641"/>
        <v>10062.080000000002</v>
      </c>
      <c r="W2075" s="7"/>
      <c r="X2075" s="2">
        <v>2016</v>
      </c>
      <c r="Y2075" s="2"/>
    </row>
    <row r="2076" spans="1:25" s="11" customFormat="1" ht="89.25" customHeight="1" outlineLevel="1" x14ac:dyDescent="0.25">
      <c r="A2076" s="1"/>
      <c r="B2076" s="2" t="s">
        <v>6553</v>
      </c>
      <c r="C2076" s="3" t="s">
        <v>83</v>
      </c>
      <c r="D2076" s="3" t="s">
        <v>3877</v>
      </c>
      <c r="E2076" s="3" t="s">
        <v>3874</v>
      </c>
      <c r="F2076" s="3" t="s">
        <v>3878</v>
      </c>
      <c r="G2076" s="19" t="s">
        <v>3879</v>
      </c>
      <c r="H2076" s="2" t="s">
        <v>694</v>
      </c>
      <c r="I2076" s="4">
        <v>0</v>
      </c>
      <c r="J2076" s="5">
        <v>710000000</v>
      </c>
      <c r="K2076" s="5" t="s">
        <v>89</v>
      </c>
      <c r="L2076" s="2" t="s">
        <v>754</v>
      </c>
      <c r="M2076" s="6" t="s">
        <v>787</v>
      </c>
      <c r="N2076" s="7" t="s">
        <v>92</v>
      </c>
      <c r="O2076" s="7" t="s">
        <v>93</v>
      </c>
      <c r="P2076" s="3" t="s">
        <v>673</v>
      </c>
      <c r="Q2076" s="8" t="s">
        <v>3876</v>
      </c>
      <c r="R2076" s="7" t="s">
        <v>2605</v>
      </c>
      <c r="S2076" s="9">
        <f>500+2+6+3</f>
        <v>511</v>
      </c>
      <c r="T2076" s="9">
        <v>2246</v>
      </c>
      <c r="U2076" s="9">
        <f t="shared" si="1642"/>
        <v>1147706</v>
      </c>
      <c r="V2076" s="9">
        <f t="shared" si="1641"/>
        <v>1285430.7200000002</v>
      </c>
      <c r="W2076" s="7"/>
      <c r="X2076" s="2">
        <v>2016</v>
      </c>
      <c r="Y2076" s="2"/>
    </row>
    <row r="2077" spans="1:25" s="11" customFormat="1" ht="89.25" customHeight="1" outlineLevel="1" x14ac:dyDescent="0.25">
      <c r="A2077" s="1"/>
      <c r="B2077" s="2" t="s">
        <v>6554</v>
      </c>
      <c r="C2077" s="3" t="s">
        <v>83</v>
      </c>
      <c r="D2077" s="3" t="s">
        <v>3877</v>
      </c>
      <c r="E2077" s="3" t="s">
        <v>3874</v>
      </c>
      <c r="F2077" s="3" t="s">
        <v>3878</v>
      </c>
      <c r="G2077" s="19" t="s">
        <v>3880</v>
      </c>
      <c r="H2077" s="2" t="s">
        <v>694</v>
      </c>
      <c r="I2077" s="4">
        <v>0</v>
      </c>
      <c r="J2077" s="5">
        <v>710000000</v>
      </c>
      <c r="K2077" s="5" t="s">
        <v>89</v>
      </c>
      <c r="L2077" s="2" t="s">
        <v>754</v>
      </c>
      <c r="M2077" s="6" t="s">
        <v>787</v>
      </c>
      <c r="N2077" s="7" t="s">
        <v>92</v>
      </c>
      <c r="O2077" s="7" t="s">
        <v>93</v>
      </c>
      <c r="P2077" s="3" t="s">
        <v>673</v>
      </c>
      <c r="Q2077" s="8" t="s">
        <v>3876</v>
      </c>
      <c r="R2077" s="7" t="s">
        <v>2605</v>
      </c>
      <c r="S2077" s="9">
        <f>30+1+1</f>
        <v>32</v>
      </c>
      <c r="T2077" s="9">
        <v>1372.77</v>
      </c>
      <c r="U2077" s="9">
        <f t="shared" si="1642"/>
        <v>43928.639999999999</v>
      </c>
      <c r="V2077" s="9">
        <f t="shared" si="1641"/>
        <v>49200.076800000003</v>
      </c>
      <c r="W2077" s="7"/>
      <c r="X2077" s="2">
        <v>2016</v>
      </c>
      <c r="Y2077" s="2"/>
    </row>
    <row r="2078" spans="1:25" s="11" customFormat="1" ht="89.25" customHeight="1" outlineLevel="1" x14ac:dyDescent="0.25">
      <c r="A2078" s="1"/>
      <c r="B2078" s="2" t="s">
        <v>6555</v>
      </c>
      <c r="C2078" s="3" t="s">
        <v>83</v>
      </c>
      <c r="D2078" s="3" t="s">
        <v>3881</v>
      </c>
      <c r="E2078" s="3" t="s">
        <v>3882</v>
      </c>
      <c r="F2078" s="3" t="s">
        <v>3883</v>
      </c>
      <c r="G2078" s="3" t="s">
        <v>3884</v>
      </c>
      <c r="H2078" s="2" t="s">
        <v>694</v>
      </c>
      <c r="I2078" s="4">
        <v>0</v>
      </c>
      <c r="J2078" s="5">
        <v>710000000</v>
      </c>
      <c r="K2078" s="3" t="s">
        <v>89</v>
      </c>
      <c r="L2078" s="2" t="s">
        <v>754</v>
      </c>
      <c r="M2078" s="3" t="s">
        <v>787</v>
      </c>
      <c r="N2078" s="7" t="s">
        <v>92</v>
      </c>
      <c r="O2078" s="7" t="s">
        <v>93</v>
      </c>
      <c r="P2078" s="3" t="s">
        <v>673</v>
      </c>
      <c r="Q2078" s="8" t="s">
        <v>3876</v>
      </c>
      <c r="R2078" s="7" t="s">
        <v>2605</v>
      </c>
      <c r="S2078" s="9">
        <f>10+1+5+1</f>
        <v>17</v>
      </c>
      <c r="T2078" s="9">
        <v>6063</v>
      </c>
      <c r="U2078" s="9">
        <f t="shared" si="1642"/>
        <v>103071</v>
      </c>
      <c r="V2078" s="9">
        <f t="shared" si="1641"/>
        <v>115439.52</v>
      </c>
      <c r="W2078" s="3"/>
      <c r="X2078" s="2">
        <v>2016</v>
      </c>
      <c r="Y2078" s="3"/>
    </row>
    <row r="2079" spans="1:25" s="11" customFormat="1" ht="89.25" customHeight="1" outlineLevel="1" x14ac:dyDescent="0.25">
      <c r="A2079" s="1"/>
      <c r="B2079" s="2" t="s">
        <v>6556</v>
      </c>
      <c r="C2079" s="3" t="s">
        <v>83</v>
      </c>
      <c r="D2079" s="3" t="s">
        <v>3885</v>
      </c>
      <c r="E2079" s="3" t="s">
        <v>3882</v>
      </c>
      <c r="F2079" s="3" t="s">
        <v>3886</v>
      </c>
      <c r="G2079" s="3" t="s">
        <v>3887</v>
      </c>
      <c r="H2079" s="2" t="s">
        <v>694</v>
      </c>
      <c r="I2079" s="4">
        <v>0</v>
      </c>
      <c r="J2079" s="5">
        <v>710000000</v>
      </c>
      <c r="K2079" s="3" t="s">
        <v>89</v>
      </c>
      <c r="L2079" s="2" t="s">
        <v>754</v>
      </c>
      <c r="M2079" s="3" t="s">
        <v>787</v>
      </c>
      <c r="N2079" s="7" t="s">
        <v>92</v>
      </c>
      <c r="O2079" s="7" t="s">
        <v>93</v>
      </c>
      <c r="P2079" s="3" t="s">
        <v>673</v>
      </c>
      <c r="Q2079" s="8" t="s">
        <v>3876</v>
      </c>
      <c r="R2079" s="7" t="s">
        <v>2605</v>
      </c>
      <c r="S2079" s="9">
        <f>30+1</f>
        <v>31</v>
      </c>
      <c r="T2079" s="9">
        <v>3571.43</v>
      </c>
      <c r="U2079" s="9">
        <f t="shared" si="1642"/>
        <v>110714.33</v>
      </c>
      <c r="V2079" s="9">
        <f t="shared" si="1641"/>
        <v>124000.04960000001</v>
      </c>
      <c r="W2079" s="3"/>
      <c r="X2079" s="2">
        <v>2016</v>
      </c>
      <c r="Y2079" s="3"/>
    </row>
    <row r="2080" spans="1:25" s="11" customFormat="1" ht="89.25" customHeight="1" outlineLevel="1" x14ac:dyDescent="0.25">
      <c r="A2080" s="1"/>
      <c r="B2080" s="2" t="s">
        <v>6557</v>
      </c>
      <c r="C2080" s="3" t="s">
        <v>83</v>
      </c>
      <c r="D2080" s="3" t="s">
        <v>3885</v>
      </c>
      <c r="E2080" s="3" t="s">
        <v>3882</v>
      </c>
      <c r="F2080" s="3" t="s">
        <v>3886</v>
      </c>
      <c r="G2080" s="19" t="s">
        <v>3888</v>
      </c>
      <c r="H2080" s="2" t="s">
        <v>694</v>
      </c>
      <c r="I2080" s="4">
        <v>0</v>
      </c>
      <c r="J2080" s="5">
        <v>710000000</v>
      </c>
      <c r="K2080" s="5" t="s">
        <v>89</v>
      </c>
      <c r="L2080" s="2" t="s">
        <v>754</v>
      </c>
      <c r="M2080" s="6" t="s">
        <v>787</v>
      </c>
      <c r="N2080" s="7" t="s">
        <v>92</v>
      </c>
      <c r="O2080" s="7" t="s">
        <v>93</v>
      </c>
      <c r="P2080" s="3" t="s">
        <v>673</v>
      </c>
      <c r="Q2080" s="8">
        <v>796</v>
      </c>
      <c r="R2080" s="7" t="s">
        <v>118</v>
      </c>
      <c r="S2080" s="9">
        <f>1+2+3+1</f>
        <v>7</v>
      </c>
      <c r="T2080" s="9">
        <v>750</v>
      </c>
      <c r="U2080" s="9">
        <f t="shared" si="1642"/>
        <v>5250</v>
      </c>
      <c r="V2080" s="9">
        <f t="shared" si="1641"/>
        <v>5880.0000000000009</v>
      </c>
      <c r="W2080" s="7"/>
      <c r="X2080" s="2">
        <v>2016</v>
      </c>
      <c r="Y2080" s="2"/>
    </row>
    <row r="2081" spans="1:25" s="11" customFormat="1" ht="89.25" customHeight="1" outlineLevel="1" x14ac:dyDescent="0.25">
      <c r="A2081" s="1"/>
      <c r="B2081" s="2" t="s">
        <v>6558</v>
      </c>
      <c r="C2081" s="3" t="s">
        <v>83</v>
      </c>
      <c r="D2081" s="3" t="s">
        <v>3889</v>
      </c>
      <c r="E2081" s="3" t="s">
        <v>3882</v>
      </c>
      <c r="F2081" s="3" t="s">
        <v>3890</v>
      </c>
      <c r="G2081" s="19"/>
      <c r="H2081" s="2" t="s">
        <v>694</v>
      </c>
      <c r="I2081" s="4">
        <v>0</v>
      </c>
      <c r="J2081" s="5">
        <v>710000000</v>
      </c>
      <c r="K2081" s="5" t="s">
        <v>89</v>
      </c>
      <c r="L2081" s="2" t="s">
        <v>754</v>
      </c>
      <c r="M2081" s="6" t="s">
        <v>787</v>
      </c>
      <c r="N2081" s="7" t="s">
        <v>92</v>
      </c>
      <c r="O2081" s="7" t="s">
        <v>93</v>
      </c>
      <c r="P2081" s="3" t="s">
        <v>673</v>
      </c>
      <c r="Q2081" s="8" t="s">
        <v>3876</v>
      </c>
      <c r="R2081" s="7" t="s">
        <v>2605</v>
      </c>
      <c r="S2081" s="9">
        <v>4</v>
      </c>
      <c r="T2081" s="9">
        <v>3809</v>
      </c>
      <c r="U2081" s="9">
        <f t="shared" si="1642"/>
        <v>15236</v>
      </c>
      <c r="V2081" s="9">
        <f t="shared" si="1641"/>
        <v>17064.320000000003</v>
      </c>
      <c r="W2081" s="7"/>
      <c r="X2081" s="2">
        <v>2016</v>
      </c>
      <c r="Y2081" s="2"/>
    </row>
    <row r="2082" spans="1:25" s="11" customFormat="1" ht="89.25" customHeight="1" outlineLevel="1" x14ac:dyDescent="0.25">
      <c r="A2082" s="1"/>
      <c r="B2082" s="2" t="s">
        <v>6559</v>
      </c>
      <c r="C2082" s="3" t="s">
        <v>83</v>
      </c>
      <c r="D2082" s="3" t="s">
        <v>3891</v>
      </c>
      <c r="E2082" s="3" t="s">
        <v>3892</v>
      </c>
      <c r="F2082" s="3" t="s">
        <v>3893</v>
      </c>
      <c r="G2082" s="19" t="s">
        <v>3894</v>
      </c>
      <c r="H2082" s="2" t="s">
        <v>694</v>
      </c>
      <c r="I2082" s="4">
        <v>0</v>
      </c>
      <c r="J2082" s="5">
        <v>710000000</v>
      </c>
      <c r="K2082" s="5" t="s">
        <v>89</v>
      </c>
      <c r="L2082" s="2" t="s">
        <v>754</v>
      </c>
      <c r="M2082" s="6" t="s">
        <v>787</v>
      </c>
      <c r="N2082" s="7" t="s">
        <v>92</v>
      </c>
      <c r="O2082" s="7" t="s">
        <v>93</v>
      </c>
      <c r="P2082" s="3" t="s">
        <v>673</v>
      </c>
      <c r="Q2082" s="8" t="s">
        <v>3876</v>
      </c>
      <c r="R2082" s="7" t="s">
        <v>2605</v>
      </c>
      <c r="S2082" s="9">
        <v>1</v>
      </c>
      <c r="T2082" s="9">
        <v>99032</v>
      </c>
      <c r="U2082" s="9">
        <f t="shared" si="1642"/>
        <v>99032</v>
      </c>
      <c r="V2082" s="9">
        <f t="shared" si="1641"/>
        <v>110915.84000000001</v>
      </c>
      <c r="W2082" s="7"/>
      <c r="X2082" s="2">
        <v>2016</v>
      </c>
      <c r="Y2082" s="2"/>
    </row>
    <row r="2083" spans="1:25" s="11" customFormat="1" ht="89.25" customHeight="1" outlineLevel="1" x14ac:dyDescent="0.25">
      <c r="A2083" s="1"/>
      <c r="B2083" s="2" t="s">
        <v>6560</v>
      </c>
      <c r="C2083" s="3" t="s">
        <v>83</v>
      </c>
      <c r="D2083" s="3" t="s">
        <v>4065</v>
      </c>
      <c r="E2083" s="3" t="s">
        <v>3895</v>
      </c>
      <c r="F2083" s="3" t="s">
        <v>3896</v>
      </c>
      <c r="G2083" s="19" t="s">
        <v>3897</v>
      </c>
      <c r="H2083" s="2" t="s">
        <v>694</v>
      </c>
      <c r="I2083" s="4">
        <v>0</v>
      </c>
      <c r="J2083" s="5">
        <v>710000000</v>
      </c>
      <c r="K2083" s="5" t="s">
        <v>89</v>
      </c>
      <c r="L2083" s="2" t="s">
        <v>754</v>
      </c>
      <c r="M2083" s="6" t="s">
        <v>787</v>
      </c>
      <c r="N2083" s="7" t="s">
        <v>92</v>
      </c>
      <c r="O2083" s="7" t="s">
        <v>93</v>
      </c>
      <c r="P2083" s="3" t="s">
        <v>673</v>
      </c>
      <c r="Q2083" s="8" t="s">
        <v>3876</v>
      </c>
      <c r="R2083" s="7" t="s">
        <v>2605</v>
      </c>
      <c r="S2083" s="9">
        <f>50+16+1+1</f>
        <v>68</v>
      </c>
      <c r="T2083" s="9">
        <v>1467</v>
      </c>
      <c r="U2083" s="9">
        <f t="shared" si="1642"/>
        <v>99756</v>
      </c>
      <c r="V2083" s="9">
        <f t="shared" si="1641"/>
        <v>111726.72000000002</v>
      </c>
      <c r="W2083" s="7"/>
      <c r="X2083" s="2">
        <v>2016</v>
      </c>
      <c r="Y2083" s="2"/>
    </row>
    <row r="2084" spans="1:25" s="11" customFormat="1" ht="89.25" customHeight="1" outlineLevel="1" x14ac:dyDescent="0.25">
      <c r="A2084" s="1"/>
      <c r="B2084" s="2" t="s">
        <v>6561</v>
      </c>
      <c r="C2084" s="3" t="s">
        <v>83</v>
      </c>
      <c r="D2084" s="3" t="s">
        <v>3898</v>
      </c>
      <c r="E2084" s="3" t="s">
        <v>3895</v>
      </c>
      <c r="F2084" s="3" t="s">
        <v>3899</v>
      </c>
      <c r="G2084" s="19" t="s">
        <v>3900</v>
      </c>
      <c r="H2084" s="2" t="s">
        <v>694</v>
      </c>
      <c r="I2084" s="4">
        <v>0</v>
      </c>
      <c r="J2084" s="5">
        <v>710000000</v>
      </c>
      <c r="K2084" s="5" t="s">
        <v>89</v>
      </c>
      <c r="L2084" s="2" t="s">
        <v>754</v>
      </c>
      <c r="M2084" s="6" t="s">
        <v>787</v>
      </c>
      <c r="N2084" s="7" t="s">
        <v>92</v>
      </c>
      <c r="O2084" s="7" t="s">
        <v>93</v>
      </c>
      <c r="P2084" s="3" t="s">
        <v>673</v>
      </c>
      <c r="Q2084" s="8" t="s">
        <v>3876</v>
      </c>
      <c r="R2084" s="7" t="s">
        <v>2605</v>
      </c>
      <c r="S2084" s="9">
        <f>50+1+1+18+10</f>
        <v>80</v>
      </c>
      <c r="T2084" s="9">
        <v>1281</v>
      </c>
      <c r="U2084" s="9">
        <f t="shared" si="1642"/>
        <v>102480</v>
      </c>
      <c r="V2084" s="9">
        <f t="shared" si="1641"/>
        <v>114777.60000000001</v>
      </c>
      <c r="W2084" s="7"/>
      <c r="X2084" s="2">
        <v>2016</v>
      </c>
      <c r="Y2084" s="2"/>
    </row>
    <row r="2085" spans="1:25" s="11" customFormat="1" ht="89.25" customHeight="1" outlineLevel="1" x14ac:dyDescent="0.25">
      <c r="A2085" s="1"/>
      <c r="B2085" s="2" t="s">
        <v>6562</v>
      </c>
      <c r="C2085" s="3" t="s">
        <v>83</v>
      </c>
      <c r="D2085" s="3" t="s">
        <v>3901</v>
      </c>
      <c r="E2085" s="3" t="s">
        <v>3902</v>
      </c>
      <c r="F2085" s="3" t="s">
        <v>3903</v>
      </c>
      <c r="G2085" s="19"/>
      <c r="H2085" s="2" t="s">
        <v>694</v>
      </c>
      <c r="I2085" s="4">
        <v>0</v>
      </c>
      <c r="J2085" s="5">
        <v>710000000</v>
      </c>
      <c r="K2085" s="5" t="s">
        <v>89</v>
      </c>
      <c r="L2085" s="2" t="s">
        <v>754</v>
      </c>
      <c r="M2085" s="6" t="s">
        <v>787</v>
      </c>
      <c r="N2085" s="7" t="s">
        <v>92</v>
      </c>
      <c r="O2085" s="7" t="s">
        <v>93</v>
      </c>
      <c r="P2085" s="3" t="s">
        <v>673</v>
      </c>
      <c r="Q2085" s="8">
        <v>796</v>
      </c>
      <c r="R2085" s="7" t="s">
        <v>118</v>
      </c>
      <c r="S2085" s="9">
        <f>1+1</f>
        <v>2</v>
      </c>
      <c r="T2085" s="9">
        <v>2946</v>
      </c>
      <c r="U2085" s="9">
        <f t="shared" si="1642"/>
        <v>5892</v>
      </c>
      <c r="V2085" s="9">
        <f t="shared" si="1641"/>
        <v>6599.0400000000009</v>
      </c>
      <c r="W2085" s="7"/>
      <c r="X2085" s="2">
        <v>2016</v>
      </c>
      <c r="Y2085" s="2"/>
    </row>
    <row r="2086" spans="1:25" s="11" customFormat="1" ht="89.25" customHeight="1" outlineLevel="1" x14ac:dyDescent="0.25">
      <c r="A2086" s="1"/>
      <c r="B2086" s="2" t="s">
        <v>6563</v>
      </c>
      <c r="C2086" s="3" t="s">
        <v>83</v>
      </c>
      <c r="D2086" s="3" t="s">
        <v>3904</v>
      </c>
      <c r="E2086" s="3" t="s">
        <v>3892</v>
      </c>
      <c r="F2086" s="3" t="s">
        <v>3905</v>
      </c>
      <c r="G2086" s="19" t="s">
        <v>3906</v>
      </c>
      <c r="H2086" s="2" t="s">
        <v>694</v>
      </c>
      <c r="I2086" s="4">
        <v>0</v>
      </c>
      <c r="J2086" s="5">
        <v>710000000</v>
      </c>
      <c r="K2086" s="5" t="s">
        <v>89</v>
      </c>
      <c r="L2086" s="2" t="s">
        <v>754</v>
      </c>
      <c r="M2086" s="6" t="s">
        <v>787</v>
      </c>
      <c r="N2086" s="7" t="s">
        <v>92</v>
      </c>
      <c r="O2086" s="7" t="s">
        <v>93</v>
      </c>
      <c r="P2086" s="3" t="s">
        <v>673</v>
      </c>
      <c r="Q2086" s="8" t="s">
        <v>3876</v>
      </c>
      <c r="R2086" s="7" t="s">
        <v>2605</v>
      </c>
      <c r="S2086" s="9">
        <f>1</f>
        <v>1</v>
      </c>
      <c r="T2086" s="9">
        <v>10701</v>
      </c>
      <c r="U2086" s="9">
        <f t="shared" si="1642"/>
        <v>10701</v>
      </c>
      <c r="V2086" s="9">
        <f t="shared" si="1641"/>
        <v>11985.12</v>
      </c>
      <c r="W2086" s="7"/>
      <c r="X2086" s="2">
        <v>2016</v>
      </c>
      <c r="Y2086" s="2"/>
    </row>
    <row r="2087" spans="1:25" s="11" customFormat="1" ht="89.25" customHeight="1" outlineLevel="1" x14ac:dyDescent="0.25">
      <c r="A2087" s="1"/>
      <c r="B2087" s="2" t="s">
        <v>6564</v>
      </c>
      <c r="C2087" s="3" t="s">
        <v>83</v>
      </c>
      <c r="D2087" s="3" t="s">
        <v>3907</v>
      </c>
      <c r="E2087" s="3" t="s">
        <v>3908</v>
      </c>
      <c r="F2087" s="3" t="s">
        <v>3909</v>
      </c>
      <c r="G2087" s="19"/>
      <c r="H2087" s="2" t="s">
        <v>694</v>
      </c>
      <c r="I2087" s="4">
        <v>0</v>
      </c>
      <c r="J2087" s="5">
        <v>710000000</v>
      </c>
      <c r="K2087" s="5" t="s">
        <v>89</v>
      </c>
      <c r="L2087" s="2" t="s">
        <v>754</v>
      </c>
      <c r="M2087" s="6" t="s">
        <v>787</v>
      </c>
      <c r="N2087" s="7" t="s">
        <v>92</v>
      </c>
      <c r="O2087" s="7" t="s">
        <v>93</v>
      </c>
      <c r="P2087" s="3" t="s">
        <v>673</v>
      </c>
      <c r="Q2087" s="8" t="s">
        <v>3876</v>
      </c>
      <c r="R2087" s="7" t="s">
        <v>2605</v>
      </c>
      <c r="S2087" s="9">
        <v>1</v>
      </c>
      <c r="T2087" s="9">
        <v>792</v>
      </c>
      <c r="U2087" s="9">
        <f t="shared" si="1642"/>
        <v>792</v>
      </c>
      <c r="V2087" s="9">
        <f t="shared" si="1641"/>
        <v>887.04000000000008</v>
      </c>
      <c r="W2087" s="7"/>
      <c r="X2087" s="2">
        <v>2016</v>
      </c>
      <c r="Y2087" s="2"/>
    </row>
    <row r="2088" spans="1:25" s="11" customFormat="1" ht="89.25" customHeight="1" outlineLevel="1" x14ac:dyDescent="0.25">
      <c r="A2088" s="1"/>
      <c r="B2088" s="2" t="s">
        <v>6565</v>
      </c>
      <c r="C2088" s="3" t="s">
        <v>83</v>
      </c>
      <c r="D2088" s="3" t="s">
        <v>3910</v>
      </c>
      <c r="E2088" s="3" t="s">
        <v>3911</v>
      </c>
      <c r="F2088" s="3" t="s">
        <v>3912</v>
      </c>
      <c r="G2088" s="19" t="s">
        <v>3913</v>
      </c>
      <c r="H2088" s="2" t="s">
        <v>694</v>
      </c>
      <c r="I2088" s="4">
        <v>0</v>
      </c>
      <c r="J2088" s="5">
        <v>710000000</v>
      </c>
      <c r="K2088" s="5" t="s">
        <v>89</v>
      </c>
      <c r="L2088" s="2" t="s">
        <v>754</v>
      </c>
      <c r="M2088" s="6" t="s">
        <v>787</v>
      </c>
      <c r="N2088" s="7" t="s">
        <v>92</v>
      </c>
      <c r="O2088" s="7" t="s">
        <v>93</v>
      </c>
      <c r="P2088" s="3" t="s">
        <v>673</v>
      </c>
      <c r="Q2088" s="8">
        <v>839</v>
      </c>
      <c r="R2088" s="7" t="s">
        <v>812</v>
      </c>
      <c r="S2088" s="9">
        <f>30+10</f>
        <v>40</v>
      </c>
      <c r="T2088" s="9">
        <v>637</v>
      </c>
      <c r="U2088" s="9">
        <f t="shared" si="1642"/>
        <v>25480</v>
      </c>
      <c r="V2088" s="9">
        <f t="shared" si="1641"/>
        <v>28537.600000000002</v>
      </c>
      <c r="W2088" s="7"/>
      <c r="X2088" s="2">
        <v>2016</v>
      </c>
      <c r="Y2088" s="2"/>
    </row>
    <row r="2089" spans="1:25" s="11" customFormat="1" ht="89.25" customHeight="1" outlineLevel="1" x14ac:dyDescent="0.25">
      <c r="A2089" s="1"/>
      <c r="B2089" s="2" t="s">
        <v>6566</v>
      </c>
      <c r="C2089" s="3" t="s">
        <v>83</v>
      </c>
      <c r="D2089" s="3" t="s">
        <v>3914</v>
      </c>
      <c r="E2089" s="3" t="s">
        <v>3915</v>
      </c>
      <c r="F2089" s="3" t="s">
        <v>3916</v>
      </c>
      <c r="G2089" s="19"/>
      <c r="H2089" s="2" t="s">
        <v>694</v>
      </c>
      <c r="I2089" s="4">
        <v>0</v>
      </c>
      <c r="J2089" s="5">
        <v>710000000</v>
      </c>
      <c r="K2089" s="5" t="s">
        <v>89</v>
      </c>
      <c r="L2089" s="2" t="s">
        <v>754</v>
      </c>
      <c r="M2089" s="6" t="s">
        <v>787</v>
      </c>
      <c r="N2089" s="7" t="s">
        <v>92</v>
      </c>
      <c r="O2089" s="7" t="s">
        <v>93</v>
      </c>
      <c r="P2089" s="3" t="s">
        <v>673</v>
      </c>
      <c r="Q2089" s="8">
        <v>796</v>
      </c>
      <c r="R2089" s="7" t="s">
        <v>118</v>
      </c>
      <c r="S2089" s="9">
        <f>15+1+3</f>
        <v>19</v>
      </c>
      <c r="T2089" s="9">
        <v>2319.1999999999998</v>
      </c>
      <c r="U2089" s="9">
        <f t="shared" si="1642"/>
        <v>44064.799999999996</v>
      </c>
      <c r="V2089" s="9">
        <f t="shared" si="1641"/>
        <v>49352.576000000001</v>
      </c>
      <c r="W2089" s="7"/>
      <c r="X2089" s="2">
        <v>2016</v>
      </c>
      <c r="Y2089" s="2"/>
    </row>
    <row r="2090" spans="1:25" s="11" customFormat="1" ht="89.25" customHeight="1" outlineLevel="1" x14ac:dyDescent="0.25">
      <c r="A2090" s="1"/>
      <c r="B2090" s="2" t="s">
        <v>6567</v>
      </c>
      <c r="C2090" s="3" t="s">
        <v>83</v>
      </c>
      <c r="D2090" s="3" t="s">
        <v>3917</v>
      </c>
      <c r="E2090" s="3" t="s">
        <v>3915</v>
      </c>
      <c r="F2090" s="3" t="s">
        <v>3918</v>
      </c>
      <c r="G2090" s="19"/>
      <c r="H2090" s="2" t="s">
        <v>694</v>
      </c>
      <c r="I2090" s="4">
        <v>0</v>
      </c>
      <c r="J2090" s="5">
        <v>710000000</v>
      </c>
      <c r="K2090" s="5" t="s">
        <v>89</v>
      </c>
      <c r="L2090" s="2" t="s">
        <v>754</v>
      </c>
      <c r="M2090" s="6" t="s">
        <v>787</v>
      </c>
      <c r="N2090" s="7" t="s">
        <v>92</v>
      </c>
      <c r="O2090" s="7" t="s">
        <v>93</v>
      </c>
      <c r="P2090" s="3" t="s">
        <v>673</v>
      </c>
      <c r="Q2090" s="31">
        <v>796</v>
      </c>
      <c r="R2090" s="5" t="s">
        <v>118</v>
      </c>
      <c r="S2090" s="9">
        <f>15</f>
        <v>15</v>
      </c>
      <c r="T2090" s="9">
        <v>4574</v>
      </c>
      <c r="U2090" s="9">
        <f t="shared" si="1642"/>
        <v>68610</v>
      </c>
      <c r="V2090" s="9">
        <f t="shared" si="1641"/>
        <v>76843.200000000012</v>
      </c>
      <c r="W2090" s="7"/>
      <c r="X2090" s="2">
        <v>2016</v>
      </c>
      <c r="Y2090" s="2"/>
    </row>
    <row r="2091" spans="1:25" s="11" customFormat="1" ht="89.25" customHeight="1" outlineLevel="1" x14ac:dyDescent="0.25">
      <c r="A2091" s="1"/>
      <c r="B2091" s="2" t="s">
        <v>6568</v>
      </c>
      <c r="C2091" s="3" t="s">
        <v>83</v>
      </c>
      <c r="D2091" s="3" t="s">
        <v>3919</v>
      </c>
      <c r="E2091" s="3" t="s">
        <v>3920</v>
      </c>
      <c r="F2091" s="3" t="s">
        <v>3921</v>
      </c>
      <c r="G2091" s="19" t="s">
        <v>3922</v>
      </c>
      <c r="H2091" s="2" t="s">
        <v>694</v>
      </c>
      <c r="I2091" s="4">
        <v>0</v>
      </c>
      <c r="J2091" s="5">
        <v>710000000</v>
      </c>
      <c r="K2091" s="5" t="s">
        <v>89</v>
      </c>
      <c r="L2091" s="2" t="s">
        <v>754</v>
      </c>
      <c r="M2091" s="6" t="s">
        <v>787</v>
      </c>
      <c r="N2091" s="7" t="s">
        <v>92</v>
      </c>
      <c r="O2091" s="7" t="s">
        <v>93</v>
      </c>
      <c r="P2091" s="3" t="s">
        <v>673</v>
      </c>
      <c r="Q2091" s="8">
        <v>796</v>
      </c>
      <c r="R2091" s="7" t="s">
        <v>118</v>
      </c>
      <c r="S2091" s="9">
        <f>10+1+1</f>
        <v>12</v>
      </c>
      <c r="T2091" s="9">
        <v>1902</v>
      </c>
      <c r="U2091" s="9">
        <f t="shared" si="1642"/>
        <v>22824</v>
      </c>
      <c r="V2091" s="9">
        <f t="shared" si="1641"/>
        <v>25562.880000000001</v>
      </c>
      <c r="W2091" s="7"/>
      <c r="X2091" s="2">
        <v>2016</v>
      </c>
      <c r="Y2091" s="2"/>
    </row>
    <row r="2092" spans="1:25" s="11" customFormat="1" ht="89.25" customHeight="1" outlineLevel="1" x14ac:dyDescent="0.25">
      <c r="A2092" s="1"/>
      <c r="B2092" s="2" t="s">
        <v>6569</v>
      </c>
      <c r="C2092" s="3" t="s">
        <v>83</v>
      </c>
      <c r="D2092" s="3" t="s">
        <v>3923</v>
      </c>
      <c r="E2092" s="3" t="s">
        <v>3440</v>
      </c>
      <c r="F2092" s="3" t="s">
        <v>3924</v>
      </c>
      <c r="G2092" s="3"/>
      <c r="H2092" s="2" t="s">
        <v>694</v>
      </c>
      <c r="I2092" s="4">
        <v>0</v>
      </c>
      <c r="J2092" s="5">
        <v>710000000</v>
      </c>
      <c r="K2092" s="5" t="s">
        <v>89</v>
      </c>
      <c r="L2092" s="2" t="s">
        <v>754</v>
      </c>
      <c r="M2092" s="6" t="s">
        <v>787</v>
      </c>
      <c r="N2092" s="7" t="s">
        <v>92</v>
      </c>
      <c r="O2092" s="7" t="s">
        <v>93</v>
      </c>
      <c r="P2092" s="3" t="s">
        <v>673</v>
      </c>
      <c r="Q2092" s="8">
        <v>796</v>
      </c>
      <c r="R2092" s="7" t="s">
        <v>118</v>
      </c>
      <c r="S2092" s="9">
        <f>5+10+3</f>
        <v>18</v>
      </c>
      <c r="T2092" s="9">
        <v>891</v>
      </c>
      <c r="U2092" s="9">
        <f t="shared" si="1642"/>
        <v>16038</v>
      </c>
      <c r="V2092" s="9">
        <f t="shared" si="1641"/>
        <v>17962.560000000001</v>
      </c>
      <c r="W2092" s="7"/>
      <c r="X2092" s="2">
        <v>2016</v>
      </c>
      <c r="Y2092" s="2"/>
    </row>
    <row r="2093" spans="1:25" s="11" customFormat="1" ht="89.25" customHeight="1" outlineLevel="1" x14ac:dyDescent="0.25">
      <c r="A2093" s="1"/>
      <c r="B2093" s="2" t="s">
        <v>6570</v>
      </c>
      <c r="C2093" s="3" t="s">
        <v>83</v>
      </c>
      <c r="D2093" s="3" t="s">
        <v>3439</v>
      </c>
      <c r="E2093" s="3" t="s">
        <v>3440</v>
      </c>
      <c r="F2093" s="3" t="s">
        <v>3441</v>
      </c>
      <c r="G2093" s="19" t="s">
        <v>3925</v>
      </c>
      <c r="H2093" s="2" t="s">
        <v>694</v>
      </c>
      <c r="I2093" s="4">
        <v>0</v>
      </c>
      <c r="J2093" s="5">
        <v>710000000</v>
      </c>
      <c r="K2093" s="5" t="s">
        <v>89</v>
      </c>
      <c r="L2093" s="2" t="s">
        <v>754</v>
      </c>
      <c r="M2093" s="6" t="s">
        <v>787</v>
      </c>
      <c r="N2093" s="7" t="s">
        <v>92</v>
      </c>
      <c r="O2093" s="7" t="s">
        <v>93</v>
      </c>
      <c r="P2093" s="3" t="s">
        <v>673</v>
      </c>
      <c r="Q2093" s="8">
        <v>839</v>
      </c>
      <c r="R2093" s="7" t="s">
        <v>812</v>
      </c>
      <c r="S2093" s="9">
        <f>10</f>
        <v>10</v>
      </c>
      <c r="T2093" s="9">
        <v>565</v>
      </c>
      <c r="U2093" s="9">
        <f t="shared" si="1642"/>
        <v>5650</v>
      </c>
      <c r="V2093" s="9">
        <f t="shared" si="1641"/>
        <v>6328.0000000000009</v>
      </c>
      <c r="W2093" s="7"/>
      <c r="X2093" s="2">
        <v>2016</v>
      </c>
      <c r="Y2093" s="2"/>
    </row>
    <row r="2094" spans="1:25" s="11" customFormat="1" ht="89.25" customHeight="1" outlineLevel="1" x14ac:dyDescent="0.25">
      <c r="A2094" s="1"/>
      <c r="B2094" s="2" t="s">
        <v>6571</v>
      </c>
      <c r="C2094" s="3" t="s">
        <v>83</v>
      </c>
      <c r="D2094" s="3" t="s">
        <v>3926</v>
      </c>
      <c r="E2094" s="3" t="s">
        <v>3927</v>
      </c>
      <c r="F2094" s="3" t="s">
        <v>3928</v>
      </c>
      <c r="G2094" s="19" t="s">
        <v>3929</v>
      </c>
      <c r="H2094" s="2" t="s">
        <v>694</v>
      </c>
      <c r="I2094" s="4">
        <v>0</v>
      </c>
      <c r="J2094" s="5">
        <v>710000000</v>
      </c>
      <c r="K2094" s="5" t="s">
        <v>89</v>
      </c>
      <c r="L2094" s="2" t="s">
        <v>754</v>
      </c>
      <c r="M2094" s="6" t="s">
        <v>787</v>
      </c>
      <c r="N2094" s="7" t="s">
        <v>92</v>
      </c>
      <c r="O2094" s="7" t="s">
        <v>93</v>
      </c>
      <c r="P2094" s="3" t="s">
        <v>673</v>
      </c>
      <c r="Q2094" s="8">
        <v>796</v>
      </c>
      <c r="R2094" s="7" t="s">
        <v>118</v>
      </c>
      <c r="S2094" s="9">
        <f>15+1+4+2</f>
        <v>22</v>
      </c>
      <c r="T2094" s="9">
        <v>2103</v>
      </c>
      <c r="U2094" s="9">
        <f t="shared" si="1642"/>
        <v>46266</v>
      </c>
      <c r="V2094" s="9">
        <f t="shared" si="1641"/>
        <v>51817.920000000006</v>
      </c>
      <c r="W2094" s="7"/>
      <c r="X2094" s="2">
        <v>2016</v>
      </c>
      <c r="Y2094" s="2"/>
    </row>
    <row r="2095" spans="1:25" s="11" customFormat="1" ht="89.25" customHeight="1" outlineLevel="1" x14ac:dyDescent="0.25">
      <c r="A2095" s="1"/>
      <c r="B2095" s="2" t="s">
        <v>6572</v>
      </c>
      <c r="C2095" s="3" t="s">
        <v>83</v>
      </c>
      <c r="D2095" s="3" t="s">
        <v>3930</v>
      </c>
      <c r="E2095" s="3" t="s">
        <v>3931</v>
      </c>
      <c r="F2095" s="3" t="s">
        <v>3932</v>
      </c>
      <c r="G2095" s="19" t="s">
        <v>3933</v>
      </c>
      <c r="H2095" s="2" t="s">
        <v>694</v>
      </c>
      <c r="I2095" s="4">
        <v>0</v>
      </c>
      <c r="J2095" s="5">
        <v>710000000</v>
      </c>
      <c r="K2095" s="5" t="s">
        <v>89</v>
      </c>
      <c r="L2095" s="2" t="s">
        <v>754</v>
      </c>
      <c r="M2095" s="6" t="s">
        <v>787</v>
      </c>
      <c r="N2095" s="7" t="s">
        <v>92</v>
      </c>
      <c r="O2095" s="7" t="s">
        <v>93</v>
      </c>
      <c r="P2095" s="3" t="s">
        <v>673</v>
      </c>
      <c r="Q2095" s="8">
        <v>796</v>
      </c>
      <c r="R2095" s="7" t="s">
        <v>118</v>
      </c>
      <c r="S2095" s="9">
        <f>25+2+7+1</f>
        <v>35</v>
      </c>
      <c r="T2095" s="9">
        <v>989</v>
      </c>
      <c r="U2095" s="9">
        <f t="shared" si="1642"/>
        <v>34615</v>
      </c>
      <c r="V2095" s="9">
        <f t="shared" si="1641"/>
        <v>38768.800000000003</v>
      </c>
      <c r="W2095" s="7"/>
      <c r="X2095" s="2">
        <v>2016</v>
      </c>
      <c r="Y2095" s="2"/>
    </row>
    <row r="2096" spans="1:25" s="11" customFormat="1" ht="89.25" customHeight="1" outlineLevel="1" x14ac:dyDescent="0.25">
      <c r="A2096" s="1"/>
      <c r="B2096" s="2" t="s">
        <v>6573</v>
      </c>
      <c r="C2096" s="3" t="s">
        <v>83</v>
      </c>
      <c r="D2096" s="3" t="s">
        <v>3934</v>
      </c>
      <c r="E2096" s="3" t="s">
        <v>3931</v>
      </c>
      <c r="F2096" s="3" t="s">
        <v>3935</v>
      </c>
      <c r="G2096" s="9" t="s">
        <v>3936</v>
      </c>
      <c r="H2096" s="2" t="s">
        <v>694</v>
      </c>
      <c r="I2096" s="4">
        <v>0</v>
      </c>
      <c r="J2096" s="5">
        <v>710000000</v>
      </c>
      <c r="K2096" s="5" t="s">
        <v>89</v>
      </c>
      <c r="L2096" s="2" t="s">
        <v>754</v>
      </c>
      <c r="M2096" s="6" t="s">
        <v>787</v>
      </c>
      <c r="N2096" s="7" t="s">
        <v>92</v>
      </c>
      <c r="O2096" s="7" t="s">
        <v>93</v>
      </c>
      <c r="P2096" s="3" t="s">
        <v>673</v>
      </c>
      <c r="Q2096" s="8">
        <v>796</v>
      </c>
      <c r="R2096" s="7" t="s">
        <v>118</v>
      </c>
      <c r="S2096" s="9">
        <f>1+1+3+1+2+1+1</f>
        <v>10</v>
      </c>
      <c r="T2096" s="9">
        <v>2012</v>
      </c>
      <c r="U2096" s="9">
        <f t="shared" si="1642"/>
        <v>20120</v>
      </c>
      <c r="V2096" s="9">
        <f t="shared" si="1641"/>
        <v>22534.400000000001</v>
      </c>
      <c r="W2096" s="7"/>
      <c r="X2096" s="2">
        <v>2016</v>
      </c>
      <c r="Y2096" s="2"/>
    </row>
    <row r="2097" spans="1:25" s="11" customFormat="1" ht="89.25" customHeight="1" outlineLevel="1" x14ac:dyDescent="0.25">
      <c r="A2097" s="1"/>
      <c r="B2097" s="2" t="s">
        <v>6574</v>
      </c>
      <c r="C2097" s="3" t="s">
        <v>83</v>
      </c>
      <c r="D2097" s="3" t="s">
        <v>3937</v>
      </c>
      <c r="E2097" s="3" t="s">
        <v>3938</v>
      </c>
      <c r="F2097" s="3" t="s">
        <v>3939</v>
      </c>
      <c r="G2097" s="19" t="s">
        <v>3940</v>
      </c>
      <c r="H2097" s="2" t="s">
        <v>694</v>
      </c>
      <c r="I2097" s="4">
        <v>0</v>
      </c>
      <c r="J2097" s="5">
        <v>710000000</v>
      </c>
      <c r="K2097" s="5" t="s">
        <v>89</v>
      </c>
      <c r="L2097" s="2" t="s">
        <v>754</v>
      </c>
      <c r="M2097" s="6" t="s">
        <v>787</v>
      </c>
      <c r="N2097" s="7" t="s">
        <v>92</v>
      </c>
      <c r="O2097" s="7" t="s">
        <v>93</v>
      </c>
      <c r="P2097" s="3" t="s">
        <v>673</v>
      </c>
      <c r="Q2097" s="8">
        <v>796</v>
      </c>
      <c r="R2097" s="7" t="s">
        <v>118</v>
      </c>
      <c r="S2097" s="9">
        <f>15+1+2+1</f>
        <v>19</v>
      </c>
      <c r="T2097" s="9">
        <v>1339</v>
      </c>
      <c r="U2097" s="9">
        <f t="shared" si="1642"/>
        <v>25441</v>
      </c>
      <c r="V2097" s="9">
        <f t="shared" si="1641"/>
        <v>28493.920000000002</v>
      </c>
      <c r="W2097" s="7"/>
      <c r="X2097" s="2">
        <v>2016</v>
      </c>
      <c r="Y2097" s="2"/>
    </row>
    <row r="2098" spans="1:25" s="11" customFormat="1" ht="89.25" customHeight="1" outlineLevel="1" x14ac:dyDescent="0.25">
      <c r="A2098" s="1"/>
      <c r="B2098" s="2" t="s">
        <v>6575</v>
      </c>
      <c r="C2098" s="3" t="s">
        <v>83</v>
      </c>
      <c r="D2098" s="3" t="s">
        <v>3941</v>
      </c>
      <c r="E2098" s="3" t="s">
        <v>3942</v>
      </c>
      <c r="F2098" s="3" t="s">
        <v>3943</v>
      </c>
      <c r="G2098" s="19" t="s">
        <v>3944</v>
      </c>
      <c r="H2098" s="2" t="s">
        <v>694</v>
      </c>
      <c r="I2098" s="4">
        <v>0</v>
      </c>
      <c r="J2098" s="5">
        <v>710000000</v>
      </c>
      <c r="K2098" s="5" t="s">
        <v>89</v>
      </c>
      <c r="L2098" s="2" t="s">
        <v>754</v>
      </c>
      <c r="M2098" s="6" t="s">
        <v>787</v>
      </c>
      <c r="N2098" s="7" t="s">
        <v>92</v>
      </c>
      <c r="O2098" s="7" t="s">
        <v>93</v>
      </c>
      <c r="P2098" s="3" t="s">
        <v>673</v>
      </c>
      <c r="Q2098" s="8">
        <v>796</v>
      </c>
      <c r="R2098" s="7" t="s">
        <v>118</v>
      </c>
      <c r="S2098" s="9">
        <v>15</v>
      </c>
      <c r="T2098" s="9">
        <v>2042</v>
      </c>
      <c r="U2098" s="9">
        <f t="shared" si="1642"/>
        <v>30630</v>
      </c>
      <c r="V2098" s="9">
        <f t="shared" si="1641"/>
        <v>34305.600000000006</v>
      </c>
      <c r="W2098" s="7"/>
      <c r="X2098" s="2">
        <v>2016</v>
      </c>
      <c r="Y2098" s="2"/>
    </row>
    <row r="2099" spans="1:25" s="11" customFormat="1" ht="89.25" customHeight="1" outlineLevel="1" x14ac:dyDescent="0.25">
      <c r="A2099" s="1"/>
      <c r="B2099" s="2" t="s">
        <v>6576</v>
      </c>
      <c r="C2099" s="3" t="s">
        <v>83</v>
      </c>
      <c r="D2099" s="3" t="s">
        <v>3945</v>
      </c>
      <c r="E2099" s="3" t="s">
        <v>3946</v>
      </c>
      <c r="F2099" s="3" t="s">
        <v>3947</v>
      </c>
      <c r="G2099" s="19" t="s">
        <v>3948</v>
      </c>
      <c r="H2099" s="2" t="s">
        <v>694</v>
      </c>
      <c r="I2099" s="4">
        <v>0</v>
      </c>
      <c r="J2099" s="5">
        <v>710000000</v>
      </c>
      <c r="K2099" s="5" t="s">
        <v>89</v>
      </c>
      <c r="L2099" s="2" t="s">
        <v>754</v>
      </c>
      <c r="M2099" s="6" t="s">
        <v>787</v>
      </c>
      <c r="N2099" s="7" t="s">
        <v>92</v>
      </c>
      <c r="O2099" s="7" t="s">
        <v>93</v>
      </c>
      <c r="P2099" s="3" t="s">
        <v>673</v>
      </c>
      <c r="Q2099" s="8">
        <v>839</v>
      </c>
      <c r="R2099" s="7" t="s">
        <v>812</v>
      </c>
      <c r="S2099" s="9">
        <f>15+1+4</f>
        <v>20</v>
      </c>
      <c r="T2099" s="9">
        <v>2036</v>
      </c>
      <c r="U2099" s="9">
        <f t="shared" si="1642"/>
        <v>40720</v>
      </c>
      <c r="V2099" s="9">
        <f t="shared" si="1641"/>
        <v>45606.400000000001</v>
      </c>
      <c r="W2099" s="7"/>
      <c r="X2099" s="2">
        <v>2016</v>
      </c>
      <c r="Y2099" s="2"/>
    </row>
    <row r="2100" spans="1:25" s="11" customFormat="1" ht="102" customHeight="1" outlineLevel="1" x14ac:dyDescent="0.25">
      <c r="A2100" s="1"/>
      <c r="B2100" s="2" t="s">
        <v>6577</v>
      </c>
      <c r="C2100" s="3" t="s">
        <v>83</v>
      </c>
      <c r="D2100" s="3" t="s">
        <v>3949</v>
      </c>
      <c r="E2100" s="3" t="s">
        <v>3950</v>
      </c>
      <c r="F2100" s="3" t="s">
        <v>3837</v>
      </c>
      <c r="G2100" s="19" t="s">
        <v>3951</v>
      </c>
      <c r="H2100" s="2" t="s">
        <v>694</v>
      </c>
      <c r="I2100" s="4">
        <v>0</v>
      </c>
      <c r="J2100" s="5">
        <v>710000000</v>
      </c>
      <c r="K2100" s="5" t="s">
        <v>89</v>
      </c>
      <c r="L2100" s="2" t="s">
        <v>754</v>
      </c>
      <c r="M2100" s="6" t="s">
        <v>787</v>
      </c>
      <c r="N2100" s="7" t="s">
        <v>92</v>
      </c>
      <c r="O2100" s="7" t="s">
        <v>93</v>
      </c>
      <c r="P2100" s="3" t="s">
        <v>673</v>
      </c>
      <c r="Q2100" s="8">
        <v>796</v>
      </c>
      <c r="R2100" s="7" t="s">
        <v>118</v>
      </c>
      <c r="S2100" s="9">
        <f>2+1</f>
        <v>3</v>
      </c>
      <c r="T2100" s="9">
        <v>10826</v>
      </c>
      <c r="U2100" s="9">
        <f t="shared" si="1642"/>
        <v>32478</v>
      </c>
      <c r="V2100" s="9">
        <f t="shared" si="1641"/>
        <v>36375.360000000001</v>
      </c>
      <c r="W2100" s="7"/>
      <c r="X2100" s="2">
        <v>2016</v>
      </c>
      <c r="Y2100" s="2"/>
    </row>
    <row r="2101" spans="1:25" s="11" customFormat="1" ht="89.25" customHeight="1" outlineLevel="1" x14ac:dyDescent="0.25">
      <c r="A2101" s="1"/>
      <c r="B2101" s="2" t="s">
        <v>6578</v>
      </c>
      <c r="C2101" s="3" t="s">
        <v>83</v>
      </c>
      <c r="D2101" s="3" t="s">
        <v>3952</v>
      </c>
      <c r="E2101" s="3" t="s">
        <v>3953</v>
      </c>
      <c r="F2101" s="3" t="s">
        <v>3954</v>
      </c>
      <c r="G2101" s="19"/>
      <c r="H2101" s="2" t="s">
        <v>694</v>
      </c>
      <c r="I2101" s="4">
        <v>0</v>
      </c>
      <c r="J2101" s="5">
        <v>710000000</v>
      </c>
      <c r="K2101" s="5" t="s">
        <v>89</v>
      </c>
      <c r="L2101" s="2" t="s">
        <v>754</v>
      </c>
      <c r="M2101" s="6" t="s">
        <v>787</v>
      </c>
      <c r="N2101" s="7" t="s">
        <v>92</v>
      </c>
      <c r="O2101" s="7" t="s">
        <v>93</v>
      </c>
      <c r="P2101" s="3" t="s">
        <v>673</v>
      </c>
      <c r="Q2101" s="8">
        <v>839</v>
      </c>
      <c r="R2101" s="7" t="s">
        <v>812</v>
      </c>
      <c r="S2101" s="9">
        <v>1</v>
      </c>
      <c r="T2101" s="9">
        <v>1205</v>
      </c>
      <c r="U2101" s="9">
        <f t="shared" si="1642"/>
        <v>1205</v>
      </c>
      <c r="V2101" s="9">
        <f t="shared" si="1641"/>
        <v>1349.6000000000001</v>
      </c>
      <c r="W2101" s="7"/>
      <c r="X2101" s="2">
        <v>2016</v>
      </c>
      <c r="Y2101" s="2"/>
    </row>
    <row r="2102" spans="1:25" s="11" customFormat="1" ht="89.25" customHeight="1" outlineLevel="1" x14ac:dyDescent="0.25">
      <c r="A2102" s="1"/>
      <c r="B2102" s="2" t="s">
        <v>6579</v>
      </c>
      <c r="C2102" s="3" t="s">
        <v>83</v>
      </c>
      <c r="D2102" s="3" t="s">
        <v>3955</v>
      </c>
      <c r="E2102" s="3" t="s">
        <v>3927</v>
      </c>
      <c r="F2102" s="3" t="s">
        <v>3956</v>
      </c>
      <c r="G2102" s="19" t="s">
        <v>3957</v>
      </c>
      <c r="H2102" s="2" t="s">
        <v>694</v>
      </c>
      <c r="I2102" s="4">
        <v>0</v>
      </c>
      <c r="J2102" s="5">
        <v>710000000</v>
      </c>
      <c r="K2102" s="5" t="s">
        <v>89</v>
      </c>
      <c r="L2102" s="2" t="s">
        <v>754</v>
      </c>
      <c r="M2102" s="6" t="s">
        <v>787</v>
      </c>
      <c r="N2102" s="7" t="s">
        <v>92</v>
      </c>
      <c r="O2102" s="7" t="s">
        <v>93</v>
      </c>
      <c r="P2102" s="3" t="s">
        <v>673</v>
      </c>
      <c r="Q2102" s="31">
        <v>796</v>
      </c>
      <c r="R2102" s="5" t="s">
        <v>118</v>
      </c>
      <c r="S2102" s="9">
        <f>15+1+6+1+1</f>
        <v>24</v>
      </c>
      <c r="T2102" s="9">
        <v>1821</v>
      </c>
      <c r="U2102" s="9">
        <f t="shared" si="1642"/>
        <v>43704</v>
      </c>
      <c r="V2102" s="9">
        <f t="shared" si="1641"/>
        <v>48948.480000000003</v>
      </c>
      <c r="W2102" s="7"/>
      <c r="X2102" s="2">
        <v>2016</v>
      </c>
      <c r="Y2102" s="2"/>
    </row>
    <row r="2103" spans="1:25" s="11" customFormat="1" ht="89.25" customHeight="1" outlineLevel="1" x14ac:dyDescent="0.25">
      <c r="A2103" s="1"/>
      <c r="B2103" s="2" t="s">
        <v>6580</v>
      </c>
      <c r="C2103" s="3" t="s">
        <v>83</v>
      </c>
      <c r="D2103" s="3" t="s">
        <v>3958</v>
      </c>
      <c r="E2103" s="3" t="s">
        <v>3959</v>
      </c>
      <c r="F2103" s="3" t="s">
        <v>3960</v>
      </c>
      <c r="G2103" s="19" t="s">
        <v>3961</v>
      </c>
      <c r="H2103" s="2" t="s">
        <v>694</v>
      </c>
      <c r="I2103" s="4">
        <v>0</v>
      </c>
      <c r="J2103" s="5">
        <v>710000000</v>
      </c>
      <c r="K2103" s="5" t="s">
        <v>89</v>
      </c>
      <c r="L2103" s="2" t="s">
        <v>754</v>
      </c>
      <c r="M2103" s="6" t="s">
        <v>787</v>
      </c>
      <c r="N2103" s="7" t="s">
        <v>92</v>
      </c>
      <c r="O2103" s="7" t="s">
        <v>93</v>
      </c>
      <c r="P2103" s="3" t="s">
        <v>673</v>
      </c>
      <c r="Q2103" s="8">
        <v>839</v>
      </c>
      <c r="R2103" s="7" t="s">
        <v>812</v>
      </c>
      <c r="S2103" s="9">
        <f>30+1</f>
        <v>31</v>
      </c>
      <c r="T2103" s="9">
        <v>1415.18</v>
      </c>
      <c r="U2103" s="9">
        <f t="shared" si="1642"/>
        <v>43870.58</v>
      </c>
      <c r="V2103" s="9">
        <f t="shared" si="1641"/>
        <v>49135.049600000006</v>
      </c>
      <c r="W2103" s="7"/>
      <c r="X2103" s="2">
        <v>2016</v>
      </c>
      <c r="Y2103" s="2"/>
    </row>
    <row r="2104" spans="1:25" s="11" customFormat="1" ht="89.25" customHeight="1" outlineLevel="1" x14ac:dyDescent="0.25">
      <c r="A2104" s="1"/>
      <c r="B2104" s="2" t="s">
        <v>6581</v>
      </c>
      <c r="C2104" s="3" t="s">
        <v>83</v>
      </c>
      <c r="D2104" s="3" t="s">
        <v>3962</v>
      </c>
      <c r="E2104" s="3" t="s">
        <v>3753</v>
      </c>
      <c r="F2104" s="3" t="s">
        <v>3963</v>
      </c>
      <c r="G2104" s="19" t="s">
        <v>3964</v>
      </c>
      <c r="H2104" s="2" t="s">
        <v>694</v>
      </c>
      <c r="I2104" s="4">
        <v>0</v>
      </c>
      <c r="J2104" s="5">
        <v>710000000</v>
      </c>
      <c r="K2104" s="5" t="s">
        <v>89</v>
      </c>
      <c r="L2104" s="2" t="s">
        <v>754</v>
      </c>
      <c r="M2104" s="6" t="s">
        <v>787</v>
      </c>
      <c r="N2104" s="7" t="s">
        <v>92</v>
      </c>
      <c r="O2104" s="7" t="s">
        <v>93</v>
      </c>
      <c r="P2104" s="3" t="s">
        <v>673</v>
      </c>
      <c r="Q2104" s="8">
        <v>796</v>
      </c>
      <c r="R2104" s="7" t="s">
        <v>118</v>
      </c>
      <c r="S2104" s="9">
        <f>50+1+4+1+1</f>
        <v>57</v>
      </c>
      <c r="T2104" s="9">
        <v>1580</v>
      </c>
      <c r="U2104" s="9">
        <f t="shared" si="1642"/>
        <v>90060</v>
      </c>
      <c r="V2104" s="9">
        <f t="shared" si="1641"/>
        <v>100867.20000000001</v>
      </c>
      <c r="W2104" s="7"/>
      <c r="X2104" s="2">
        <v>2016</v>
      </c>
      <c r="Y2104" s="2"/>
    </row>
    <row r="2105" spans="1:25" s="11" customFormat="1" ht="89.25" customHeight="1" outlineLevel="1" x14ac:dyDescent="0.25">
      <c r="A2105" s="1"/>
      <c r="B2105" s="2" t="s">
        <v>6582</v>
      </c>
      <c r="C2105" s="3" t="s">
        <v>83</v>
      </c>
      <c r="D2105" s="3" t="s">
        <v>3965</v>
      </c>
      <c r="E2105" s="3" t="s">
        <v>3966</v>
      </c>
      <c r="F2105" s="3" t="s">
        <v>3967</v>
      </c>
      <c r="G2105" s="19" t="s">
        <v>3968</v>
      </c>
      <c r="H2105" s="2" t="s">
        <v>694</v>
      </c>
      <c r="I2105" s="4">
        <v>0</v>
      </c>
      <c r="J2105" s="5">
        <v>710000000</v>
      </c>
      <c r="K2105" s="5" t="s">
        <v>89</v>
      </c>
      <c r="L2105" s="2" t="s">
        <v>754</v>
      </c>
      <c r="M2105" s="6" t="s">
        <v>787</v>
      </c>
      <c r="N2105" s="7" t="s">
        <v>92</v>
      </c>
      <c r="O2105" s="7" t="s">
        <v>93</v>
      </c>
      <c r="P2105" s="3" t="s">
        <v>673</v>
      </c>
      <c r="Q2105" s="8" t="s">
        <v>3876</v>
      </c>
      <c r="R2105" s="7" t="s">
        <v>2605</v>
      </c>
      <c r="S2105" s="9">
        <f>5+2</f>
        <v>7</v>
      </c>
      <c r="T2105" s="9">
        <v>321</v>
      </c>
      <c r="U2105" s="9">
        <f t="shared" si="1642"/>
        <v>2247</v>
      </c>
      <c r="V2105" s="9">
        <f t="shared" si="1641"/>
        <v>2516.6400000000003</v>
      </c>
      <c r="W2105" s="7"/>
      <c r="X2105" s="2">
        <v>2016</v>
      </c>
      <c r="Y2105" s="2"/>
    </row>
    <row r="2106" spans="1:25" s="20" customFormat="1" ht="89.25" customHeight="1" outlineLevel="1" x14ac:dyDescent="0.25">
      <c r="A2106" s="1"/>
      <c r="B2106" s="2" t="s">
        <v>6583</v>
      </c>
      <c r="C2106" s="3" t="s">
        <v>83</v>
      </c>
      <c r="D2106" s="3" t="s">
        <v>3969</v>
      </c>
      <c r="E2106" s="3" t="s">
        <v>3966</v>
      </c>
      <c r="F2106" s="3" t="s">
        <v>3113</v>
      </c>
      <c r="G2106" s="19" t="s">
        <v>3970</v>
      </c>
      <c r="H2106" s="2" t="s">
        <v>694</v>
      </c>
      <c r="I2106" s="4">
        <v>0</v>
      </c>
      <c r="J2106" s="5">
        <v>710000000</v>
      </c>
      <c r="K2106" s="5" t="s">
        <v>89</v>
      </c>
      <c r="L2106" s="2" t="s">
        <v>754</v>
      </c>
      <c r="M2106" s="6" t="s">
        <v>787</v>
      </c>
      <c r="N2106" s="7" t="s">
        <v>92</v>
      </c>
      <c r="O2106" s="7" t="s">
        <v>93</v>
      </c>
      <c r="P2106" s="3" t="s">
        <v>673</v>
      </c>
      <c r="Q2106" s="31">
        <v>796</v>
      </c>
      <c r="R2106" s="5" t="s">
        <v>118</v>
      </c>
      <c r="S2106" s="9">
        <v>50</v>
      </c>
      <c r="T2106" s="9">
        <v>1205.3599999999999</v>
      </c>
      <c r="U2106" s="9">
        <f t="shared" si="1642"/>
        <v>60267.999999999993</v>
      </c>
      <c r="V2106" s="9">
        <f t="shared" si="1641"/>
        <v>67500.160000000003</v>
      </c>
      <c r="W2106" s="7"/>
      <c r="X2106" s="2">
        <v>2016</v>
      </c>
      <c r="Y2106" s="2"/>
    </row>
    <row r="2107" spans="1:25" s="11" customFormat="1" ht="89.25" customHeight="1" outlineLevel="1" x14ac:dyDescent="0.25">
      <c r="A2107" s="1"/>
      <c r="B2107" s="2" t="s">
        <v>6584</v>
      </c>
      <c r="C2107" s="3" t="s">
        <v>83</v>
      </c>
      <c r="D2107" s="3" t="s">
        <v>3971</v>
      </c>
      <c r="E2107" s="3" t="s">
        <v>3966</v>
      </c>
      <c r="F2107" s="3" t="s">
        <v>3972</v>
      </c>
      <c r="G2107" s="3" t="s">
        <v>3973</v>
      </c>
      <c r="H2107" s="2" t="s">
        <v>694</v>
      </c>
      <c r="I2107" s="4">
        <v>0</v>
      </c>
      <c r="J2107" s="5">
        <v>710000000</v>
      </c>
      <c r="K2107" s="5" t="s">
        <v>89</v>
      </c>
      <c r="L2107" s="2" t="s">
        <v>754</v>
      </c>
      <c r="M2107" s="6" t="s">
        <v>787</v>
      </c>
      <c r="N2107" s="7" t="s">
        <v>92</v>
      </c>
      <c r="O2107" s="7" t="s">
        <v>93</v>
      </c>
      <c r="P2107" s="3" t="s">
        <v>673</v>
      </c>
      <c r="Q2107" s="8">
        <v>796</v>
      </c>
      <c r="R2107" s="7" t="s">
        <v>118</v>
      </c>
      <c r="S2107" s="9">
        <f>2+17</f>
        <v>19</v>
      </c>
      <c r="T2107" s="9">
        <v>781</v>
      </c>
      <c r="U2107" s="9">
        <f t="shared" si="1642"/>
        <v>14839</v>
      </c>
      <c r="V2107" s="9">
        <f t="shared" si="1641"/>
        <v>16619.68</v>
      </c>
      <c r="W2107" s="7"/>
      <c r="X2107" s="2">
        <v>2016</v>
      </c>
      <c r="Y2107" s="2"/>
    </row>
    <row r="2108" spans="1:25" s="40" customFormat="1" ht="89.25" customHeight="1" outlineLevel="1" x14ac:dyDescent="0.25">
      <c r="A2108" s="1"/>
      <c r="B2108" s="2" t="s">
        <v>6585</v>
      </c>
      <c r="C2108" s="3" t="s">
        <v>83</v>
      </c>
      <c r="D2108" s="3" t="s">
        <v>3974</v>
      </c>
      <c r="E2108" s="3" t="s">
        <v>3966</v>
      </c>
      <c r="F2108" s="3" t="s">
        <v>3749</v>
      </c>
      <c r="G2108" s="19" t="s">
        <v>3975</v>
      </c>
      <c r="H2108" s="2" t="s">
        <v>694</v>
      </c>
      <c r="I2108" s="4">
        <v>0</v>
      </c>
      <c r="J2108" s="5">
        <v>710000000</v>
      </c>
      <c r="K2108" s="5" t="s">
        <v>89</v>
      </c>
      <c r="L2108" s="2" t="s">
        <v>754</v>
      </c>
      <c r="M2108" s="6" t="s">
        <v>787</v>
      </c>
      <c r="N2108" s="7" t="s">
        <v>92</v>
      </c>
      <c r="O2108" s="7" t="s">
        <v>93</v>
      </c>
      <c r="P2108" s="3" t="s">
        <v>673</v>
      </c>
      <c r="Q2108" s="8">
        <v>796</v>
      </c>
      <c r="R2108" s="7" t="s">
        <v>118</v>
      </c>
      <c r="S2108" s="9">
        <f>5+9</f>
        <v>14</v>
      </c>
      <c r="T2108" s="9">
        <v>338</v>
      </c>
      <c r="U2108" s="9">
        <f t="shared" si="1642"/>
        <v>4732</v>
      </c>
      <c r="V2108" s="9">
        <f t="shared" si="1641"/>
        <v>5299.84</v>
      </c>
      <c r="W2108" s="7"/>
      <c r="X2108" s="2">
        <v>2016</v>
      </c>
      <c r="Y2108" s="2"/>
    </row>
    <row r="2109" spans="1:25" s="11" customFormat="1" ht="89.25" customHeight="1" outlineLevel="1" x14ac:dyDescent="0.25">
      <c r="A2109" s="1"/>
      <c r="B2109" s="2" t="s">
        <v>6586</v>
      </c>
      <c r="C2109" s="3" t="s">
        <v>83</v>
      </c>
      <c r="D2109" s="3" t="s">
        <v>3976</v>
      </c>
      <c r="E2109" s="3" t="s">
        <v>3966</v>
      </c>
      <c r="F2109" s="3" t="s">
        <v>3967</v>
      </c>
      <c r="G2109" s="19" t="s">
        <v>3977</v>
      </c>
      <c r="H2109" s="2" t="s">
        <v>694</v>
      </c>
      <c r="I2109" s="4">
        <v>0</v>
      </c>
      <c r="J2109" s="5">
        <v>710000000</v>
      </c>
      <c r="K2109" s="5" t="s">
        <v>89</v>
      </c>
      <c r="L2109" s="2" t="s">
        <v>754</v>
      </c>
      <c r="M2109" s="6" t="s">
        <v>787</v>
      </c>
      <c r="N2109" s="7" t="s">
        <v>92</v>
      </c>
      <c r="O2109" s="7" t="s">
        <v>93</v>
      </c>
      <c r="P2109" s="3" t="s">
        <v>673</v>
      </c>
      <c r="Q2109" s="8">
        <v>796</v>
      </c>
      <c r="R2109" s="7" t="s">
        <v>118</v>
      </c>
      <c r="S2109" s="9">
        <v>4</v>
      </c>
      <c r="T2109" s="9">
        <v>637</v>
      </c>
      <c r="U2109" s="9">
        <f t="shared" si="1642"/>
        <v>2548</v>
      </c>
      <c r="V2109" s="9">
        <f t="shared" si="1641"/>
        <v>2853.76</v>
      </c>
      <c r="W2109" s="7"/>
      <c r="X2109" s="2">
        <v>2016</v>
      </c>
      <c r="Y2109" s="2"/>
    </row>
    <row r="2110" spans="1:25" s="11" customFormat="1" ht="89.25" customHeight="1" outlineLevel="1" x14ac:dyDescent="0.25">
      <c r="A2110" s="1"/>
      <c r="B2110" s="2" t="s">
        <v>6587</v>
      </c>
      <c r="C2110" s="3" t="s">
        <v>83</v>
      </c>
      <c r="D2110" s="3" t="s">
        <v>3978</v>
      </c>
      <c r="E2110" s="3" t="s">
        <v>3979</v>
      </c>
      <c r="F2110" s="3" t="s">
        <v>3980</v>
      </c>
      <c r="G2110" s="19" t="s">
        <v>3981</v>
      </c>
      <c r="H2110" s="2" t="s">
        <v>694</v>
      </c>
      <c r="I2110" s="4">
        <v>0</v>
      </c>
      <c r="J2110" s="5">
        <v>710000000</v>
      </c>
      <c r="K2110" s="5" t="s">
        <v>89</v>
      </c>
      <c r="L2110" s="2" t="s">
        <v>754</v>
      </c>
      <c r="M2110" s="6" t="s">
        <v>787</v>
      </c>
      <c r="N2110" s="7" t="s">
        <v>92</v>
      </c>
      <c r="O2110" s="7" t="s">
        <v>93</v>
      </c>
      <c r="P2110" s="3" t="s">
        <v>673</v>
      </c>
      <c r="Q2110" s="8">
        <v>796</v>
      </c>
      <c r="R2110" s="7" t="s">
        <v>118</v>
      </c>
      <c r="S2110" s="9">
        <f>2+1</f>
        <v>3</v>
      </c>
      <c r="T2110" s="9">
        <v>1594</v>
      </c>
      <c r="U2110" s="9">
        <f t="shared" si="1642"/>
        <v>4782</v>
      </c>
      <c r="V2110" s="9">
        <f t="shared" si="1641"/>
        <v>5355.84</v>
      </c>
      <c r="W2110" s="7"/>
      <c r="X2110" s="2">
        <v>2016</v>
      </c>
      <c r="Y2110" s="2"/>
    </row>
    <row r="2111" spans="1:25" s="11" customFormat="1" ht="89.25" customHeight="1" outlineLevel="1" x14ac:dyDescent="0.25">
      <c r="A2111" s="1"/>
      <c r="B2111" s="2" t="s">
        <v>6588</v>
      </c>
      <c r="C2111" s="3" t="s">
        <v>83</v>
      </c>
      <c r="D2111" s="3" t="s">
        <v>3982</v>
      </c>
      <c r="E2111" s="3" t="s">
        <v>3983</v>
      </c>
      <c r="F2111" s="3" t="s">
        <v>3984</v>
      </c>
      <c r="G2111" s="19" t="s">
        <v>3985</v>
      </c>
      <c r="H2111" s="2" t="s">
        <v>694</v>
      </c>
      <c r="I2111" s="4">
        <v>0</v>
      </c>
      <c r="J2111" s="5">
        <v>710000000</v>
      </c>
      <c r="K2111" s="5" t="s">
        <v>89</v>
      </c>
      <c r="L2111" s="2" t="s">
        <v>754</v>
      </c>
      <c r="M2111" s="6" t="s">
        <v>787</v>
      </c>
      <c r="N2111" s="7" t="s">
        <v>92</v>
      </c>
      <c r="O2111" s="7" t="s">
        <v>93</v>
      </c>
      <c r="P2111" s="3" t="s">
        <v>673</v>
      </c>
      <c r="Q2111" s="8">
        <v>796</v>
      </c>
      <c r="R2111" s="7" t="s">
        <v>118</v>
      </c>
      <c r="S2111" s="9">
        <f>50+1+1</f>
        <v>52</v>
      </c>
      <c r="T2111" s="9">
        <v>1152</v>
      </c>
      <c r="U2111" s="9">
        <f t="shared" si="1642"/>
        <v>59904</v>
      </c>
      <c r="V2111" s="9">
        <f t="shared" si="1641"/>
        <v>67092.48000000001</v>
      </c>
      <c r="W2111" s="7"/>
      <c r="X2111" s="2">
        <v>2016</v>
      </c>
      <c r="Y2111" s="2"/>
    </row>
    <row r="2112" spans="1:25" s="11" customFormat="1" ht="89.25" customHeight="1" outlineLevel="1" x14ac:dyDescent="0.25">
      <c r="A2112" s="1"/>
      <c r="B2112" s="2" t="s">
        <v>6589</v>
      </c>
      <c r="C2112" s="3" t="s">
        <v>83</v>
      </c>
      <c r="D2112" s="3" t="s">
        <v>3986</v>
      </c>
      <c r="E2112" s="3" t="s">
        <v>3987</v>
      </c>
      <c r="F2112" s="3" t="s">
        <v>3988</v>
      </c>
      <c r="G2112" s="19" t="s">
        <v>3989</v>
      </c>
      <c r="H2112" s="2" t="s">
        <v>694</v>
      </c>
      <c r="I2112" s="4">
        <v>0</v>
      </c>
      <c r="J2112" s="5">
        <v>710000000</v>
      </c>
      <c r="K2112" s="5" t="s">
        <v>89</v>
      </c>
      <c r="L2112" s="2" t="s">
        <v>754</v>
      </c>
      <c r="M2112" s="6" t="s">
        <v>787</v>
      </c>
      <c r="N2112" s="7" t="s">
        <v>92</v>
      </c>
      <c r="O2112" s="7" t="s">
        <v>93</v>
      </c>
      <c r="P2112" s="3" t="s">
        <v>673</v>
      </c>
      <c r="Q2112" s="8">
        <v>796</v>
      </c>
      <c r="R2112" s="7" t="s">
        <v>118</v>
      </c>
      <c r="S2112" s="9">
        <f>25+1+5+5+2</f>
        <v>38</v>
      </c>
      <c r="T2112" s="9">
        <v>1339</v>
      </c>
      <c r="U2112" s="9">
        <f t="shared" si="1642"/>
        <v>50882</v>
      </c>
      <c r="V2112" s="9">
        <f t="shared" si="1641"/>
        <v>56987.840000000004</v>
      </c>
      <c r="W2112" s="7"/>
      <c r="X2112" s="2">
        <v>2016</v>
      </c>
      <c r="Y2112" s="2"/>
    </row>
    <row r="2113" spans="1:25" s="20" customFormat="1" ht="89.25" customHeight="1" outlineLevel="1" x14ac:dyDescent="0.25">
      <c r="A2113" s="1"/>
      <c r="B2113" s="2" t="s">
        <v>6590</v>
      </c>
      <c r="C2113" s="3" t="s">
        <v>83</v>
      </c>
      <c r="D2113" s="3" t="s">
        <v>3990</v>
      </c>
      <c r="E2113" s="3" t="s">
        <v>3991</v>
      </c>
      <c r="F2113" s="3" t="s">
        <v>3992</v>
      </c>
      <c r="G2113" s="19" t="s">
        <v>3993</v>
      </c>
      <c r="H2113" s="2" t="s">
        <v>694</v>
      </c>
      <c r="I2113" s="4">
        <v>0</v>
      </c>
      <c r="J2113" s="5">
        <v>710000000</v>
      </c>
      <c r="K2113" s="5" t="s">
        <v>89</v>
      </c>
      <c r="L2113" s="2" t="s">
        <v>754</v>
      </c>
      <c r="M2113" s="6" t="s">
        <v>787</v>
      </c>
      <c r="N2113" s="7" t="s">
        <v>92</v>
      </c>
      <c r="O2113" s="7" t="s">
        <v>93</v>
      </c>
      <c r="P2113" s="3" t="s">
        <v>673</v>
      </c>
      <c r="Q2113" s="8">
        <v>796</v>
      </c>
      <c r="R2113" s="7" t="s">
        <v>118</v>
      </c>
      <c r="S2113" s="9">
        <v>1</v>
      </c>
      <c r="T2113" s="9">
        <v>2179</v>
      </c>
      <c r="U2113" s="9">
        <f t="shared" si="1642"/>
        <v>2179</v>
      </c>
      <c r="V2113" s="9">
        <f t="shared" si="1641"/>
        <v>2440.48</v>
      </c>
      <c r="W2113" s="7"/>
      <c r="X2113" s="2">
        <v>2016</v>
      </c>
      <c r="Y2113" s="2"/>
    </row>
    <row r="2114" spans="1:25" s="11" customFormat="1" ht="89.25" customHeight="1" outlineLevel="1" x14ac:dyDescent="0.25">
      <c r="A2114" s="1"/>
      <c r="B2114" s="2" t="s">
        <v>6591</v>
      </c>
      <c r="C2114" s="3" t="s">
        <v>83</v>
      </c>
      <c r="D2114" s="3" t="s">
        <v>3994</v>
      </c>
      <c r="E2114" s="3" t="s">
        <v>3995</v>
      </c>
      <c r="F2114" s="3" t="s">
        <v>3996</v>
      </c>
      <c r="G2114" s="19" t="s">
        <v>3997</v>
      </c>
      <c r="H2114" s="2" t="s">
        <v>694</v>
      </c>
      <c r="I2114" s="4">
        <v>0</v>
      </c>
      <c r="J2114" s="5">
        <v>710000000</v>
      </c>
      <c r="K2114" s="5" t="s">
        <v>89</v>
      </c>
      <c r="L2114" s="2" t="s">
        <v>754</v>
      </c>
      <c r="M2114" s="6" t="s">
        <v>787</v>
      </c>
      <c r="N2114" s="7" t="s">
        <v>92</v>
      </c>
      <c r="O2114" s="7" t="s">
        <v>93</v>
      </c>
      <c r="P2114" s="3" t="s">
        <v>673</v>
      </c>
      <c r="Q2114" s="8">
        <v>796</v>
      </c>
      <c r="R2114" s="7" t="s">
        <v>118</v>
      </c>
      <c r="S2114" s="9">
        <v>4</v>
      </c>
      <c r="T2114" s="9">
        <v>714</v>
      </c>
      <c r="U2114" s="9">
        <f t="shared" si="1642"/>
        <v>2856</v>
      </c>
      <c r="V2114" s="9">
        <f t="shared" ref="V2114:V2177" si="1643">U2114*1.12</f>
        <v>3198.7200000000003</v>
      </c>
      <c r="W2114" s="7"/>
      <c r="X2114" s="2">
        <v>2016</v>
      </c>
      <c r="Y2114" s="2"/>
    </row>
    <row r="2115" spans="1:25" s="11" customFormat="1" ht="140.25" customHeight="1" outlineLevel="1" x14ac:dyDescent="0.25">
      <c r="A2115" s="1"/>
      <c r="B2115" s="2" t="s">
        <v>6592</v>
      </c>
      <c r="C2115" s="3" t="s">
        <v>83</v>
      </c>
      <c r="D2115" s="3" t="s">
        <v>3998</v>
      </c>
      <c r="E2115" s="3" t="s">
        <v>3999</v>
      </c>
      <c r="F2115" s="3" t="s">
        <v>4000</v>
      </c>
      <c r="G2115" s="19" t="s">
        <v>4001</v>
      </c>
      <c r="H2115" s="2" t="s">
        <v>694</v>
      </c>
      <c r="I2115" s="4">
        <v>0</v>
      </c>
      <c r="J2115" s="5">
        <v>710000000</v>
      </c>
      <c r="K2115" s="5" t="s">
        <v>89</v>
      </c>
      <c r="L2115" s="2" t="s">
        <v>754</v>
      </c>
      <c r="M2115" s="6" t="s">
        <v>787</v>
      </c>
      <c r="N2115" s="7" t="s">
        <v>92</v>
      </c>
      <c r="O2115" s="7" t="s">
        <v>93</v>
      </c>
      <c r="P2115" s="3" t="s">
        <v>673</v>
      </c>
      <c r="Q2115" s="8">
        <v>796</v>
      </c>
      <c r="R2115" s="7" t="s">
        <v>118</v>
      </c>
      <c r="S2115" s="9">
        <v>16</v>
      </c>
      <c r="T2115" s="9">
        <v>321</v>
      </c>
      <c r="U2115" s="9">
        <f t="shared" si="1642"/>
        <v>5136</v>
      </c>
      <c r="V2115" s="9">
        <f t="shared" si="1643"/>
        <v>5752.3200000000006</v>
      </c>
      <c r="W2115" s="7"/>
      <c r="X2115" s="2">
        <v>2016</v>
      </c>
      <c r="Y2115" s="2"/>
    </row>
    <row r="2116" spans="1:25" s="20" customFormat="1" ht="89.25" customHeight="1" outlineLevel="1" x14ac:dyDescent="0.25">
      <c r="A2116" s="1"/>
      <c r="B2116" s="2" t="s">
        <v>6593</v>
      </c>
      <c r="C2116" s="3" t="s">
        <v>83</v>
      </c>
      <c r="D2116" s="3" t="s">
        <v>4002</v>
      </c>
      <c r="E2116" s="3" t="s">
        <v>3829</v>
      </c>
      <c r="F2116" s="3" t="s">
        <v>4003</v>
      </c>
      <c r="G2116" s="19" t="s">
        <v>4004</v>
      </c>
      <c r="H2116" s="2" t="s">
        <v>694</v>
      </c>
      <c r="I2116" s="4">
        <v>0</v>
      </c>
      <c r="J2116" s="5">
        <v>710000000</v>
      </c>
      <c r="K2116" s="5" t="s">
        <v>89</v>
      </c>
      <c r="L2116" s="2" t="s">
        <v>754</v>
      </c>
      <c r="M2116" s="6" t="s">
        <v>787</v>
      </c>
      <c r="N2116" s="7" t="s">
        <v>92</v>
      </c>
      <c r="O2116" s="7" t="s">
        <v>93</v>
      </c>
      <c r="P2116" s="3" t="s">
        <v>673</v>
      </c>
      <c r="Q2116" s="8">
        <v>796</v>
      </c>
      <c r="R2116" s="7" t="s">
        <v>118</v>
      </c>
      <c r="S2116" s="9">
        <v>15</v>
      </c>
      <c r="T2116" s="9">
        <v>2973</v>
      </c>
      <c r="U2116" s="9">
        <f t="shared" si="1642"/>
        <v>44595</v>
      </c>
      <c r="V2116" s="9">
        <f t="shared" si="1643"/>
        <v>49946.400000000001</v>
      </c>
      <c r="W2116" s="7"/>
      <c r="X2116" s="2">
        <v>2016</v>
      </c>
      <c r="Y2116" s="2"/>
    </row>
    <row r="2117" spans="1:25" s="11" customFormat="1" ht="89.25" customHeight="1" outlineLevel="1" x14ac:dyDescent="0.25">
      <c r="A2117" s="1"/>
      <c r="B2117" s="2" t="s">
        <v>6594</v>
      </c>
      <c r="C2117" s="3" t="s">
        <v>83</v>
      </c>
      <c r="D2117" s="3" t="s">
        <v>4005</v>
      </c>
      <c r="E2117" s="3" t="s">
        <v>4006</v>
      </c>
      <c r="F2117" s="3" t="s">
        <v>4007</v>
      </c>
      <c r="G2117" s="19"/>
      <c r="H2117" s="2" t="s">
        <v>694</v>
      </c>
      <c r="I2117" s="4">
        <v>0</v>
      </c>
      <c r="J2117" s="5">
        <v>710000000</v>
      </c>
      <c r="K2117" s="5" t="s">
        <v>89</v>
      </c>
      <c r="L2117" s="2" t="s">
        <v>754</v>
      </c>
      <c r="M2117" s="6" t="s">
        <v>787</v>
      </c>
      <c r="N2117" s="7" t="s">
        <v>92</v>
      </c>
      <c r="O2117" s="7" t="s">
        <v>93</v>
      </c>
      <c r="P2117" s="3" t="s">
        <v>673</v>
      </c>
      <c r="Q2117" s="8">
        <v>796</v>
      </c>
      <c r="R2117" s="7" t="s">
        <v>118</v>
      </c>
      <c r="S2117" s="9">
        <f>23+2</f>
        <v>25</v>
      </c>
      <c r="T2117" s="9">
        <v>438</v>
      </c>
      <c r="U2117" s="9">
        <f t="shared" si="1642"/>
        <v>10950</v>
      </c>
      <c r="V2117" s="9">
        <f t="shared" si="1643"/>
        <v>12264.000000000002</v>
      </c>
      <c r="W2117" s="7"/>
      <c r="X2117" s="2">
        <v>2016</v>
      </c>
      <c r="Y2117" s="2"/>
    </row>
    <row r="2118" spans="1:25" s="11" customFormat="1" ht="89.25" customHeight="1" outlineLevel="1" x14ac:dyDescent="0.25">
      <c r="A2118" s="1"/>
      <c r="B2118" s="2" t="s">
        <v>6595</v>
      </c>
      <c r="C2118" s="3" t="s">
        <v>83</v>
      </c>
      <c r="D2118" s="3" t="s">
        <v>4008</v>
      </c>
      <c r="E2118" s="3" t="s">
        <v>4006</v>
      </c>
      <c r="F2118" s="3" t="s">
        <v>4009</v>
      </c>
      <c r="G2118" s="19" t="s">
        <v>4010</v>
      </c>
      <c r="H2118" s="2" t="s">
        <v>694</v>
      </c>
      <c r="I2118" s="4">
        <v>0</v>
      </c>
      <c r="J2118" s="5">
        <v>710000000</v>
      </c>
      <c r="K2118" s="5" t="s">
        <v>89</v>
      </c>
      <c r="L2118" s="2" t="s">
        <v>754</v>
      </c>
      <c r="M2118" s="6" t="s">
        <v>787</v>
      </c>
      <c r="N2118" s="7" t="s">
        <v>92</v>
      </c>
      <c r="O2118" s="7" t="s">
        <v>93</v>
      </c>
      <c r="P2118" s="3" t="s">
        <v>673</v>
      </c>
      <c r="Q2118" s="31">
        <v>796</v>
      </c>
      <c r="R2118" s="5" t="s">
        <v>118</v>
      </c>
      <c r="S2118" s="9">
        <f>30+5</f>
        <v>35</v>
      </c>
      <c r="T2118" s="9">
        <v>482</v>
      </c>
      <c r="U2118" s="9">
        <f t="shared" si="1642"/>
        <v>16870</v>
      </c>
      <c r="V2118" s="9">
        <f t="shared" si="1643"/>
        <v>18894.400000000001</v>
      </c>
      <c r="W2118" s="7"/>
      <c r="X2118" s="2">
        <v>2016</v>
      </c>
      <c r="Y2118" s="2"/>
    </row>
    <row r="2119" spans="1:25" s="11" customFormat="1" ht="89.25" customHeight="1" outlineLevel="1" x14ac:dyDescent="0.25">
      <c r="A2119" s="1"/>
      <c r="B2119" s="2" t="s">
        <v>6596</v>
      </c>
      <c r="C2119" s="3" t="s">
        <v>83</v>
      </c>
      <c r="D2119" s="3" t="s">
        <v>7691</v>
      </c>
      <c r="E2119" s="3" t="s">
        <v>818</v>
      </c>
      <c r="F2119" s="3" t="s">
        <v>4011</v>
      </c>
      <c r="G2119" s="19" t="s">
        <v>4012</v>
      </c>
      <c r="H2119" s="2" t="s">
        <v>694</v>
      </c>
      <c r="I2119" s="4">
        <v>0</v>
      </c>
      <c r="J2119" s="5">
        <v>710000000</v>
      </c>
      <c r="K2119" s="5" t="s">
        <v>89</v>
      </c>
      <c r="L2119" s="2" t="s">
        <v>754</v>
      </c>
      <c r="M2119" s="6" t="s">
        <v>787</v>
      </c>
      <c r="N2119" s="7" t="s">
        <v>92</v>
      </c>
      <c r="O2119" s="7" t="s">
        <v>93</v>
      </c>
      <c r="P2119" s="3" t="s">
        <v>673</v>
      </c>
      <c r="Q2119" s="8">
        <v>796</v>
      </c>
      <c r="R2119" s="7" t="s">
        <v>118</v>
      </c>
      <c r="S2119" s="9">
        <f>7+1</f>
        <v>8</v>
      </c>
      <c r="T2119" s="9">
        <v>1415</v>
      </c>
      <c r="U2119" s="9">
        <f t="shared" si="1642"/>
        <v>11320</v>
      </c>
      <c r="V2119" s="9">
        <f t="shared" si="1643"/>
        <v>12678.400000000001</v>
      </c>
      <c r="W2119" s="7"/>
      <c r="X2119" s="2">
        <v>2016</v>
      </c>
      <c r="Y2119" s="2"/>
    </row>
    <row r="2120" spans="1:25" s="20" customFormat="1" ht="89.25" customHeight="1" outlineLevel="1" x14ac:dyDescent="0.25">
      <c r="A2120" s="1"/>
      <c r="B2120" s="2" t="s">
        <v>6597</v>
      </c>
      <c r="C2120" s="3" t="s">
        <v>83</v>
      </c>
      <c r="D2120" s="3" t="s">
        <v>4013</v>
      </c>
      <c r="E2120" s="3" t="s">
        <v>818</v>
      </c>
      <c r="F2120" s="3" t="s">
        <v>4014</v>
      </c>
      <c r="G2120" s="3" t="s">
        <v>4015</v>
      </c>
      <c r="H2120" s="2" t="s">
        <v>694</v>
      </c>
      <c r="I2120" s="4">
        <v>0</v>
      </c>
      <c r="J2120" s="5">
        <v>710000000</v>
      </c>
      <c r="K2120" s="3" t="s">
        <v>89</v>
      </c>
      <c r="L2120" s="2" t="s">
        <v>754</v>
      </c>
      <c r="M2120" s="3" t="s">
        <v>787</v>
      </c>
      <c r="N2120" s="7" t="s">
        <v>92</v>
      </c>
      <c r="O2120" s="7" t="s">
        <v>93</v>
      </c>
      <c r="P2120" s="3" t="s">
        <v>673</v>
      </c>
      <c r="Q2120" s="8">
        <v>796</v>
      </c>
      <c r="R2120" s="7" t="s">
        <v>118</v>
      </c>
      <c r="S2120" s="9">
        <f>10+3+1</f>
        <v>14</v>
      </c>
      <c r="T2120" s="9">
        <v>1621</v>
      </c>
      <c r="U2120" s="9">
        <f t="shared" si="1642"/>
        <v>22694</v>
      </c>
      <c r="V2120" s="9">
        <f t="shared" si="1643"/>
        <v>25417.280000000002</v>
      </c>
      <c r="W2120" s="3"/>
      <c r="X2120" s="2">
        <v>2016</v>
      </c>
      <c r="Y2120" s="3"/>
    </row>
    <row r="2121" spans="1:25" s="11" customFormat="1" ht="89.25" customHeight="1" outlineLevel="1" x14ac:dyDescent="0.25">
      <c r="A2121" s="1"/>
      <c r="B2121" s="2" t="s">
        <v>6598</v>
      </c>
      <c r="C2121" s="3" t="s">
        <v>83</v>
      </c>
      <c r="D2121" s="3" t="s">
        <v>4013</v>
      </c>
      <c r="E2121" s="3" t="s">
        <v>818</v>
      </c>
      <c r="F2121" s="3" t="s">
        <v>4014</v>
      </c>
      <c r="G2121" s="3" t="s">
        <v>4016</v>
      </c>
      <c r="H2121" s="2" t="s">
        <v>694</v>
      </c>
      <c r="I2121" s="4">
        <v>0</v>
      </c>
      <c r="J2121" s="5">
        <v>710000000</v>
      </c>
      <c r="K2121" s="3" t="s">
        <v>89</v>
      </c>
      <c r="L2121" s="2" t="s">
        <v>754</v>
      </c>
      <c r="M2121" s="3" t="s">
        <v>787</v>
      </c>
      <c r="N2121" s="7" t="s">
        <v>92</v>
      </c>
      <c r="O2121" s="7" t="s">
        <v>93</v>
      </c>
      <c r="P2121" s="3" t="s">
        <v>673</v>
      </c>
      <c r="Q2121" s="8">
        <v>796</v>
      </c>
      <c r="R2121" s="7" t="s">
        <v>118</v>
      </c>
      <c r="S2121" s="9">
        <f>3+20</f>
        <v>23</v>
      </c>
      <c r="T2121" s="9">
        <v>1621</v>
      </c>
      <c r="U2121" s="9">
        <f t="shared" si="1642"/>
        <v>37283</v>
      </c>
      <c r="V2121" s="9">
        <f t="shared" si="1643"/>
        <v>41756.960000000006</v>
      </c>
      <c r="W2121" s="3"/>
      <c r="X2121" s="2">
        <v>2016</v>
      </c>
      <c r="Y2121" s="3"/>
    </row>
    <row r="2122" spans="1:25" s="11" customFormat="1" ht="89.25" customHeight="1" outlineLevel="1" x14ac:dyDescent="0.25">
      <c r="A2122" s="1"/>
      <c r="B2122" s="2" t="s">
        <v>6599</v>
      </c>
      <c r="C2122" s="3" t="s">
        <v>83</v>
      </c>
      <c r="D2122" s="3" t="s">
        <v>4017</v>
      </c>
      <c r="E2122" s="3" t="s">
        <v>4018</v>
      </c>
      <c r="F2122" s="3" t="s">
        <v>4019</v>
      </c>
      <c r="G2122" s="19" t="s">
        <v>4020</v>
      </c>
      <c r="H2122" s="2" t="s">
        <v>694</v>
      </c>
      <c r="I2122" s="4">
        <v>0</v>
      </c>
      <c r="J2122" s="5">
        <v>710000000</v>
      </c>
      <c r="K2122" s="5" t="s">
        <v>89</v>
      </c>
      <c r="L2122" s="2" t="s">
        <v>754</v>
      </c>
      <c r="M2122" s="6" t="s">
        <v>787</v>
      </c>
      <c r="N2122" s="7" t="s">
        <v>92</v>
      </c>
      <c r="O2122" s="7" t="s">
        <v>93</v>
      </c>
      <c r="P2122" s="3" t="s">
        <v>673</v>
      </c>
      <c r="Q2122" s="8">
        <v>796</v>
      </c>
      <c r="R2122" s="7" t="s">
        <v>118</v>
      </c>
      <c r="S2122" s="9">
        <f>3+1</f>
        <v>4</v>
      </c>
      <c r="T2122" s="9">
        <v>701</v>
      </c>
      <c r="U2122" s="9">
        <f t="shared" si="1642"/>
        <v>2804</v>
      </c>
      <c r="V2122" s="9">
        <f t="shared" si="1643"/>
        <v>3140.4800000000005</v>
      </c>
      <c r="W2122" s="7"/>
      <c r="X2122" s="2">
        <v>2016</v>
      </c>
      <c r="Y2122" s="2"/>
    </row>
    <row r="2123" spans="1:25" s="11" customFormat="1" ht="89.25" customHeight="1" outlineLevel="1" x14ac:dyDescent="0.25">
      <c r="A2123" s="1"/>
      <c r="B2123" s="2" t="s">
        <v>6600</v>
      </c>
      <c r="C2123" s="3" t="s">
        <v>83</v>
      </c>
      <c r="D2123" s="3" t="s">
        <v>4021</v>
      </c>
      <c r="E2123" s="3" t="s">
        <v>4018</v>
      </c>
      <c r="F2123" s="3" t="s">
        <v>4022</v>
      </c>
      <c r="G2123" s="3" t="s">
        <v>4023</v>
      </c>
      <c r="H2123" s="2" t="s">
        <v>694</v>
      </c>
      <c r="I2123" s="4">
        <v>0</v>
      </c>
      <c r="J2123" s="5">
        <v>710000000</v>
      </c>
      <c r="K2123" s="3" t="s">
        <v>89</v>
      </c>
      <c r="L2123" s="2" t="s">
        <v>754</v>
      </c>
      <c r="M2123" s="3" t="s">
        <v>787</v>
      </c>
      <c r="N2123" s="7" t="s">
        <v>92</v>
      </c>
      <c r="O2123" s="7" t="s">
        <v>93</v>
      </c>
      <c r="P2123" s="3" t="s">
        <v>673</v>
      </c>
      <c r="Q2123" s="8">
        <v>796</v>
      </c>
      <c r="R2123" s="7" t="s">
        <v>118</v>
      </c>
      <c r="S2123" s="9">
        <f>20+15+3+3+2+2</f>
        <v>45</v>
      </c>
      <c r="T2123" s="9">
        <v>808.04</v>
      </c>
      <c r="U2123" s="9">
        <f t="shared" si="1642"/>
        <v>36361.799999999996</v>
      </c>
      <c r="V2123" s="9">
        <f t="shared" si="1643"/>
        <v>40725.216</v>
      </c>
      <c r="W2123" s="3"/>
      <c r="X2123" s="2">
        <v>2016</v>
      </c>
      <c r="Y2123" s="3"/>
    </row>
    <row r="2124" spans="1:25" s="11" customFormat="1" ht="89.25" customHeight="1" outlineLevel="1" x14ac:dyDescent="0.25">
      <c r="A2124" s="1"/>
      <c r="B2124" s="2" t="s">
        <v>6601</v>
      </c>
      <c r="C2124" s="3" t="s">
        <v>83</v>
      </c>
      <c r="D2124" s="3" t="s">
        <v>4024</v>
      </c>
      <c r="E2124" s="3" t="s">
        <v>4025</v>
      </c>
      <c r="F2124" s="3" t="s">
        <v>4026</v>
      </c>
      <c r="G2124" s="9" t="s">
        <v>4027</v>
      </c>
      <c r="H2124" s="2" t="s">
        <v>694</v>
      </c>
      <c r="I2124" s="4">
        <v>0</v>
      </c>
      <c r="J2124" s="5">
        <v>710000000</v>
      </c>
      <c r="K2124" s="5" t="s">
        <v>89</v>
      </c>
      <c r="L2124" s="2" t="s">
        <v>754</v>
      </c>
      <c r="M2124" s="6" t="s">
        <v>787</v>
      </c>
      <c r="N2124" s="7" t="s">
        <v>92</v>
      </c>
      <c r="O2124" s="7" t="s">
        <v>93</v>
      </c>
      <c r="P2124" s="3" t="s">
        <v>673</v>
      </c>
      <c r="Q2124" s="31">
        <v>796</v>
      </c>
      <c r="R2124" s="5" t="s">
        <v>118</v>
      </c>
      <c r="S2124" s="9">
        <f>8+7+10+30+1+2</f>
        <v>58</v>
      </c>
      <c r="T2124" s="9">
        <v>424</v>
      </c>
      <c r="U2124" s="9">
        <f t="shared" si="1642"/>
        <v>24592</v>
      </c>
      <c r="V2124" s="9">
        <f t="shared" si="1643"/>
        <v>27543.040000000001</v>
      </c>
      <c r="W2124" s="7"/>
      <c r="X2124" s="2">
        <v>2016</v>
      </c>
      <c r="Y2124" s="2"/>
    </row>
    <row r="2125" spans="1:25" s="20" customFormat="1" ht="89.25" customHeight="1" outlineLevel="1" x14ac:dyDescent="0.25">
      <c r="A2125" s="1"/>
      <c r="B2125" s="2" t="s">
        <v>6602</v>
      </c>
      <c r="C2125" s="3" t="s">
        <v>83</v>
      </c>
      <c r="D2125" s="3" t="s">
        <v>4028</v>
      </c>
      <c r="E2125" s="3" t="s">
        <v>4029</v>
      </c>
      <c r="F2125" s="3" t="s">
        <v>4030</v>
      </c>
      <c r="G2125" s="19"/>
      <c r="H2125" s="2" t="s">
        <v>694</v>
      </c>
      <c r="I2125" s="4">
        <v>0</v>
      </c>
      <c r="J2125" s="5">
        <v>710000000</v>
      </c>
      <c r="K2125" s="5" t="s">
        <v>89</v>
      </c>
      <c r="L2125" s="2" t="s">
        <v>754</v>
      </c>
      <c r="M2125" s="6" t="s">
        <v>787</v>
      </c>
      <c r="N2125" s="7" t="s">
        <v>92</v>
      </c>
      <c r="O2125" s="7" t="s">
        <v>93</v>
      </c>
      <c r="P2125" s="3" t="s">
        <v>673</v>
      </c>
      <c r="Q2125" s="8">
        <v>796</v>
      </c>
      <c r="R2125" s="7" t="s">
        <v>118</v>
      </c>
      <c r="S2125" s="9">
        <f>1+1+1+1</f>
        <v>4</v>
      </c>
      <c r="T2125" s="9">
        <v>1420</v>
      </c>
      <c r="U2125" s="9">
        <f t="shared" si="1642"/>
        <v>5680</v>
      </c>
      <c r="V2125" s="9">
        <f t="shared" si="1643"/>
        <v>6361.6</v>
      </c>
      <c r="W2125" s="7"/>
      <c r="X2125" s="2">
        <v>2016</v>
      </c>
      <c r="Y2125" s="2"/>
    </row>
    <row r="2126" spans="1:25" s="11" customFormat="1" ht="89.25" customHeight="1" outlineLevel="1" x14ac:dyDescent="0.25">
      <c r="A2126" s="1"/>
      <c r="B2126" s="2" t="s">
        <v>6603</v>
      </c>
      <c r="C2126" s="3" t="s">
        <v>83</v>
      </c>
      <c r="D2126" s="3" t="s">
        <v>4031</v>
      </c>
      <c r="E2126" s="3" t="s">
        <v>4032</v>
      </c>
      <c r="F2126" s="3" t="s">
        <v>4033</v>
      </c>
      <c r="G2126" s="19"/>
      <c r="H2126" s="2" t="s">
        <v>694</v>
      </c>
      <c r="I2126" s="4">
        <v>0</v>
      </c>
      <c r="J2126" s="5">
        <v>710000000</v>
      </c>
      <c r="K2126" s="5" t="s">
        <v>89</v>
      </c>
      <c r="L2126" s="2" t="s">
        <v>754</v>
      </c>
      <c r="M2126" s="6" t="s">
        <v>787</v>
      </c>
      <c r="N2126" s="7" t="s">
        <v>92</v>
      </c>
      <c r="O2126" s="7" t="s">
        <v>93</v>
      </c>
      <c r="P2126" s="3" t="s">
        <v>673</v>
      </c>
      <c r="Q2126" s="8">
        <v>796</v>
      </c>
      <c r="R2126" s="7" t="s">
        <v>118</v>
      </c>
      <c r="S2126" s="9">
        <f>2+2+1+1</f>
        <v>6</v>
      </c>
      <c r="T2126" s="9">
        <v>2723</v>
      </c>
      <c r="U2126" s="9">
        <f t="shared" si="1642"/>
        <v>16338</v>
      </c>
      <c r="V2126" s="9">
        <f t="shared" si="1643"/>
        <v>18298.560000000001</v>
      </c>
      <c r="W2126" s="7"/>
      <c r="X2126" s="2">
        <v>2016</v>
      </c>
      <c r="Y2126" s="2"/>
    </row>
    <row r="2127" spans="1:25" s="11" customFormat="1" ht="89.25" customHeight="1" outlineLevel="1" x14ac:dyDescent="0.25">
      <c r="A2127" s="1"/>
      <c r="B2127" s="2" t="s">
        <v>6604</v>
      </c>
      <c r="C2127" s="3" t="s">
        <v>83</v>
      </c>
      <c r="D2127" s="3" t="s">
        <v>4034</v>
      </c>
      <c r="E2127" s="3" t="s">
        <v>4032</v>
      </c>
      <c r="F2127" s="3" t="s">
        <v>4035</v>
      </c>
      <c r="G2127" s="19"/>
      <c r="H2127" s="2" t="s">
        <v>694</v>
      </c>
      <c r="I2127" s="4">
        <v>0</v>
      </c>
      <c r="J2127" s="5">
        <v>710000000</v>
      </c>
      <c r="K2127" s="5" t="s">
        <v>89</v>
      </c>
      <c r="L2127" s="2" t="s">
        <v>754</v>
      </c>
      <c r="M2127" s="6" t="s">
        <v>787</v>
      </c>
      <c r="N2127" s="7" t="s">
        <v>92</v>
      </c>
      <c r="O2127" s="7" t="s">
        <v>93</v>
      </c>
      <c r="P2127" s="3" t="s">
        <v>673</v>
      </c>
      <c r="Q2127" s="8">
        <v>796</v>
      </c>
      <c r="R2127" s="7" t="s">
        <v>118</v>
      </c>
      <c r="S2127" s="9">
        <v>3</v>
      </c>
      <c r="T2127" s="9">
        <v>1723</v>
      </c>
      <c r="U2127" s="9">
        <f t="shared" si="1642"/>
        <v>5169</v>
      </c>
      <c r="V2127" s="9">
        <f t="shared" si="1643"/>
        <v>5789.2800000000007</v>
      </c>
      <c r="W2127" s="7"/>
      <c r="X2127" s="2">
        <v>2016</v>
      </c>
      <c r="Y2127" s="2"/>
    </row>
    <row r="2128" spans="1:25" s="11" customFormat="1" ht="89.25" customHeight="1" outlineLevel="1" x14ac:dyDescent="0.25">
      <c r="A2128" s="1"/>
      <c r="B2128" s="2" t="s">
        <v>6605</v>
      </c>
      <c r="C2128" s="3" t="s">
        <v>83</v>
      </c>
      <c r="D2128" s="3" t="s">
        <v>4036</v>
      </c>
      <c r="E2128" s="3" t="s">
        <v>4037</v>
      </c>
      <c r="F2128" s="3" t="s">
        <v>4038</v>
      </c>
      <c r="G2128" s="19" t="s">
        <v>4039</v>
      </c>
      <c r="H2128" s="2" t="s">
        <v>694</v>
      </c>
      <c r="I2128" s="4">
        <v>0</v>
      </c>
      <c r="J2128" s="5">
        <v>710000000</v>
      </c>
      <c r="K2128" s="5" t="s">
        <v>89</v>
      </c>
      <c r="L2128" s="2" t="s">
        <v>754</v>
      </c>
      <c r="M2128" s="6" t="s">
        <v>787</v>
      </c>
      <c r="N2128" s="7" t="s">
        <v>92</v>
      </c>
      <c r="O2128" s="7" t="s">
        <v>93</v>
      </c>
      <c r="P2128" s="3" t="s">
        <v>673</v>
      </c>
      <c r="Q2128" s="8">
        <v>796</v>
      </c>
      <c r="R2128" s="7" t="s">
        <v>118</v>
      </c>
      <c r="S2128" s="9">
        <f>1+7</f>
        <v>8</v>
      </c>
      <c r="T2128" s="9">
        <v>4063</v>
      </c>
      <c r="U2128" s="9">
        <f t="shared" si="1642"/>
        <v>32504</v>
      </c>
      <c r="V2128" s="9">
        <f t="shared" si="1643"/>
        <v>36404.480000000003</v>
      </c>
      <c r="W2128" s="7"/>
      <c r="X2128" s="2">
        <v>2016</v>
      </c>
      <c r="Y2128" s="2"/>
    </row>
    <row r="2129" spans="1:25" s="11" customFormat="1" ht="89.25" customHeight="1" outlineLevel="1" x14ac:dyDescent="0.25">
      <c r="A2129" s="1"/>
      <c r="B2129" s="2" t="s">
        <v>6606</v>
      </c>
      <c r="C2129" s="3" t="s">
        <v>83</v>
      </c>
      <c r="D2129" s="3" t="s">
        <v>4040</v>
      </c>
      <c r="E2129" s="3" t="s">
        <v>4041</v>
      </c>
      <c r="F2129" s="3" t="s">
        <v>4042</v>
      </c>
      <c r="G2129" s="19" t="s">
        <v>4043</v>
      </c>
      <c r="H2129" s="2" t="s">
        <v>694</v>
      </c>
      <c r="I2129" s="4">
        <v>0</v>
      </c>
      <c r="J2129" s="5">
        <v>710000000</v>
      </c>
      <c r="K2129" s="5" t="s">
        <v>89</v>
      </c>
      <c r="L2129" s="2" t="s">
        <v>754</v>
      </c>
      <c r="M2129" s="6" t="s">
        <v>787</v>
      </c>
      <c r="N2129" s="7" t="s">
        <v>92</v>
      </c>
      <c r="O2129" s="7" t="s">
        <v>93</v>
      </c>
      <c r="P2129" s="3" t="s">
        <v>673</v>
      </c>
      <c r="Q2129" s="8">
        <v>796</v>
      </c>
      <c r="R2129" s="7" t="s">
        <v>118</v>
      </c>
      <c r="S2129" s="9">
        <f>6+2</f>
        <v>8</v>
      </c>
      <c r="T2129" s="9">
        <v>518</v>
      </c>
      <c r="U2129" s="9">
        <f t="shared" si="1642"/>
        <v>4144</v>
      </c>
      <c r="V2129" s="9">
        <f t="shared" si="1643"/>
        <v>4641.2800000000007</v>
      </c>
      <c r="W2129" s="7"/>
      <c r="X2129" s="2">
        <v>2016</v>
      </c>
      <c r="Y2129" s="2"/>
    </row>
    <row r="2130" spans="1:25" s="11" customFormat="1" ht="89.25" customHeight="1" outlineLevel="1" x14ac:dyDescent="0.25">
      <c r="A2130" s="1"/>
      <c r="B2130" s="2" t="s">
        <v>6607</v>
      </c>
      <c r="C2130" s="3" t="s">
        <v>83</v>
      </c>
      <c r="D2130" s="3" t="s">
        <v>3334</v>
      </c>
      <c r="E2130" s="3" t="s">
        <v>3335</v>
      </c>
      <c r="F2130" s="3" t="s">
        <v>3336</v>
      </c>
      <c r="G2130" s="19" t="s">
        <v>3445</v>
      </c>
      <c r="H2130" s="2" t="s">
        <v>694</v>
      </c>
      <c r="I2130" s="4">
        <v>0</v>
      </c>
      <c r="J2130" s="5">
        <v>710000000</v>
      </c>
      <c r="K2130" s="5" t="s">
        <v>89</v>
      </c>
      <c r="L2130" s="2" t="s">
        <v>754</v>
      </c>
      <c r="M2130" s="6" t="s">
        <v>787</v>
      </c>
      <c r="N2130" s="7" t="s">
        <v>92</v>
      </c>
      <c r="O2130" s="7" t="s">
        <v>93</v>
      </c>
      <c r="P2130" s="3" t="s">
        <v>673</v>
      </c>
      <c r="Q2130" s="8" t="s">
        <v>3085</v>
      </c>
      <c r="R2130" s="7" t="s">
        <v>3086</v>
      </c>
      <c r="S2130" s="9">
        <v>3</v>
      </c>
      <c r="T2130" s="9">
        <v>768</v>
      </c>
      <c r="U2130" s="9">
        <f t="shared" si="1642"/>
        <v>2304</v>
      </c>
      <c r="V2130" s="9">
        <f t="shared" si="1643"/>
        <v>2580.4800000000005</v>
      </c>
      <c r="W2130" s="7"/>
      <c r="X2130" s="2">
        <v>2016</v>
      </c>
      <c r="Y2130" s="2"/>
    </row>
    <row r="2131" spans="1:25" s="11" customFormat="1" ht="89.25" customHeight="1" outlineLevel="1" x14ac:dyDescent="0.25">
      <c r="A2131" s="1"/>
      <c r="B2131" s="2" t="s">
        <v>6608</v>
      </c>
      <c r="C2131" s="3" t="s">
        <v>83</v>
      </c>
      <c r="D2131" s="3" t="s">
        <v>4044</v>
      </c>
      <c r="E2131" s="3" t="s">
        <v>4045</v>
      </c>
      <c r="F2131" s="3" t="s">
        <v>4046</v>
      </c>
      <c r="G2131" s="19"/>
      <c r="H2131" s="2" t="s">
        <v>694</v>
      </c>
      <c r="I2131" s="4">
        <v>0</v>
      </c>
      <c r="J2131" s="5">
        <v>710000000</v>
      </c>
      <c r="K2131" s="5" t="s">
        <v>89</v>
      </c>
      <c r="L2131" s="2" t="s">
        <v>754</v>
      </c>
      <c r="M2131" s="6" t="s">
        <v>787</v>
      </c>
      <c r="N2131" s="7" t="s">
        <v>92</v>
      </c>
      <c r="O2131" s="7" t="s">
        <v>93</v>
      </c>
      <c r="P2131" s="3" t="s">
        <v>673</v>
      </c>
      <c r="Q2131" s="8">
        <v>796</v>
      </c>
      <c r="R2131" s="7" t="s">
        <v>118</v>
      </c>
      <c r="S2131" s="9">
        <f>12+12+2+1+4</f>
        <v>31</v>
      </c>
      <c r="T2131" s="9">
        <v>1978</v>
      </c>
      <c r="U2131" s="9">
        <f t="shared" si="1642"/>
        <v>61318</v>
      </c>
      <c r="V2131" s="9">
        <f t="shared" si="1643"/>
        <v>68676.160000000003</v>
      </c>
      <c r="W2131" s="7"/>
      <c r="X2131" s="2">
        <v>2016</v>
      </c>
      <c r="Y2131" s="2"/>
    </row>
    <row r="2132" spans="1:25" s="11" customFormat="1" ht="89.25" customHeight="1" outlineLevel="1" x14ac:dyDescent="0.25">
      <c r="A2132" s="1"/>
      <c r="B2132" s="2" t="s">
        <v>6609</v>
      </c>
      <c r="C2132" s="3" t="s">
        <v>83</v>
      </c>
      <c r="D2132" s="3" t="s">
        <v>4047</v>
      </c>
      <c r="E2132" s="3" t="s">
        <v>1291</v>
      </c>
      <c r="F2132" s="3" t="s">
        <v>4048</v>
      </c>
      <c r="G2132" s="19" t="s">
        <v>4049</v>
      </c>
      <c r="H2132" s="2" t="s">
        <v>694</v>
      </c>
      <c r="I2132" s="4">
        <v>0</v>
      </c>
      <c r="J2132" s="5">
        <v>710000000</v>
      </c>
      <c r="K2132" s="5" t="s">
        <v>89</v>
      </c>
      <c r="L2132" s="2" t="s">
        <v>754</v>
      </c>
      <c r="M2132" s="6" t="s">
        <v>787</v>
      </c>
      <c r="N2132" s="7" t="s">
        <v>92</v>
      </c>
      <c r="O2132" s="7" t="s">
        <v>93</v>
      </c>
      <c r="P2132" s="3" t="s">
        <v>673</v>
      </c>
      <c r="Q2132" s="8" t="s">
        <v>2439</v>
      </c>
      <c r="R2132" s="7" t="s">
        <v>2440</v>
      </c>
      <c r="S2132" s="9">
        <v>1</v>
      </c>
      <c r="T2132" s="9">
        <v>24514</v>
      </c>
      <c r="U2132" s="9">
        <f t="shared" si="1642"/>
        <v>24514</v>
      </c>
      <c r="V2132" s="9">
        <f t="shared" si="1643"/>
        <v>27455.680000000004</v>
      </c>
      <c r="W2132" s="7"/>
      <c r="X2132" s="2">
        <v>2016</v>
      </c>
      <c r="Y2132" s="2"/>
    </row>
    <row r="2133" spans="1:25" s="11" customFormat="1" ht="89.25" customHeight="1" outlineLevel="1" x14ac:dyDescent="0.25">
      <c r="A2133" s="1"/>
      <c r="B2133" s="2" t="s">
        <v>6610</v>
      </c>
      <c r="C2133" s="3" t="s">
        <v>83</v>
      </c>
      <c r="D2133" s="3" t="s">
        <v>4050</v>
      </c>
      <c r="E2133" s="3" t="s">
        <v>858</v>
      </c>
      <c r="F2133" s="3" t="s">
        <v>1382</v>
      </c>
      <c r="G2133" s="19" t="s">
        <v>4051</v>
      </c>
      <c r="H2133" s="2" t="s">
        <v>694</v>
      </c>
      <c r="I2133" s="4">
        <v>0</v>
      </c>
      <c r="J2133" s="5">
        <v>710000000</v>
      </c>
      <c r="K2133" s="5" t="s">
        <v>89</v>
      </c>
      <c r="L2133" s="2" t="s">
        <v>754</v>
      </c>
      <c r="M2133" s="6" t="s">
        <v>787</v>
      </c>
      <c r="N2133" s="7" t="s">
        <v>92</v>
      </c>
      <c r="O2133" s="7" t="s">
        <v>93</v>
      </c>
      <c r="P2133" s="3" t="s">
        <v>673</v>
      </c>
      <c r="Q2133" s="8">
        <v>796</v>
      </c>
      <c r="R2133" s="7" t="s">
        <v>118</v>
      </c>
      <c r="S2133" s="9">
        <f>5+2</f>
        <v>7</v>
      </c>
      <c r="T2133" s="9">
        <v>223.21</v>
      </c>
      <c r="U2133" s="9">
        <f t="shared" si="1642"/>
        <v>1562.47</v>
      </c>
      <c r="V2133" s="9">
        <f t="shared" si="1643"/>
        <v>1749.9664000000002</v>
      </c>
      <c r="W2133" s="7"/>
      <c r="X2133" s="2">
        <v>2016</v>
      </c>
      <c r="Y2133" s="2"/>
    </row>
    <row r="2134" spans="1:25" s="11" customFormat="1" ht="89.25" customHeight="1" outlineLevel="1" x14ac:dyDescent="0.25">
      <c r="A2134" s="1"/>
      <c r="B2134" s="2" t="s">
        <v>6611</v>
      </c>
      <c r="C2134" s="3" t="s">
        <v>83</v>
      </c>
      <c r="D2134" s="3" t="s">
        <v>4052</v>
      </c>
      <c r="E2134" s="3" t="s">
        <v>4053</v>
      </c>
      <c r="F2134" s="3" t="s">
        <v>4054</v>
      </c>
      <c r="G2134" s="19" t="s">
        <v>4055</v>
      </c>
      <c r="H2134" s="2" t="s">
        <v>694</v>
      </c>
      <c r="I2134" s="4">
        <v>0</v>
      </c>
      <c r="J2134" s="5">
        <v>710000000</v>
      </c>
      <c r="K2134" s="5" t="s">
        <v>89</v>
      </c>
      <c r="L2134" s="2" t="s">
        <v>754</v>
      </c>
      <c r="M2134" s="6" t="s">
        <v>787</v>
      </c>
      <c r="N2134" s="7" t="s">
        <v>92</v>
      </c>
      <c r="O2134" s="7" t="s">
        <v>93</v>
      </c>
      <c r="P2134" s="3" t="s">
        <v>673</v>
      </c>
      <c r="Q2134" s="8">
        <v>796</v>
      </c>
      <c r="R2134" s="7" t="s">
        <v>118</v>
      </c>
      <c r="S2134" s="9">
        <v>1</v>
      </c>
      <c r="T2134" s="9">
        <v>5357.14</v>
      </c>
      <c r="U2134" s="9">
        <f t="shared" si="1642"/>
        <v>5357.14</v>
      </c>
      <c r="V2134" s="9">
        <f t="shared" si="1643"/>
        <v>5999.9968000000008</v>
      </c>
      <c r="W2134" s="7"/>
      <c r="X2134" s="2">
        <v>2016</v>
      </c>
      <c r="Y2134" s="2"/>
    </row>
    <row r="2135" spans="1:25" s="11" customFormat="1" ht="89.25" customHeight="1" outlineLevel="1" x14ac:dyDescent="0.25">
      <c r="A2135" s="1"/>
      <c r="B2135" s="2" t="s">
        <v>6612</v>
      </c>
      <c r="C2135" s="3" t="s">
        <v>83</v>
      </c>
      <c r="D2135" s="3" t="s">
        <v>4056</v>
      </c>
      <c r="E2135" s="3" t="s">
        <v>980</v>
      </c>
      <c r="F2135" s="3" t="s">
        <v>4057</v>
      </c>
      <c r="G2135" s="19"/>
      <c r="H2135" s="2" t="s">
        <v>694</v>
      </c>
      <c r="I2135" s="4">
        <v>0</v>
      </c>
      <c r="J2135" s="5">
        <v>710000000</v>
      </c>
      <c r="K2135" s="5" t="s">
        <v>89</v>
      </c>
      <c r="L2135" s="2" t="s">
        <v>754</v>
      </c>
      <c r="M2135" s="6" t="s">
        <v>787</v>
      </c>
      <c r="N2135" s="7" t="s">
        <v>92</v>
      </c>
      <c r="O2135" s="7" t="s">
        <v>93</v>
      </c>
      <c r="P2135" s="3" t="s">
        <v>673</v>
      </c>
      <c r="Q2135" s="8">
        <v>796</v>
      </c>
      <c r="R2135" s="7" t="s">
        <v>118</v>
      </c>
      <c r="S2135" s="9">
        <f>85+8+4</f>
        <v>97</v>
      </c>
      <c r="T2135" s="9">
        <v>1500.89</v>
      </c>
      <c r="U2135" s="9">
        <f t="shared" ref="U2135:U2201" si="1644">T2135*S2135</f>
        <v>145586.33000000002</v>
      </c>
      <c r="V2135" s="9">
        <f t="shared" si="1643"/>
        <v>163056.68960000004</v>
      </c>
      <c r="W2135" s="7"/>
      <c r="X2135" s="2">
        <v>2016</v>
      </c>
      <c r="Y2135" s="2"/>
    </row>
    <row r="2136" spans="1:25" s="11" customFormat="1" ht="89.25" customHeight="1" outlineLevel="1" x14ac:dyDescent="0.25">
      <c r="A2136" s="1"/>
      <c r="B2136" s="2" t="s">
        <v>6613</v>
      </c>
      <c r="C2136" s="3" t="s">
        <v>83</v>
      </c>
      <c r="D2136" s="3" t="s">
        <v>4058</v>
      </c>
      <c r="E2136" s="3" t="s">
        <v>980</v>
      </c>
      <c r="F2136" s="3" t="s">
        <v>4059</v>
      </c>
      <c r="G2136" s="19"/>
      <c r="H2136" s="2" t="s">
        <v>694</v>
      </c>
      <c r="I2136" s="4">
        <v>0</v>
      </c>
      <c r="J2136" s="5">
        <v>710000000</v>
      </c>
      <c r="K2136" s="5" t="s">
        <v>89</v>
      </c>
      <c r="L2136" s="2" t="s">
        <v>754</v>
      </c>
      <c r="M2136" s="6" t="s">
        <v>787</v>
      </c>
      <c r="N2136" s="7" t="s">
        <v>92</v>
      </c>
      <c r="O2136" s="7" t="s">
        <v>93</v>
      </c>
      <c r="P2136" s="3" t="s">
        <v>673</v>
      </c>
      <c r="Q2136" s="8">
        <v>796</v>
      </c>
      <c r="R2136" s="7" t="s">
        <v>118</v>
      </c>
      <c r="S2136" s="9">
        <v>6</v>
      </c>
      <c r="T2136" s="9">
        <v>1339.29</v>
      </c>
      <c r="U2136" s="9">
        <f t="shared" si="1644"/>
        <v>8035.74</v>
      </c>
      <c r="V2136" s="9">
        <f t="shared" si="1643"/>
        <v>9000.0288</v>
      </c>
      <c r="W2136" s="7"/>
      <c r="X2136" s="2">
        <v>2016</v>
      </c>
      <c r="Y2136" s="2"/>
    </row>
    <row r="2137" spans="1:25" s="11" customFormat="1" ht="89.25" customHeight="1" outlineLevel="1" x14ac:dyDescent="0.25">
      <c r="A2137" s="1"/>
      <c r="B2137" s="2" t="s">
        <v>6614</v>
      </c>
      <c r="C2137" s="3" t="s">
        <v>83</v>
      </c>
      <c r="D2137" s="3" t="s">
        <v>3877</v>
      </c>
      <c r="E2137" s="3" t="s">
        <v>3874</v>
      </c>
      <c r="F2137" s="3" t="s">
        <v>3878</v>
      </c>
      <c r="G2137" s="19" t="s">
        <v>4060</v>
      </c>
      <c r="H2137" s="2" t="s">
        <v>694</v>
      </c>
      <c r="I2137" s="4">
        <v>0</v>
      </c>
      <c r="J2137" s="5">
        <v>710000000</v>
      </c>
      <c r="K2137" s="5" t="s">
        <v>89</v>
      </c>
      <c r="L2137" s="2" t="s">
        <v>754</v>
      </c>
      <c r="M2137" s="6" t="s">
        <v>682</v>
      </c>
      <c r="N2137" s="7" t="s">
        <v>92</v>
      </c>
      <c r="O2137" s="7" t="s">
        <v>93</v>
      </c>
      <c r="P2137" s="3" t="s">
        <v>673</v>
      </c>
      <c r="Q2137" s="8" t="s">
        <v>3876</v>
      </c>
      <c r="R2137" s="7" t="s">
        <v>2605</v>
      </c>
      <c r="S2137" s="9">
        <v>1</v>
      </c>
      <c r="T2137" s="9">
        <v>2246</v>
      </c>
      <c r="U2137" s="9">
        <f t="shared" si="1644"/>
        <v>2246</v>
      </c>
      <c r="V2137" s="9">
        <f t="shared" si="1643"/>
        <v>2515.5200000000004</v>
      </c>
      <c r="W2137" s="7"/>
      <c r="X2137" s="2">
        <v>2016</v>
      </c>
      <c r="Y2137" s="2"/>
    </row>
    <row r="2138" spans="1:25" s="11" customFormat="1" ht="89.25" customHeight="1" outlineLevel="1" x14ac:dyDescent="0.25">
      <c r="A2138" s="1"/>
      <c r="B2138" s="2" t="s">
        <v>6615</v>
      </c>
      <c r="C2138" s="3" t="s">
        <v>83</v>
      </c>
      <c r="D2138" s="3" t="s">
        <v>3898</v>
      </c>
      <c r="E2138" s="3" t="s">
        <v>3895</v>
      </c>
      <c r="F2138" s="3" t="s">
        <v>3899</v>
      </c>
      <c r="G2138" s="19" t="s">
        <v>3897</v>
      </c>
      <c r="H2138" s="2" t="s">
        <v>694</v>
      </c>
      <c r="I2138" s="4">
        <v>0</v>
      </c>
      <c r="J2138" s="5">
        <v>710000000</v>
      </c>
      <c r="K2138" s="5" t="s">
        <v>89</v>
      </c>
      <c r="L2138" s="2" t="s">
        <v>754</v>
      </c>
      <c r="M2138" s="6" t="s">
        <v>682</v>
      </c>
      <c r="N2138" s="7" t="s">
        <v>92</v>
      </c>
      <c r="O2138" s="7" t="s">
        <v>93</v>
      </c>
      <c r="P2138" s="3" t="s">
        <v>673</v>
      </c>
      <c r="Q2138" s="8" t="s">
        <v>3876</v>
      </c>
      <c r="R2138" s="7" t="s">
        <v>2605</v>
      </c>
      <c r="S2138" s="9">
        <v>1</v>
      </c>
      <c r="T2138" s="9">
        <v>1467</v>
      </c>
      <c r="U2138" s="9">
        <f t="shared" si="1644"/>
        <v>1467</v>
      </c>
      <c r="V2138" s="9">
        <f t="shared" si="1643"/>
        <v>1643.0400000000002</v>
      </c>
      <c r="W2138" s="7"/>
      <c r="X2138" s="2">
        <v>2016</v>
      </c>
      <c r="Y2138" s="2"/>
    </row>
    <row r="2139" spans="1:25" s="11" customFormat="1" ht="89.25" customHeight="1" outlineLevel="1" x14ac:dyDescent="0.25">
      <c r="A2139" s="1"/>
      <c r="B2139" s="2" t="s">
        <v>6616</v>
      </c>
      <c r="C2139" s="3" t="s">
        <v>83</v>
      </c>
      <c r="D2139" s="3" t="s">
        <v>3898</v>
      </c>
      <c r="E2139" s="3" t="s">
        <v>3895</v>
      </c>
      <c r="F2139" s="3" t="s">
        <v>3899</v>
      </c>
      <c r="G2139" s="19" t="s">
        <v>3900</v>
      </c>
      <c r="H2139" s="2" t="s">
        <v>694</v>
      </c>
      <c r="I2139" s="4">
        <v>0</v>
      </c>
      <c r="J2139" s="5">
        <v>710000000</v>
      </c>
      <c r="K2139" s="5" t="s">
        <v>89</v>
      </c>
      <c r="L2139" s="2" t="s">
        <v>754</v>
      </c>
      <c r="M2139" s="6" t="s">
        <v>682</v>
      </c>
      <c r="N2139" s="7" t="s">
        <v>92</v>
      </c>
      <c r="O2139" s="7" t="s">
        <v>93</v>
      </c>
      <c r="P2139" s="3" t="s">
        <v>673</v>
      </c>
      <c r="Q2139" s="8" t="s">
        <v>3876</v>
      </c>
      <c r="R2139" s="7" t="s">
        <v>2605</v>
      </c>
      <c r="S2139" s="9">
        <v>1</v>
      </c>
      <c r="T2139" s="9">
        <v>1281</v>
      </c>
      <c r="U2139" s="9">
        <f t="shared" si="1644"/>
        <v>1281</v>
      </c>
      <c r="V2139" s="9">
        <f t="shared" si="1643"/>
        <v>1434.72</v>
      </c>
      <c r="W2139" s="7"/>
      <c r="X2139" s="2">
        <v>2016</v>
      </c>
      <c r="Y2139" s="2"/>
    </row>
    <row r="2140" spans="1:25" s="11" customFormat="1" ht="89.25" customHeight="1" outlineLevel="1" x14ac:dyDescent="0.25">
      <c r="A2140" s="1"/>
      <c r="B2140" s="2" t="s">
        <v>6617</v>
      </c>
      <c r="C2140" s="3" t="s">
        <v>83</v>
      </c>
      <c r="D2140" s="3" t="s">
        <v>4061</v>
      </c>
      <c r="E2140" s="3" t="s">
        <v>4062</v>
      </c>
      <c r="F2140" s="3" t="s">
        <v>4063</v>
      </c>
      <c r="G2140" s="19" t="s">
        <v>4064</v>
      </c>
      <c r="H2140" s="2" t="s">
        <v>694</v>
      </c>
      <c r="I2140" s="4">
        <v>0</v>
      </c>
      <c r="J2140" s="5">
        <v>710000000</v>
      </c>
      <c r="K2140" s="3" t="s">
        <v>89</v>
      </c>
      <c r="L2140" s="2" t="s">
        <v>754</v>
      </c>
      <c r="M2140" s="6" t="s">
        <v>682</v>
      </c>
      <c r="N2140" s="7" t="s">
        <v>92</v>
      </c>
      <c r="O2140" s="7" t="s">
        <v>93</v>
      </c>
      <c r="P2140" s="3" t="s">
        <v>673</v>
      </c>
      <c r="Q2140" s="8" t="s">
        <v>3876</v>
      </c>
      <c r="R2140" s="7" t="s">
        <v>2605</v>
      </c>
      <c r="S2140" s="9">
        <v>5</v>
      </c>
      <c r="T2140" s="9">
        <v>2462.5</v>
      </c>
      <c r="U2140" s="9">
        <f t="shared" si="1644"/>
        <v>12312.5</v>
      </c>
      <c r="V2140" s="9">
        <f t="shared" si="1643"/>
        <v>13790.000000000002</v>
      </c>
      <c r="W2140" s="3"/>
      <c r="X2140" s="2">
        <v>2016</v>
      </c>
      <c r="Y2140" s="3"/>
    </row>
    <row r="2141" spans="1:25" s="11" customFormat="1" ht="89.25" customHeight="1" outlineLevel="1" x14ac:dyDescent="0.25">
      <c r="A2141" s="1"/>
      <c r="B2141" s="2" t="s">
        <v>6618</v>
      </c>
      <c r="C2141" s="3" t="s">
        <v>83</v>
      </c>
      <c r="D2141" s="3" t="s">
        <v>4065</v>
      </c>
      <c r="E2141" s="3" t="s">
        <v>3895</v>
      </c>
      <c r="F2141" s="3" t="s">
        <v>3896</v>
      </c>
      <c r="G2141" s="3" t="s">
        <v>4066</v>
      </c>
      <c r="H2141" s="2" t="s">
        <v>694</v>
      </c>
      <c r="I2141" s="4">
        <v>0</v>
      </c>
      <c r="J2141" s="5">
        <v>710000000</v>
      </c>
      <c r="K2141" s="3" t="s">
        <v>89</v>
      </c>
      <c r="L2141" s="2" t="s">
        <v>754</v>
      </c>
      <c r="M2141" s="6" t="s">
        <v>682</v>
      </c>
      <c r="N2141" s="7" t="s">
        <v>92</v>
      </c>
      <c r="O2141" s="7" t="s">
        <v>93</v>
      </c>
      <c r="P2141" s="3" t="s">
        <v>673</v>
      </c>
      <c r="Q2141" s="8">
        <v>796</v>
      </c>
      <c r="R2141" s="7" t="s">
        <v>118</v>
      </c>
      <c r="S2141" s="9">
        <v>1</v>
      </c>
      <c r="T2141" s="9">
        <v>944.61</v>
      </c>
      <c r="U2141" s="9">
        <f t="shared" si="1644"/>
        <v>944.61</v>
      </c>
      <c r="V2141" s="9">
        <f t="shared" si="1643"/>
        <v>1057.9632000000001</v>
      </c>
      <c r="W2141" s="3"/>
      <c r="X2141" s="2">
        <v>2016</v>
      </c>
      <c r="Y2141" s="3"/>
    </row>
    <row r="2142" spans="1:25" s="11" customFormat="1" ht="89.25" customHeight="1" outlineLevel="1" x14ac:dyDescent="0.25">
      <c r="A2142" s="1"/>
      <c r="B2142" s="2" t="s">
        <v>6619</v>
      </c>
      <c r="C2142" s="3" t="s">
        <v>83</v>
      </c>
      <c r="D2142" s="3" t="s">
        <v>3917</v>
      </c>
      <c r="E2142" s="3" t="s">
        <v>3915</v>
      </c>
      <c r="F2142" s="3" t="s">
        <v>3918</v>
      </c>
      <c r="G2142" s="19"/>
      <c r="H2142" s="2" t="s">
        <v>694</v>
      </c>
      <c r="I2142" s="4">
        <v>0</v>
      </c>
      <c r="J2142" s="5">
        <v>710000000</v>
      </c>
      <c r="K2142" s="5" t="s">
        <v>89</v>
      </c>
      <c r="L2142" s="2" t="s">
        <v>754</v>
      </c>
      <c r="M2142" s="6" t="s">
        <v>682</v>
      </c>
      <c r="N2142" s="7" t="s">
        <v>92</v>
      </c>
      <c r="O2142" s="7" t="s">
        <v>93</v>
      </c>
      <c r="P2142" s="3" t="s">
        <v>673</v>
      </c>
      <c r="Q2142" s="31">
        <v>796</v>
      </c>
      <c r="R2142" s="5" t="s">
        <v>118</v>
      </c>
      <c r="S2142" s="9">
        <v>1</v>
      </c>
      <c r="T2142" s="9">
        <v>4574</v>
      </c>
      <c r="U2142" s="9">
        <f t="shared" si="1644"/>
        <v>4574</v>
      </c>
      <c r="V2142" s="9">
        <f t="shared" si="1643"/>
        <v>5122.88</v>
      </c>
      <c r="W2142" s="7"/>
      <c r="X2142" s="2">
        <v>2016</v>
      </c>
      <c r="Y2142" s="2"/>
    </row>
    <row r="2143" spans="1:25" s="20" customFormat="1" ht="89.25" customHeight="1" outlineLevel="1" x14ac:dyDescent="0.25">
      <c r="A2143" s="1"/>
      <c r="B2143" s="2" t="s">
        <v>6620</v>
      </c>
      <c r="C2143" s="3" t="s">
        <v>83</v>
      </c>
      <c r="D2143" s="3" t="s">
        <v>3919</v>
      </c>
      <c r="E2143" s="3" t="s">
        <v>3920</v>
      </c>
      <c r="F2143" s="3" t="s">
        <v>3921</v>
      </c>
      <c r="G2143" s="19" t="s">
        <v>3922</v>
      </c>
      <c r="H2143" s="2" t="s">
        <v>694</v>
      </c>
      <c r="I2143" s="4">
        <v>0</v>
      </c>
      <c r="J2143" s="5">
        <v>710000000</v>
      </c>
      <c r="K2143" s="5" t="s">
        <v>89</v>
      </c>
      <c r="L2143" s="2" t="s">
        <v>754</v>
      </c>
      <c r="M2143" s="6" t="s">
        <v>682</v>
      </c>
      <c r="N2143" s="7" t="s">
        <v>92</v>
      </c>
      <c r="O2143" s="7" t="s">
        <v>93</v>
      </c>
      <c r="P2143" s="3" t="s">
        <v>673</v>
      </c>
      <c r="Q2143" s="8">
        <v>796</v>
      </c>
      <c r="R2143" s="7" t="s">
        <v>118</v>
      </c>
      <c r="S2143" s="9">
        <v>1</v>
      </c>
      <c r="T2143" s="9">
        <v>1902</v>
      </c>
      <c r="U2143" s="9">
        <f t="shared" si="1644"/>
        <v>1902</v>
      </c>
      <c r="V2143" s="9">
        <f t="shared" si="1643"/>
        <v>2130.2400000000002</v>
      </c>
      <c r="W2143" s="7"/>
      <c r="X2143" s="2">
        <v>2016</v>
      </c>
      <c r="Y2143" s="2"/>
    </row>
    <row r="2144" spans="1:25" s="11" customFormat="1" ht="89.25" customHeight="1" outlineLevel="1" x14ac:dyDescent="0.25">
      <c r="A2144" s="1"/>
      <c r="B2144" s="2" t="s">
        <v>6621</v>
      </c>
      <c r="C2144" s="3" t="s">
        <v>83</v>
      </c>
      <c r="D2144" s="3" t="s">
        <v>4024</v>
      </c>
      <c r="E2144" s="3" t="s">
        <v>4025</v>
      </c>
      <c r="F2144" s="3" t="s">
        <v>4026</v>
      </c>
      <c r="G2144" s="9"/>
      <c r="H2144" s="2" t="s">
        <v>694</v>
      </c>
      <c r="I2144" s="4">
        <v>0</v>
      </c>
      <c r="J2144" s="5">
        <v>710000000</v>
      </c>
      <c r="K2144" s="5" t="s">
        <v>89</v>
      </c>
      <c r="L2144" s="2" t="s">
        <v>754</v>
      </c>
      <c r="M2144" s="6" t="s">
        <v>682</v>
      </c>
      <c r="N2144" s="7" t="s">
        <v>92</v>
      </c>
      <c r="O2144" s="7" t="s">
        <v>93</v>
      </c>
      <c r="P2144" s="3" t="s">
        <v>673</v>
      </c>
      <c r="Q2144" s="31">
        <v>796</v>
      </c>
      <c r="R2144" s="5" t="s">
        <v>118</v>
      </c>
      <c r="S2144" s="9">
        <v>1</v>
      </c>
      <c r="T2144" s="9">
        <v>424</v>
      </c>
      <c r="U2144" s="9">
        <f t="shared" si="1644"/>
        <v>424</v>
      </c>
      <c r="V2144" s="9">
        <f t="shared" si="1643"/>
        <v>474.88000000000005</v>
      </c>
      <c r="W2144" s="7"/>
      <c r="X2144" s="2">
        <v>2016</v>
      </c>
      <c r="Y2144" s="2"/>
    </row>
    <row r="2145" spans="1:25" s="11" customFormat="1" ht="89.25" customHeight="1" outlineLevel="1" x14ac:dyDescent="0.25">
      <c r="A2145" s="1"/>
      <c r="B2145" s="2" t="s">
        <v>6622</v>
      </c>
      <c r="C2145" s="3" t="s">
        <v>83</v>
      </c>
      <c r="D2145" s="3" t="s">
        <v>4013</v>
      </c>
      <c r="E2145" s="3" t="s">
        <v>818</v>
      </c>
      <c r="F2145" s="3" t="s">
        <v>4014</v>
      </c>
      <c r="G2145" s="3"/>
      <c r="H2145" s="2" t="s">
        <v>694</v>
      </c>
      <c r="I2145" s="4">
        <v>0</v>
      </c>
      <c r="J2145" s="5">
        <v>710000000</v>
      </c>
      <c r="K2145" s="3" t="s">
        <v>89</v>
      </c>
      <c r="L2145" s="2" t="s">
        <v>754</v>
      </c>
      <c r="M2145" s="6" t="s">
        <v>682</v>
      </c>
      <c r="N2145" s="7" t="s">
        <v>92</v>
      </c>
      <c r="O2145" s="7" t="s">
        <v>93</v>
      </c>
      <c r="P2145" s="3" t="s">
        <v>673</v>
      </c>
      <c r="Q2145" s="8">
        <v>796</v>
      </c>
      <c r="R2145" s="7" t="s">
        <v>118</v>
      </c>
      <c r="S2145" s="9">
        <v>5</v>
      </c>
      <c r="T2145" s="9">
        <v>964</v>
      </c>
      <c r="U2145" s="9">
        <f t="shared" si="1644"/>
        <v>4820</v>
      </c>
      <c r="V2145" s="9">
        <f t="shared" si="1643"/>
        <v>5398.4000000000005</v>
      </c>
      <c r="W2145" s="3"/>
      <c r="X2145" s="2">
        <v>2016</v>
      </c>
      <c r="Y2145" s="3"/>
    </row>
    <row r="2146" spans="1:25" s="11" customFormat="1" ht="89.25" customHeight="1" outlineLevel="1" x14ac:dyDescent="0.25">
      <c r="A2146" s="1"/>
      <c r="B2146" s="2" t="s">
        <v>6623</v>
      </c>
      <c r="C2146" s="3" t="s">
        <v>83</v>
      </c>
      <c r="D2146" s="19" t="s">
        <v>3898</v>
      </c>
      <c r="E2146" s="19" t="s">
        <v>3895</v>
      </c>
      <c r="F2146" s="19" t="s">
        <v>3899</v>
      </c>
      <c r="G2146" s="19" t="s">
        <v>4067</v>
      </c>
      <c r="H2146" s="2" t="s">
        <v>694</v>
      </c>
      <c r="I2146" s="4">
        <v>0</v>
      </c>
      <c r="J2146" s="5">
        <v>710000000</v>
      </c>
      <c r="K2146" s="5" t="s">
        <v>89</v>
      </c>
      <c r="L2146" s="2" t="s">
        <v>754</v>
      </c>
      <c r="M2146" s="6" t="s">
        <v>91</v>
      </c>
      <c r="N2146" s="7" t="s">
        <v>92</v>
      </c>
      <c r="O2146" s="7" t="s">
        <v>93</v>
      </c>
      <c r="P2146" s="3" t="s">
        <v>673</v>
      </c>
      <c r="Q2146" s="8" t="s">
        <v>3876</v>
      </c>
      <c r="R2146" s="7" t="s">
        <v>2605</v>
      </c>
      <c r="S2146" s="9">
        <v>1</v>
      </c>
      <c r="T2146" s="9">
        <v>768</v>
      </c>
      <c r="U2146" s="9">
        <f t="shared" si="1644"/>
        <v>768</v>
      </c>
      <c r="V2146" s="9">
        <f t="shared" si="1643"/>
        <v>860.16000000000008</v>
      </c>
      <c r="W2146" s="7"/>
      <c r="X2146" s="2">
        <v>2016</v>
      </c>
      <c r="Y2146" s="2"/>
    </row>
    <row r="2147" spans="1:25" s="11" customFormat="1" ht="89.25" customHeight="1" outlineLevel="1" x14ac:dyDescent="0.25">
      <c r="A2147" s="1"/>
      <c r="B2147" s="2" t="s">
        <v>6624</v>
      </c>
      <c r="C2147" s="3" t="s">
        <v>83</v>
      </c>
      <c r="D2147" s="19" t="s">
        <v>3898</v>
      </c>
      <c r="E2147" s="19" t="s">
        <v>3895</v>
      </c>
      <c r="F2147" s="19" t="s">
        <v>3899</v>
      </c>
      <c r="G2147" s="19" t="s">
        <v>4068</v>
      </c>
      <c r="H2147" s="2" t="s">
        <v>694</v>
      </c>
      <c r="I2147" s="4">
        <v>0</v>
      </c>
      <c r="J2147" s="5">
        <v>710000000</v>
      </c>
      <c r="K2147" s="5" t="s">
        <v>89</v>
      </c>
      <c r="L2147" s="2" t="s">
        <v>754</v>
      </c>
      <c r="M2147" s="6" t="s">
        <v>91</v>
      </c>
      <c r="N2147" s="7" t="s">
        <v>92</v>
      </c>
      <c r="O2147" s="7" t="s">
        <v>93</v>
      </c>
      <c r="P2147" s="3" t="s">
        <v>673</v>
      </c>
      <c r="Q2147" s="8" t="s">
        <v>3876</v>
      </c>
      <c r="R2147" s="7" t="s">
        <v>2605</v>
      </c>
      <c r="S2147" s="9">
        <v>6</v>
      </c>
      <c r="T2147" s="9">
        <v>179</v>
      </c>
      <c r="U2147" s="9">
        <f t="shared" si="1644"/>
        <v>1074</v>
      </c>
      <c r="V2147" s="9">
        <f t="shared" si="1643"/>
        <v>1202.8800000000001</v>
      </c>
      <c r="W2147" s="7"/>
      <c r="X2147" s="2">
        <v>2016</v>
      </c>
      <c r="Y2147" s="2"/>
    </row>
    <row r="2148" spans="1:25" s="11" customFormat="1" ht="89.25" customHeight="1" outlineLevel="1" x14ac:dyDescent="0.25">
      <c r="A2148" s="1"/>
      <c r="B2148" s="2" t="s">
        <v>6625</v>
      </c>
      <c r="C2148" s="3" t="s">
        <v>83</v>
      </c>
      <c r="D2148" s="19" t="s">
        <v>4061</v>
      </c>
      <c r="E2148" s="19" t="s">
        <v>4062</v>
      </c>
      <c r="F2148" s="19" t="s">
        <v>4063</v>
      </c>
      <c r="G2148" s="19"/>
      <c r="H2148" s="2" t="s">
        <v>694</v>
      </c>
      <c r="I2148" s="4">
        <v>0</v>
      </c>
      <c r="J2148" s="5">
        <v>710000000</v>
      </c>
      <c r="K2148" s="5" t="s">
        <v>89</v>
      </c>
      <c r="L2148" s="2" t="s">
        <v>754</v>
      </c>
      <c r="M2148" s="6" t="s">
        <v>91</v>
      </c>
      <c r="N2148" s="7" t="s">
        <v>92</v>
      </c>
      <c r="O2148" s="7" t="s">
        <v>93</v>
      </c>
      <c r="P2148" s="3" t="s">
        <v>673</v>
      </c>
      <c r="Q2148" s="8" t="s">
        <v>3876</v>
      </c>
      <c r="R2148" s="7" t="s">
        <v>2605</v>
      </c>
      <c r="S2148" s="9">
        <v>6</v>
      </c>
      <c r="T2148" s="9">
        <v>647</v>
      </c>
      <c r="U2148" s="9">
        <f t="shared" si="1644"/>
        <v>3882</v>
      </c>
      <c r="V2148" s="9">
        <f t="shared" si="1643"/>
        <v>4347.84</v>
      </c>
      <c r="W2148" s="7"/>
      <c r="X2148" s="2">
        <v>2016</v>
      </c>
      <c r="Y2148" s="2"/>
    </row>
    <row r="2149" spans="1:25" s="11" customFormat="1" ht="89.25" customHeight="1" outlineLevel="1" x14ac:dyDescent="0.25">
      <c r="A2149" s="1"/>
      <c r="B2149" s="2" t="s">
        <v>6626</v>
      </c>
      <c r="C2149" s="3" t="s">
        <v>83</v>
      </c>
      <c r="D2149" s="19" t="s">
        <v>4069</v>
      </c>
      <c r="E2149" s="19" t="s">
        <v>4070</v>
      </c>
      <c r="F2149" s="19" t="s">
        <v>4071</v>
      </c>
      <c r="G2149" s="19" t="s">
        <v>4072</v>
      </c>
      <c r="H2149" s="2" t="s">
        <v>694</v>
      </c>
      <c r="I2149" s="4">
        <v>0</v>
      </c>
      <c r="J2149" s="5">
        <v>710000000</v>
      </c>
      <c r="K2149" s="5" t="s">
        <v>89</v>
      </c>
      <c r="L2149" s="2" t="s">
        <v>754</v>
      </c>
      <c r="M2149" s="6" t="s">
        <v>91</v>
      </c>
      <c r="N2149" s="7" t="s">
        <v>92</v>
      </c>
      <c r="O2149" s="7" t="s">
        <v>93</v>
      </c>
      <c r="P2149" s="3" t="s">
        <v>673</v>
      </c>
      <c r="Q2149" s="8" t="s">
        <v>117</v>
      </c>
      <c r="R2149" s="7" t="s">
        <v>118</v>
      </c>
      <c r="S2149" s="9">
        <v>75</v>
      </c>
      <c r="T2149" s="9">
        <v>571</v>
      </c>
      <c r="U2149" s="9">
        <f t="shared" si="1644"/>
        <v>42825</v>
      </c>
      <c r="V2149" s="9">
        <f t="shared" si="1643"/>
        <v>47964.000000000007</v>
      </c>
      <c r="W2149" s="7"/>
      <c r="X2149" s="2">
        <v>2016</v>
      </c>
      <c r="Y2149" s="2"/>
    </row>
    <row r="2150" spans="1:25" s="11" customFormat="1" ht="89.25" customHeight="1" outlineLevel="1" x14ac:dyDescent="0.25">
      <c r="A2150" s="1"/>
      <c r="B2150" s="2" t="s">
        <v>6627</v>
      </c>
      <c r="C2150" s="3" t="s">
        <v>83</v>
      </c>
      <c r="D2150" s="19" t="s">
        <v>4013</v>
      </c>
      <c r="E2150" s="19" t="s">
        <v>818</v>
      </c>
      <c r="F2150" s="19" t="s">
        <v>4014</v>
      </c>
      <c r="G2150" s="19"/>
      <c r="H2150" s="2" t="s">
        <v>694</v>
      </c>
      <c r="I2150" s="4">
        <v>0</v>
      </c>
      <c r="J2150" s="5">
        <v>710000000</v>
      </c>
      <c r="K2150" s="5" t="s">
        <v>89</v>
      </c>
      <c r="L2150" s="2" t="s">
        <v>754</v>
      </c>
      <c r="M2150" s="6" t="s">
        <v>91</v>
      </c>
      <c r="N2150" s="7" t="s">
        <v>92</v>
      </c>
      <c r="O2150" s="7" t="s">
        <v>93</v>
      </c>
      <c r="P2150" s="3" t="s">
        <v>673</v>
      </c>
      <c r="Q2150" s="8" t="s">
        <v>117</v>
      </c>
      <c r="R2150" s="7" t="s">
        <v>118</v>
      </c>
      <c r="S2150" s="9">
        <v>8</v>
      </c>
      <c r="T2150" s="9">
        <v>1134</v>
      </c>
      <c r="U2150" s="9">
        <f t="shared" si="1644"/>
        <v>9072</v>
      </c>
      <c r="V2150" s="9">
        <f t="shared" si="1643"/>
        <v>10160.640000000001</v>
      </c>
      <c r="W2150" s="7"/>
      <c r="X2150" s="2">
        <v>2016</v>
      </c>
      <c r="Y2150" s="2"/>
    </row>
    <row r="2151" spans="1:25" s="11" customFormat="1" ht="89.25" customHeight="1" outlineLevel="1" x14ac:dyDescent="0.25">
      <c r="A2151" s="1"/>
      <c r="B2151" s="2" t="s">
        <v>6628</v>
      </c>
      <c r="C2151" s="3" t="s">
        <v>83</v>
      </c>
      <c r="D2151" s="19" t="s">
        <v>3442</v>
      </c>
      <c r="E2151" s="19" t="s">
        <v>2071</v>
      </c>
      <c r="F2151" s="19" t="s">
        <v>3443</v>
      </c>
      <c r="G2151" s="19"/>
      <c r="H2151" s="2" t="s">
        <v>694</v>
      </c>
      <c r="I2151" s="4">
        <v>0</v>
      </c>
      <c r="J2151" s="5">
        <v>710000000</v>
      </c>
      <c r="K2151" s="5" t="s">
        <v>89</v>
      </c>
      <c r="L2151" s="2" t="s">
        <v>754</v>
      </c>
      <c r="M2151" s="6" t="s">
        <v>91</v>
      </c>
      <c r="N2151" s="7" t="s">
        <v>92</v>
      </c>
      <c r="O2151" s="7" t="s">
        <v>93</v>
      </c>
      <c r="P2151" s="3" t="s">
        <v>673</v>
      </c>
      <c r="Q2151" s="8" t="s">
        <v>117</v>
      </c>
      <c r="R2151" s="7" t="s">
        <v>118</v>
      </c>
      <c r="S2151" s="9">
        <v>5</v>
      </c>
      <c r="T2151" s="9">
        <v>764</v>
      </c>
      <c r="U2151" s="9">
        <f t="shared" si="1644"/>
        <v>3820</v>
      </c>
      <c r="V2151" s="9">
        <f t="shared" si="1643"/>
        <v>4278.4000000000005</v>
      </c>
      <c r="W2151" s="7"/>
      <c r="X2151" s="2">
        <v>2016</v>
      </c>
      <c r="Y2151" s="2"/>
    </row>
    <row r="2152" spans="1:25" s="11" customFormat="1" ht="89.25" customHeight="1" outlineLevel="1" x14ac:dyDescent="0.25">
      <c r="A2152" s="1"/>
      <c r="B2152" s="2" t="s">
        <v>6629</v>
      </c>
      <c r="C2152" s="3" t="s">
        <v>83</v>
      </c>
      <c r="D2152" s="19" t="s">
        <v>3442</v>
      </c>
      <c r="E2152" s="19" t="s">
        <v>2071</v>
      </c>
      <c r="F2152" s="19" t="s">
        <v>3443</v>
      </c>
      <c r="G2152" s="19" t="s">
        <v>4073</v>
      </c>
      <c r="H2152" s="2" t="s">
        <v>694</v>
      </c>
      <c r="I2152" s="4">
        <v>0</v>
      </c>
      <c r="J2152" s="5">
        <v>710000000</v>
      </c>
      <c r="K2152" s="5" t="s">
        <v>89</v>
      </c>
      <c r="L2152" s="2" t="s">
        <v>754</v>
      </c>
      <c r="M2152" s="6" t="s">
        <v>91</v>
      </c>
      <c r="N2152" s="7" t="s">
        <v>92</v>
      </c>
      <c r="O2152" s="7" t="s">
        <v>93</v>
      </c>
      <c r="P2152" s="3" t="s">
        <v>673</v>
      </c>
      <c r="Q2152" s="8" t="s">
        <v>117</v>
      </c>
      <c r="R2152" s="7" t="s">
        <v>118</v>
      </c>
      <c r="S2152" s="9">
        <v>13</v>
      </c>
      <c r="T2152" s="9">
        <v>2243</v>
      </c>
      <c r="U2152" s="9">
        <f t="shared" si="1644"/>
        <v>29159</v>
      </c>
      <c r="V2152" s="9">
        <f t="shared" si="1643"/>
        <v>32658.080000000002</v>
      </c>
      <c r="W2152" s="7"/>
      <c r="X2152" s="2">
        <v>2016</v>
      </c>
      <c r="Y2152" s="2"/>
    </row>
    <row r="2153" spans="1:25" s="11" customFormat="1" ht="89.25" customHeight="1" outlineLevel="1" x14ac:dyDescent="0.25">
      <c r="A2153" s="1"/>
      <c r="B2153" s="2" t="s">
        <v>6630</v>
      </c>
      <c r="C2153" s="3" t="s">
        <v>83</v>
      </c>
      <c r="D2153" s="19" t="s">
        <v>4074</v>
      </c>
      <c r="E2153" s="19" t="s">
        <v>4075</v>
      </c>
      <c r="F2153" s="19" t="s">
        <v>4076</v>
      </c>
      <c r="G2153" s="19" t="s">
        <v>4077</v>
      </c>
      <c r="H2153" s="2" t="s">
        <v>694</v>
      </c>
      <c r="I2153" s="4">
        <v>0</v>
      </c>
      <c r="J2153" s="5">
        <v>710000000</v>
      </c>
      <c r="K2153" s="5" t="s">
        <v>89</v>
      </c>
      <c r="L2153" s="2" t="s">
        <v>754</v>
      </c>
      <c r="M2153" s="6" t="s">
        <v>91</v>
      </c>
      <c r="N2153" s="7" t="s">
        <v>92</v>
      </c>
      <c r="O2153" s="7" t="s">
        <v>93</v>
      </c>
      <c r="P2153" s="3" t="s">
        <v>673</v>
      </c>
      <c r="Q2153" s="8" t="s">
        <v>117</v>
      </c>
      <c r="R2153" s="7" t="s">
        <v>118</v>
      </c>
      <c r="S2153" s="9">
        <v>96</v>
      </c>
      <c r="T2153" s="9">
        <v>313</v>
      </c>
      <c r="U2153" s="9">
        <f t="shared" si="1644"/>
        <v>30048</v>
      </c>
      <c r="V2153" s="9">
        <f t="shared" si="1643"/>
        <v>33653.760000000002</v>
      </c>
      <c r="W2153" s="7"/>
      <c r="X2153" s="2">
        <v>2016</v>
      </c>
      <c r="Y2153" s="2"/>
    </row>
    <row r="2154" spans="1:25" s="11" customFormat="1" ht="89.25" customHeight="1" outlineLevel="1" x14ac:dyDescent="0.25">
      <c r="A2154" s="1"/>
      <c r="B2154" s="2" t="s">
        <v>6631</v>
      </c>
      <c r="C2154" s="3" t="s">
        <v>83</v>
      </c>
      <c r="D2154" s="19" t="s">
        <v>4078</v>
      </c>
      <c r="E2154" s="19" t="s">
        <v>2071</v>
      </c>
      <c r="F2154" s="19" t="s">
        <v>4079</v>
      </c>
      <c r="G2154" s="19" t="s">
        <v>4080</v>
      </c>
      <c r="H2154" s="2" t="s">
        <v>694</v>
      </c>
      <c r="I2154" s="4">
        <v>0</v>
      </c>
      <c r="J2154" s="5">
        <v>710000000</v>
      </c>
      <c r="K2154" s="5" t="s">
        <v>89</v>
      </c>
      <c r="L2154" s="2" t="s">
        <v>754</v>
      </c>
      <c r="M2154" s="6" t="s">
        <v>91</v>
      </c>
      <c r="N2154" s="7" t="s">
        <v>92</v>
      </c>
      <c r="O2154" s="7" t="s">
        <v>93</v>
      </c>
      <c r="P2154" s="3" t="s">
        <v>673</v>
      </c>
      <c r="Q2154" s="8" t="s">
        <v>117</v>
      </c>
      <c r="R2154" s="7" t="s">
        <v>118</v>
      </c>
      <c r="S2154" s="9">
        <v>13</v>
      </c>
      <c r="T2154" s="9">
        <v>1254</v>
      </c>
      <c r="U2154" s="9">
        <f t="shared" si="1644"/>
        <v>16302</v>
      </c>
      <c r="V2154" s="9">
        <f t="shared" si="1643"/>
        <v>18258.240000000002</v>
      </c>
      <c r="W2154" s="7"/>
      <c r="X2154" s="2">
        <v>2016</v>
      </c>
      <c r="Y2154" s="2"/>
    </row>
    <row r="2155" spans="1:25" s="11" customFormat="1" ht="89.25" customHeight="1" outlineLevel="1" x14ac:dyDescent="0.25">
      <c r="A2155" s="1"/>
      <c r="B2155" s="2" t="s">
        <v>6632</v>
      </c>
      <c r="C2155" s="3" t="s">
        <v>83</v>
      </c>
      <c r="D2155" s="19" t="s">
        <v>3343</v>
      </c>
      <c r="E2155" s="19" t="s">
        <v>3344</v>
      </c>
      <c r="F2155" s="19" t="s">
        <v>3345</v>
      </c>
      <c r="G2155" s="19"/>
      <c r="H2155" s="2" t="s">
        <v>694</v>
      </c>
      <c r="I2155" s="4">
        <v>0</v>
      </c>
      <c r="J2155" s="5">
        <v>710000000</v>
      </c>
      <c r="K2155" s="5" t="s">
        <v>89</v>
      </c>
      <c r="L2155" s="2" t="s">
        <v>754</v>
      </c>
      <c r="M2155" s="6" t="s">
        <v>91</v>
      </c>
      <c r="N2155" s="7" t="s">
        <v>92</v>
      </c>
      <c r="O2155" s="7" t="s">
        <v>93</v>
      </c>
      <c r="P2155" s="3" t="s">
        <v>673</v>
      </c>
      <c r="Q2155" s="8" t="s">
        <v>117</v>
      </c>
      <c r="R2155" s="7" t="s">
        <v>118</v>
      </c>
      <c r="S2155" s="9">
        <v>10</v>
      </c>
      <c r="T2155" s="9">
        <v>610.97</v>
      </c>
      <c r="U2155" s="9">
        <f t="shared" si="1644"/>
        <v>6109.7000000000007</v>
      </c>
      <c r="V2155" s="9">
        <f t="shared" si="1643"/>
        <v>6842.8640000000014</v>
      </c>
      <c r="W2155" s="7"/>
      <c r="X2155" s="2">
        <v>2016</v>
      </c>
      <c r="Y2155" s="2"/>
    </row>
    <row r="2156" spans="1:25" s="11" customFormat="1" ht="89.25" customHeight="1" outlineLevel="1" x14ac:dyDescent="0.25">
      <c r="A2156" s="1"/>
      <c r="B2156" s="2" t="s">
        <v>6633</v>
      </c>
      <c r="C2156" s="3" t="s">
        <v>83</v>
      </c>
      <c r="D2156" s="3" t="s">
        <v>4081</v>
      </c>
      <c r="E2156" s="3" t="s">
        <v>4082</v>
      </c>
      <c r="F2156" s="3" t="s">
        <v>4083</v>
      </c>
      <c r="G2156" s="19"/>
      <c r="H2156" s="2" t="s">
        <v>694</v>
      </c>
      <c r="I2156" s="4">
        <v>0</v>
      </c>
      <c r="J2156" s="5">
        <v>710000000</v>
      </c>
      <c r="K2156" s="5" t="s">
        <v>89</v>
      </c>
      <c r="L2156" s="2" t="s">
        <v>754</v>
      </c>
      <c r="M2156" s="6" t="s">
        <v>787</v>
      </c>
      <c r="N2156" s="7" t="s">
        <v>92</v>
      </c>
      <c r="O2156" s="7" t="s">
        <v>93</v>
      </c>
      <c r="P2156" s="3" t="s">
        <v>673</v>
      </c>
      <c r="Q2156" s="8">
        <v>796</v>
      </c>
      <c r="R2156" s="7" t="s">
        <v>118</v>
      </c>
      <c r="S2156" s="9">
        <f>50+2+9+2+3+2+1+10+146+33</f>
        <v>258</v>
      </c>
      <c r="T2156" s="9">
        <v>553.57000000000005</v>
      </c>
      <c r="U2156" s="9">
        <f t="shared" si="1644"/>
        <v>142821.06000000003</v>
      </c>
      <c r="V2156" s="9">
        <f t="shared" si="1643"/>
        <v>159959.58720000004</v>
      </c>
      <c r="W2156" s="7"/>
      <c r="X2156" s="2">
        <v>2016</v>
      </c>
      <c r="Y2156" s="2"/>
    </row>
    <row r="2157" spans="1:25" s="11" customFormat="1" ht="89.25" customHeight="1" outlineLevel="1" x14ac:dyDescent="0.25">
      <c r="A2157" s="1"/>
      <c r="B2157" s="2" t="s">
        <v>6634</v>
      </c>
      <c r="C2157" s="3" t="s">
        <v>83</v>
      </c>
      <c r="D2157" s="3" t="s">
        <v>4084</v>
      </c>
      <c r="E2157" s="3" t="s">
        <v>4085</v>
      </c>
      <c r="F2157" s="3" t="s">
        <v>3947</v>
      </c>
      <c r="G2157" s="19" t="s">
        <v>4086</v>
      </c>
      <c r="H2157" s="2" t="s">
        <v>694</v>
      </c>
      <c r="I2157" s="4">
        <v>0</v>
      </c>
      <c r="J2157" s="5">
        <v>710000000</v>
      </c>
      <c r="K2157" s="5" t="s">
        <v>89</v>
      </c>
      <c r="L2157" s="2" t="s">
        <v>754</v>
      </c>
      <c r="M2157" s="6" t="s">
        <v>787</v>
      </c>
      <c r="N2157" s="7" t="s">
        <v>92</v>
      </c>
      <c r="O2157" s="7" t="s">
        <v>93</v>
      </c>
      <c r="P2157" s="3" t="s">
        <v>673</v>
      </c>
      <c r="Q2157" s="8">
        <v>796</v>
      </c>
      <c r="R2157" s="7" t="s">
        <v>118</v>
      </c>
      <c r="S2157" s="9">
        <f>14+10+1+2+5+2</f>
        <v>34</v>
      </c>
      <c r="T2157" s="9">
        <v>313</v>
      </c>
      <c r="U2157" s="9">
        <f t="shared" si="1644"/>
        <v>10642</v>
      </c>
      <c r="V2157" s="9">
        <f t="shared" si="1643"/>
        <v>11919.04</v>
      </c>
      <c r="W2157" s="7"/>
      <c r="X2157" s="2">
        <v>2016</v>
      </c>
      <c r="Y2157" s="2"/>
    </row>
    <row r="2158" spans="1:25" s="11" customFormat="1" ht="89.25" customHeight="1" outlineLevel="1" x14ac:dyDescent="0.25">
      <c r="A2158" s="1"/>
      <c r="B2158" s="2" t="s">
        <v>6635</v>
      </c>
      <c r="C2158" s="3" t="s">
        <v>83</v>
      </c>
      <c r="D2158" s="3" t="s">
        <v>4087</v>
      </c>
      <c r="E2158" s="3" t="s">
        <v>3801</v>
      </c>
      <c r="F2158" s="3" t="s">
        <v>4088</v>
      </c>
      <c r="G2158" s="19"/>
      <c r="H2158" s="2" t="s">
        <v>694</v>
      </c>
      <c r="I2158" s="4">
        <v>0</v>
      </c>
      <c r="J2158" s="5">
        <v>710000000</v>
      </c>
      <c r="K2158" s="5" t="s">
        <v>89</v>
      </c>
      <c r="L2158" s="2" t="s">
        <v>754</v>
      </c>
      <c r="M2158" s="6" t="s">
        <v>787</v>
      </c>
      <c r="N2158" s="7" t="s">
        <v>92</v>
      </c>
      <c r="O2158" s="7" t="s">
        <v>93</v>
      </c>
      <c r="P2158" s="3" t="s">
        <v>673</v>
      </c>
      <c r="Q2158" s="8">
        <v>796</v>
      </c>
      <c r="R2158" s="7" t="s">
        <v>118</v>
      </c>
      <c r="S2158" s="9">
        <f>8+20+48+2+1+1+69</f>
        <v>149</v>
      </c>
      <c r="T2158" s="9">
        <v>804</v>
      </c>
      <c r="U2158" s="9">
        <f t="shared" si="1644"/>
        <v>119796</v>
      </c>
      <c r="V2158" s="9">
        <f t="shared" si="1643"/>
        <v>134171.52000000002</v>
      </c>
      <c r="W2158" s="7"/>
      <c r="X2158" s="2">
        <v>2016</v>
      </c>
      <c r="Y2158" s="2"/>
    </row>
    <row r="2159" spans="1:25" s="11" customFormat="1" ht="89.25" customHeight="1" outlineLevel="1" x14ac:dyDescent="0.25">
      <c r="A2159" s="1"/>
      <c r="B2159" s="2" t="s">
        <v>6636</v>
      </c>
      <c r="C2159" s="3" t="s">
        <v>83</v>
      </c>
      <c r="D2159" s="3" t="s">
        <v>4084</v>
      </c>
      <c r="E2159" s="3" t="s">
        <v>4085</v>
      </c>
      <c r="F2159" s="3" t="s">
        <v>3947</v>
      </c>
      <c r="G2159" s="19" t="s">
        <v>3327</v>
      </c>
      <c r="H2159" s="2" t="s">
        <v>694</v>
      </c>
      <c r="I2159" s="4">
        <v>0</v>
      </c>
      <c r="J2159" s="5">
        <v>710000000</v>
      </c>
      <c r="K2159" s="3" t="s">
        <v>89</v>
      </c>
      <c r="L2159" s="2" t="s">
        <v>754</v>
      </c>
      <c r="M2159" s="3" t="s">
        <v>787</v>
      </c>
      <c r="N2159" s="7" t="s">
        <v>92</v>
      </c>
      <c r="O2159" s="7" t="s">
        <v>93</v>
      </c>
      <c r="P2159" s="3" t="s">
        <v>673</v>
      </c>
      <c r="Q2159" s="8">
        <v>796</v>
      </c>
      <c r="R2159" s="7" t="s">
        <v>118</v>
      </c>
      <c r="S2159" s="9">
        <f>13+20+4</f>
        <v>37</v>
      </c>
      <c r="T2159" s="9">
        <v>319</v>
      </c>
      <c r="U2159" s="9">
        <f t="shared" si="1644"/>
        <v>11803</v>
      </c>
      <c r="V2159" s="9">
        <f t="shared" si="1643"/>
        <v>13219.36</v>
      </c>
      <c r="W2159" s="3"/>
      <c r="X2159" s="2">
        <v>2016</v>
      </c>
      <c r="Y2159" s="3"/>
    </row>
    <row r="2160" spans="1:25" s="11" customFormat="1" ht="89.25" customHeight="1" outlineLevel="1" x14ac:dyDescent="0.25">
      <c r="A2160" s="1"/>
      <c r="B2160" s="2" t="s">
        <v>6637</v>
      </c>
      <c r="C2160" s="3" t="s">
        <v>83</v>
      </c>
      <c r="D2160" s="3" t="s">
        <v>4084</v>
      </c>
      <c r="E2160" s="3" t="s">
        <v>4085</v>
      </c>
      <c r="F2160" s="3" t="s">
        <v>3947</v>
      </c>
      <c r="G2160" s="19" t="s">
        <v>4089</v>
      </c>
      <c r="H2160" s="2" t="s">
        <v>694</v>
      </c>
      <c r="I2160" s="4">
        <v>0</v>
      </c>
      <c r="J2160" s="5">
        <v>710000000</v>
      </c>
      <c r="K2160" s="5" t="s">
        <v>89</v>
      </c>
      <c r="L2160" s="2" t="s">
        <v>754</v>
      </c>
      <c r="M2160" s="6" t="s">
        <v>787</v>
      </c>
      <c r="N2160" s="7" t="s">
        <v>92</v>
      </c>
      <c r="O2160" s="7" t="s">
        <v>93</v>
      </c>
      <c r="P2160" s="3" t="s">
        <v>673</v>
      </c>
      <c r="Q2160" s="31">
        <v>796</v>
      </c>
      <c r="R2160" s="5" t="s">
        <v>118</v>
      </c>
      <c r="S2160" s="9">
        <f>13+35+66+10</f>
        <v>124</v>
      </c>
      <c r="T2160" s="9">
        <v>454</v>
      </c>
      <c r="U2160" s="9">
        <f t="shared" si="1644"/>
        <v>56296</v>
      </c>
      <c r="V2160" s="9">
        <f t="shared" si="1643"/>
        <v>63051.520000000004</v>
      </c>
      <c r="W2160" s="7"/>
      <c r="X2160" s="2">
        <v>2016</v>
      </c>
      <c r="Y2160" s="2"/>
    </row>
    <row r="2161" spans="1:25" s="11" customFormat="1" ht="89.25" customHeight="1" outlineLevel="1" x14ac:dyDescent="0.25">
      <c r="A2161" s="1"/>
      <c r="B2161" s="2" t="s">
        <v>6638</v>
      </c>
      <c r="C2161" s="41" t="s">
        <v>83</v>
      </c>
      <c r="D2161" s="41" t="s">
        <v>4084</v>
      </c>
      <c r="E2161" s="41" t="s">
        <v>4085</v>
      </c>
      <c r="F2161" s="41" t="s">
        <v>3947</v>
      </c>
      <c r="G2161" s="19" t="s">
        <v>4090</v>
      </c>
      <c r="H2161" s="2" t="s">
        <v>694</v>
      </c>
      <c r="I2161" s="4">
        <v>0</v>
      </c>
      <c r="J2161" s="5">
        <v>710000000</v>
      </c>
      <c r="K2161" s="5" t="s">
        <v>89</v>
      </c>
      <c r="L2161" s="2" t="s">
        <v>754</v>
      </c>
      <c r="M2161" s="6" t="s">
        <v>787</v>
      </c>
      <c r="N2161" s="7" t="s">
        <v>92</v>
      </c>
      <c r="O2161" s="7" t="s">
        <v>93</v>
      </c>
      <c r="P2161" s="3" t="s">
        <v>673</v>
      </c>
      <c r="Q2161" s="31">
        <v>796</v>
      </c>
      <c r="R2161" s="5" t="s">
        <v>118</v>
      </c>
      <c r="S2161" s="9">
        <f>14+10+15+10+5</f>
        <v>54</v>
      </c>
      <c r="T2161" s="9">
        <v>581</v>
      </c>
      <c r="U2161" s="9">
        <f t="shared" si="1644"/>
        <v>31374</v>
      </c>
      <c r="V2161" s="9">
        <f t="shared" si="1643"/>
        <v>35138.880000000005</v>
      </c>
      <c r="W2161" s="7"/>
      <c r="X2161" s="2">
        <v>2016</v>
      </c>
      <c r="Y2161" s="2"/>
    </row>
    <row r="2162" spans="1:25" s="11" customFormat="1" ht="89.25" customHeight="1" outlineLevel="1" x14ac:dyDescent="0.25">
      <c r="A2162" s="1"/>
      <c r="B2162" s="2" t="s">
        <v>6639</v>
      </c>
      <c r="C2162" s="3" t="s">
        <v>83</v>
      </c>
      <c r="D2162" s="3" t="s">
        <v>4091</v>
      </c>
      <c r="E2162" s="3" t="s">
        <v>4092</v>
      </c>
      <c r="F2162" s="3" t="s">
        <v>4093</v>
      </c>
      <c r="G2162" s="19" t="s">
        <v>4094</v>
      </c>
      <c r="H2162" s="2" t="s">
        <v>694</v>
      </c>
      <c r="I2162" s="4">
        <v>0</v>
      </c>
      <c r="J2162" s="5">
        <v>710000000</v>
      </c>
      <c r="K2162" s="5" t="s">
        <v>89</v>
      </c>
      <c r="L2162" s="2" t="s">
        <v>754</v>
      </c>
      <c r="M2162" s="6" t="s">
        <v>787</v>
      </c>
      <c r="N2162" s="7" t="s">
        <v>92</v>
      </c>
      <c r="O2162" s="7" t="s">
        <v>93</v>
      </c>
      <c r="P2162" s="3" t="s">
        <v>673</v>
      </c>
      <c r="Q2162" s="8">
        <v>796</v>
      </c>
      <c r="R2162" s="7" t="s">
        <v>118</v>
      </c>
      <c r="S2162" s="9">
        <f>5+2+1+2+1+1+1+1+1</f>
        <v>15</v>
      </c>
      <c r="T2162" s="9">
        <v>6040.18</v>
      </c>
      <c r="U2162" s="9">
        <f t="shared" si="1644"/>
        <v>90602.700000000012</v>
      </c>
      <c r="V2162" s="9">
        <f t="shared" si="1643"/>
        <v>101475.02400000002</v>
      </c>
      <c r="W2162" s="7"/>
      <c r="X2162" s="2">
        <v>2016</v>
      </c>
      <c r="Y2162" s="2"/>
    </row>
    <row r="2163" spans="1:25" s="11" customFormat="1" ht="89.25" customHeight="1" outlineLevel="1" x14ac:dyDescent="0.25">
      <c r="A2163" s="1"/>
      <c r="B2163" s="2" t="s">
        <v>6640</v>
      </c>
      <c r="C2163" s="3" t="s">
        <v>83</v>
      </c>
      <c r="D2163" s="3" t="s">
        <v>4091</v>
      </c>
      <c r="E2163" s="3" t="s">
        <v>4092</v>
      </c>
      <c r="F2163" s="3" t="s">
        <v>4093</v>
      </c>
      <c r="G2163" s="19" t="s">
        <v>4095</v>
      </c>
      <c r="H2163" s="2" t="s">
        <v>694</v>
      </c>
      <c r="I2163" s="4">
        <v>0</v>
      </c>
      <c r="J2163" s="5">
        <v>710000000</v>
      </c>
      <c r="K2163" s="5" t="s">
        <v>89</v>
      </c>
      <c r="L2163" s="2" t="s">
        <v>754</v>
      </c>
      <c r="M2163" s="6" t="s">
        <v>787</v>
      </c>
      <c r="N2163" s="7" t="s">
        <v>92</v>
      </c>
      <c r="O2163" s="7" t="s">
        <v>93</v>
      </c>
      <c r="P2163" s="3" t="s">
        <v>673</v>
      </c>
      <c r="Q2163" s="8">
        <v>796</v>
      </c>
      <c r="R2163" s="7" t="s">
        <v>118</v>
      </c>
      <c r="S2163" s="9">
        <f>5+1+1</f>
        <v>7</v>
      </c>
      <c r="T2163" s="9">
        <v>22852.68</v>
      </c>
      <c r="U2163" s="9">
        <f t="shared" si="1644"/>
        <v>159968.76</v>
      </c>
      <c r="V2163" s="9">
        <f t="shared" si="1643"/>
        <v>179165.01120000004</v>
      </c>
      <c r="W2163" s="7"/>
      <c r="X2163" s="2">
        <v>2016</v>
      </c>
      <c r="Y2163" s="2"/>
    </row>
    <row r="2164" spans="1:25" s="20" customFormat="1" ht="89.25" customHeight="1" outlineLevel="1" x14ac:dyDescent="0.25">
      <c r="A2164" s="1"/>
      <c r="B2164" s="2" t="s">
        <v>6641</v>
      </c>
      <c r="C2164" s="3" t="s">
        <v>83</v>
      </c>
      <c r="D2164" s="3" t="s">
        <v>4091</v>
      </c>
      <c r="E2164" s="3" t="s">
        <v>4092</v>
      </c>
      <c r="F2164" s="3" t="s">
        <v>4093</v>
      </c>
      <c r="G2164" s="3" t="s">
        <v>4096</v>
      </c>
      <c r="H2164" s="2" t="s">
        <v>694</v>
      </c>
      <c r="I2164" s="4">
        <v>0</v>
      </c>
      <c r="J2164" s="5">
        <v>710000000</v>
      </c>
      <c r="K2164" s="5" t="s">
        <v>89</v>
      </c>
      <c r="L2164" s="2" t="s">
        <v>754</v>
      </c>
      <c r="M2164" s="6" t="s">
        <v>787</v>
      </c>
      <c r="N2164" s="7" t="s">
        <v>92</v>
      </c>
      <c r="O2164" s="7" t="s">
        <v>93</v>
      </c>
      <c r="P2164" s="3" t="s">
        <v>673</v>
      </c>
      <c r="Q2164" s="31">
        <v>796</v>
      </c>
      <c r="R2164" s="5" t="s">
        <v>118</v>
      </c>
      <c r="S2164" s="9">
        <f>1+1</f>
        <v>2</v>
      </c>
      <c r="T2164" s="9">
        <v>13846</v>
      </c>
      <c r="U2164" s="9">
        <f t="shared" si="1644"/>
        <v>27692</v>
      </c>
      <c r="V2164" s="9">
        <f t="shared" si="1643"/>
        <v>31015.040000000005</v>
      </c>
      <c r="W2164" s="7"/>
      <c r="X2164" s="2">
        <v>2016</v>
      </c>
      <c r="Y2164" s="2"/>
    </row>
    <row r="2165" spans="1:25" s="11" customFormat="1" ht="89.25" customHeight="1" outlineLevel="1" x14ac:dyDescent="0.25">
      <c r="A2165" s="1"/>
      <c r="B2165" s="2" t="s">
        <v>6642</v>
      </c>
      <c r="C2165" s="3" t="s">
        <v>83</v>
      </c>
      <c r="D2165" s="3" t="s">
        <v>4074</v>
      </c>
      <c r="E2165" s="3" t="s">
        <v>4075</v>
      </c>
      <c r="F2165" s="3" t="s">
        <v>4076</v>
      </c>
      <c r="G2165" s="19"/>
      <c r="H2165" s="2" t="s">
        <v>694</v>
      </c>
      <c r="I2165" s="4">
        <v>0</v>
      </c>
      <c r="J2165" s="5">
        <v>710000000</v>
      </c>
      <c r="K2165" s="5" t="s">
        <v>89</v>
      </c>
      <c r="L2165" s="2" t="s">
        <v>754</v>
      </c>
      <c r="M2165" s="6" t="s">
        <v>787</v>
      </c>
      <c r="N2165" s="7" t="s">
        <v>92</v>
      </c>
      <c r="O2165" s="7" t="s">
        <v>93</v>
      </c>
      <c r="P2165" s="3" t="s">
        <v>673</v>
      </c>
      <c r="Q2165" s="31">
        <v>796</v>
      </c>
      <c r="R2165" s="5" t="s">
        <v>118</v>
      </c>
      <c r="S2165" s="9">
        <f>250+15+43+5+6+5+15</f>
        <v>339</v>
      </c>
      <c r="T2165" s="9">
        <v>580</v>
      </c>
      <c r="U2165" s="9">
        <f t="shared" si="1644"/>
        <v>196620</v>
      </c>
      <c r="V2165" s="9">
        <f t="shared" si="1643"/>
        <v>220214.40000000002</v>
      </c>
      <c r="W2165" s="7"/>
      <c r="X2165" s="2">
        <v>2016</v>
      </c>
      <c r="Y2165" s="2"/>
    </row>
    <row r="2166" spans="1:25" s="11" customFormat="1" ht="89.25" customHeight="1" outlineLevel="1" x14ac:dyDescent="0.25">
      <c r="A2166" s="1"/>
      <c r="B2166" s="2" t="s">
        <v>6643</v>
      </c>
      <c r="C2166" s="3" t="s">
        <v>83</v>
      </c>
      <c r="D2166" s="3" t="s">
        <v>4097</v>
      </c>
      <c r="E2166" s="3" t="s">
        <v>4098</v>
      </c>
      <c r="F2166" s="3" t="s">
        <v>4099</v>
      </c>
      <c r="G2166" s="19"/>
      <c r="H2166" s="2" t="s">
        <v>694</v>
      </c>
      <c r="I2166" s="4">
        <v>0</v>
      </c>
      <c r="J2166" s="5">
        <v>710000000</v>
      </c>
      <c r="K2166" s="5" t="s">
        <v>89</v>
      </c>
      <c r="L2166" s="2" t="s">
        <v>754</v>
      </c>
      <c r="M2166" s="6" t="s">
        <v>787</v>
      </c>
      <c r="N2166" s="7" t="s">
        <v>92</v>
      </c>
      <c r="O2166" s="7" t="s">
        <v>93</v>
      </c>
      <c r="P2166" s="3" t="s">
        <v>673</v>
      </c>
      <c r="Q2166" s="31">
        <v>796</v>
      </c>
      <c r="R2166" s="5" t="s">
        <v>118</v>
      </c>
      <c r="S2166" s="9">
        <f>5+20+3+3</f>
        <v>31</v>
      </c>
      <c r="T2166" s="9">
        <v>8705</v>
      </c>
      <c r="U2166" s="9">
        <f t="shared" si="1644"/>
        <v>269855</v>
      </c>
      <c r="V2166" s="9">
        <f t="shared" si="1643"/>
        <v>302237.60000000003</v>
      </c>
      <c r="W2166" s="7"/>
      <c r="X2166" s="2">
        <v>2016</v>
      </c>
      <c r="Y2166" s="2"/>
    </row>
    <row r="2167" spans="1:25" s="11" customFormat="1" ht="89.25" customHeight="1" outlineLevel="1" x14ac:dyDescent="0.25">
      <c r="A2167" s="1"/>
      <c r="B2167" s="2" t="s">
        <v>6644</v>
      </c>
      <c r="C2167" s="3" t="s">
        <v>83</v>
      </c>
      <c r="D2167" s="3" t="s">
        <v>3442</v>
      </c>
      <c r="E2167" s="3" t="s">
        <v>2071</v>
      </c>
      <c r="F2167" s="3" t="s">
        <v>3443</v>
      </c>
      <c r="G2167" s="19" t="s">
        <v>3444</v>
      </c>
      <c r="H2167" s="2" t="s">
        <v>694</v>
      </c>
      <c r="I2167" s="4">
        <v>0</v>
      </c>
      <c r="J2167" s="5">
        <v>710000000</v>
      </c>
      <c r="K2167" s="5" t="s">
        <v>89</v>
      </c>
      <c r="L2167" s="2" t="s">
        <v>754</v>
      </c>
      <c r="M2167" s="6" t="s">
        <v>787</v>
      </c>
      <c r="N2167" s="7" t="s">
        <v>92</v>
      </c>
      <c r="O2167" s="7" t="s">
        <v>93</v>
      </c>
      <c r="P2167" s="3" t="s">
        <v>673</v>
      </c>
      <c r="Q2167" s="8">
        <v>796</v>
      </c>
      <c r="R2167" s="7" t="s">
        <v>118</v>
      </c>
      <c r="S2167" s="9">
        <f>10+3+6+2+40+5</f>
        <v>66</v>
      </c>
      <c r="T2167" s="9">
        <v>1429</v>
      </c>
      <c r="U2167" s="9">
        <f t="shared" si="1644"/>
        <v>94314</v>
      </c>
      <c r="V2167" s="9">
        <f t="shared" si="1643"/>
        <v>105631.68000000001</v>
      </c>
      <c r="W2167" s="7"/>
      <c r="X2167" s="2">
        <v>2016</v>
      </c>
      <c r="Y2167" s="2"/>
    </row>
    <row r="2168" spans="1:25" s="11" customFormat="1" ht="89.25" customHeight="1" outlineLevel="1" x14ac:dyDescent="0.25">
      <c r="A2168" s="1"/>
      <c r="B2168" s="2" t="s">
        <v>6645</v>
      </c>
      <c r="C2168" s="3" t="s">
        <v>83</v>
      </c>
      <c r="D2168" s="3" t="s">
        <v>4100</v>
      </c>
      <c r="E2168" s="3" t="s">
        <v>4101</v>
      </c>
      <c r="F2168" s="3" t="s">
        <v>4102</v>
      </c>
      <c r="G2168" s="19" t="s">
        <v>4103</v>
      </c>
      <c r="H2168" s="2" t="s">
        <v>694</v>
      </c>
      <c r="I2168" s="4">
        <v>0</v>
      </c>
      <c r="J2168" s="5">
        <v>710000000</v>
      </c>
      <c r="K2168" s="5" t="s">
        <v>89</v>
      </c>
      <c r="L2168" s="2" t="s">
        <v>754</v>
      </c>
      <c r="M2168" s="6" t="s">
        <v>787</v>
      </c>
      <c r="N2168" s="7" t="s">
        <v>92</v>
      </c>
      <c r="O2168" s="7" t="s">
        <v>93</v>
      </c>
      <c r="P2168" s="3" t="s">
        <v>673</v>
      </c>
      <c r="Q2168" s="8">
        <v>796</v>
      </c>
      <c r="R2168" s="7" t="s">
        <v>118</v>
      </c>
      <c r="S2168" s="9">
        <f>20+33+23</f>
        <v>76</v>
      </c>
      <c r="T2168" s="9">
        <v>250</v>
      </c>
      <c r="U2168" s="9">
        <f t="shared" si="1644"/>
        <v>19000</v>
      </c>
      <c r="V2168" s="9">
        <f t="shared" si="1643"/>
        <v>21280.000000000004</v>
      </c>
      <c r="W2168" s="7"/>
      <c r="X2168" s="2">
        <v>2016</v>
      </c>
      <c r="Y2168" s="2"/>
    </row>
    <row r="2169" spans="1:25" s="11" customFormat="1" ht="89.25" customHeight="1" outlineLevel="1" x14ac:dyDescent="0.25">
      <c r="A2169" s="1"/>
      <c r="B2169" s="2" t="s">
        <v>6646</v>
      </c>
      <c r="C2169" s="3" t="s">
        <v>83</v>
      </c>
      <c r="D2169" s="3" t="s">
        <v>4104</v>
      </c>
      <c r="E2169" s="3" t="s">
        <v>4101</v>
      </c>
      <c r="F2169" s="3" t="s">
        <v>4105</v>
      </c>
      <c r="G2169" s="19" t="s">
        <v>4106</v>
      </c>
      <c r="H2169" s="2" t="s">
        <v>694</v>
      </c>
      <c r="I2169" s="4">
        <v>0</v>
      </c>
      <c r="J2169" s="5">
        <v>710000000</v>
      </c>
      <c r="K2169" s="5" t="s">
        <v>89</v>
      </c>
      <c r="L2169" s="2" t="s">
        <v>754</v>
      </c>
      <c r="M2169" s="6" t="s">
        <v>787</v>
      </c>
      <c r="N2169" s="7" t="s">
        <v>92</v>
      </c>
      <c r="O2169" s="7" t="s">
        <v>93</v>
      </c>
      <c r="P2169" s="3" t="s">
        <v>673</v>
      </c>
      <c r="Q2169" s="8">
        <v>796</v>
      </c>
      <c r="R2169" s="7" t="s">
        <v>118</v>
      </c>
      <c r="S2169" s="9">
        <f>100+20+2+4</f>
        <v>126</v>
      </c>
      <c r="T2169" s="9">
        <v>2902</v>
      </c>
      <c r="U2169" s="9">
        <f t="shared" si="1644"/>
        <v>365652</v>
      </c>
      <c r="V2169" s="9">
        <f t="shared" si="1643"/>
        <v>409530.24000000005</v>
      </c>
      <c r="W2169" s="7"/>
      <c r="X2169" s="2">
        <v>2016</v>
      </c>
      <c r="Y2169" s="2"/>
    </row>
    <row r="2170" spans="1:25" s="11" customFormat="1" ht="89.25" customHeight="1" outlineLevel="1" x14ac:dyDescent="0.25">
      <c r="A2170" s="1"/>
      <c r="B2170" s="2" t="s">
        <v>6647</v>
      </c>
      <c r="C2170" s="3" t="s">
        <v>83</v>
      </c>
      <c r="D2170" s="3" t="s">
        <v>4107</v>
      </c>
      <c r="E2170" s="3" t="s">
        <v>4108</v>
      </c>
      <c r="F2170" s="3" t="s">
        <v>4109</v>
      </c>
      <c r="G2170" s="19" t="s">
        <v>4110</v>
      </c>
      <c r="H2170" s="2" t="s">
        <v>694</v>
      </c>
      <c r="I2170" s="4">
        <v>0</v>
      </c>
      <c r="J2170" s="5">
        <v>710000000</v>
      </c>
      <c r="K2170" s="5" t="s">
        <v>89</v>
      </c>
      <c r="L2170" s="2" t="s">
        <v>754</v>
      </c>
      <c r="M2170" s="6" t="s">
        <v>787</v>
      </c>
      <c r="N2170" s="7" t="s">
        <v>92</v>
      </c>
      <c r="O2170" s="7" t="s">
        <v>93</v>
      </c>
      <c r="P2170" s="3" t="s">
        <v>673</v>
      </c>
      <c r="Q2170" s="8" t="s">
        <v>2439</v>
      </c>
      <c r="R2170" s="7" t="s">
        <v>2440</v>
      </c>
      <c r="S2170" s="9">
        <f>20+10</f>
        <v>30</v>
      </c>
      <c r="T2170" s="9">
        <v>491.07</v>
      </c>
      <c r="U2170" s="9">
        <f t="shared" si="1644"/>
        <v>14732.1</v>
      </c>
      <c r="V2170" s="9">
        <f t="shared" si="1643"/>
        <v>16499.952000000001</v>
      </c>
      <c r="W2170" s="7"/>
      <c r="X2170" s="2">
        <v>2016</v>
      </c>
      <c r="Y2170" s="2"/>
    </row>
    <row r="2171" spans="1:25" s="11" customFormat="1" ht="89.25" customHeight="1" outlineLevel="1" x14ac:dyDescent="0.25">
      <c r="A2171" s="1"/>
      <c r="B2171" s="2" t="s">
        <v>6648</v>
      </c>
      <c r="C2171" s="3" t="s">
        <v>83</v>
      </c>
      <c r="D2171" s="3" t="s">
        <v>4111</v>
      </c>
      <c r="E2171" s="3" t="s">
        <v>4082</v>
      </c>
      <c r="F2171" s="3" t="s">
        <v>4112</v>
      </c>
      <c r="G2171" s="3"/>
      <c r="H2171" s="2" t="s">
        <v>694</v>
      </c>
      <c r="I2171" s="4">
        <v>0</v>
      </c>
      <c r="J2171" s="5">
        <v>710000000</v>
      </c>
      <c r="K2171" s="3" t="s">
        <v>89</v>
      </c>
      <c r="L2171" s="2" t="s">
        <v>754</v>
      </c>
      <c r="M2171" s="6" t="s">
        <v>682</v>
      </c>
      <c r="N2171" s="7" t="s">
        <v>92</v>
      </c>
      <c r="O2171" s="7" t="s">
        <v>93</v>
      </c>
      <c r="P2171" s="3" t="s">
        <v>673</v>
      </c>
      <c r="Q2171" s="8">
        <v>796</v>
      </c>
      <c r="R2171" s="7" t="s">
        <v>118</v>
      </c>
      <c r="S2171" s="9">
        <v>3</v>
      </c>
      <c r="T2171" s="9">
        <v>263.83999999999997</v>
      </c>
      <c r="U2171" s="9">
        <f t="shared" si="1644"/>
        <v>791.52</v>
      </c>
      <c r="V2171" s="9">
        <f t="shared" si="1643"/>
        <v>886.50240000000008</v>
      </c>
      <c r="W2171" s="3"/>
      <c r="X2171" s="2">
        <v>2016</v>
      </c>
      <c r="Y2171" s="3"/>
    </row>
    <row r="2172" spans="1:25" s="11" customFormat="1" ht="89.25" customHeight="1" outlineLevel="1" x14ac:dyDescent="0.25">
      <c r="A2172" s="1"/>
      <c r="B2172" s="2" t="s">
        <v>6649</v>
      </c>
      <c r="C2172" s="3" t="s">
        <v>83</v>
      </c>
      <c r="D2172" s="3" t="s">
        <v>4084</v>
      </c>
      <c r="E2172" s="3" t="s">
        <v>4085</v>
      </c>
      <c r="F2172" s="3" t="s">
        <v>3947</v>
      </c>
      <c r="G2172" s="19" t="s">
        <v>4113</v>
      </c>
      <c r="H2172" s="2" t="s">
        <v>694</v>
      </c>
      <c r="I2172" s="4">
        <v>0</v>
      </c>
      <c r="J2172" s="5">
        <v>710000000</v>
      </c>
      <c r="K2172" s="5" t="s">
        <v>89</v>
      </c>
      <c r="L2172" s="2" t="s">
        <v>754</v>
      </c>
      <c r="M2172" s="6" t="s">
        <v>682</v>
      </c>
      <c r="N2172" s="7" t="s">
        <v>92</v>
      </c>
      <c r="O2172" s="7" t="s">
        <v>93</v>
      </c>
      <c r="P2172" s="3" t="s">
        <v>673</v>
      </c>
      <c r="Q2172" s="31">
        <v>796</v>
      </c>
      <c r="R2172" s="5" t="s">
        <v>118</v>
      </c>
      <c r="S2172" s="9">
        <v>7</v>
      </c>
      <c r="T2172" s="9">
        <v>896.87</v>
      </c>
      <c r="U2172" s="9">
        <f t="shared" si="1644"/>
        <v>6278.09</v>
      </c>
      <c r="V2172" s="9">
        <f t="shared" si="1643"/>
        <v>7031.4608000000007</v>
      </c>
      <c r="W2172" s="7"/>
      <c r="X2172" s="2">
        <v>2016</v>
      </c>
      <c r="Y2172" s="2"/>
    </row>
    <row r="2173" spans="1:25" s="20" customFormat="1" ht="89.25" customHeight="1" outlineLevel="1" x14ac:dyDescent="0.25">
      <c r="A2173" s="1"/>
      <c r="B2173" s="2" t="s">
        <v>6650</v>
      </c>
      <c r="C2173" s="3" t="s">
        <v>83</v>
      </c>
      <c r="D2173" s="19" t="s">
        <v>4084</v>
      </c>
      <c r="E2173" s="19" t="s">
        <v>4085</v>
      </c>
      <c r="F2173" s="19" t="s">
        <v>3947</v>
      </c>
      <c r="G2173" s="19" t="s">
        <v>4114</v>
      </c>
      <c r="H2173" s="2" t="s">
        <v>694</v>
      </c>
      <c r="I2173" s="4">
        <v>0</v>
      </c>
      <c r="J2173" s="5">
        <v>710000000</v>
      </c>
      <c r="K2173" s="5" t="s">
        <v>89</v>
      </c>
      <c r="L2173" s="2" t="s">
        <v>754</v>
      </c>
      <c r="M2173" s="6" t="s">
        <v>91</v>
      </c>
      <c r="N2173" s="7" t="s">
        <v>92</v>
      </c>
      <c r="O2173" s="7" t="s">
        <v>93</v>
      </c>
      <c r="P2173" s="3" t="s">
        <v>673</v>
      </c>
      <c r="Q2173" s="8" t="s">
        <v>117</v>
      </c>
      <c r="R2173" s="7" t="s">
        <v>118</v>
      </c>
      <c r="S2173" s="9">
        <v>37</v>
      </c>
      <c r="T2173" s="9">
        <v>196</v>
      </c>
      <c r="U2173" s="9">
        <f t="shared" si="1644"/>
        <v>7252</v>
      </c>
      <c r="V2173" s="9">
        <f t="shared" si="1643"/>
        <v>8122.2400000000007</v>
      </c>
      <c r="W2173" s="7"/>
      <c r="X2173" s="2">
        <v>2016</v>
      </c>
      <c r="Y2173" s="2"/>
    </row>
    <row r="2174" spans="1:25" s="11" customFormat="1" ht="89.25" customHeight="1" outlineLevel="1" x14ac:dyDescent="0.25">
      <c r="A2174" s="1"/>
      <c r="B2174" s="2" t="s">
        <v>6651</v>
      </c>
      <c r="C2174" s="3" t="s">
        <v>83</v>
      </c>
      <c r="D2174" s="19" t="s">
        <v>4115</v>
      </c>
      <c r="E2174" s="19" t="s">
        <v>4085</v>
      </c>
      <c r="F2174" s="19" t="s">
        <v>4116</v>
      </c>
      <c r="G2174" s="19" t="s">
        <v>4117</v>
      </c>
      <c r="H2174" s="2" t="s">
        <v>694</v>
      </c>
      <c r="I2174" s="4">
        <v>0</v>
      </c>
      <c r="J2174" s="5">
        <v>710000000</v>
      </c>
      <c r="K2174" s="5" t="s">
        <v>89</v>
      </c>
      <c r="L2174" s="2" t="s">
        <v>754</v>
      </c>
      <c r="M2174" s="6" t="s">
        <v>91</v>
      </c>
      <c r="N2174" s="7" t="s">
        <v>92</v>
      </c>
      <c r="O2174" s="7" t="s">
        <v>93</v>
      </c>
      <c r="P2174" s="3" t="s">
        <v>673</v>
      </c>
      <c r="Q2174" s="8" t="s">
        <v>117</v>
      </c>
      <c r="R2174" s="7" t="s">
        <v>118</v>
      </c>
      <c r="S2174" s="9">
        <v>21</v>
      </c>
      <c r="T2174" s="9">
        <v>223</v>
      </c>
      <c r="U2174" s="9">
        <f t="shared" si="1644"/>
        <v>4683</v>
      </c>
      <c r="V2174" s="9">
        <f t="shared" si="1643"/>
        <v>5244.9600000000009</v>
      </c>
      <c r="W2174" s="7"/>
      <c r="X2174" s="2">
        <v>2016</v>
      </c>
      <c r="Y2174" s="2"/>
    </row>
    <row r="2175" spans="1:25" s="11" customFormat="1" ht="114.75" customHeight="1" outlineLevel="1" x14ac:dyDescent="0.25">
      <c r="A2175" s="1"/>
      <c r="B2175" s="2" t="s">
        <v>6652</v>
      </c>
      <c r="C2175" s="3" t="s">
        <v>83</v>
      </c>
      <c r="D2175" s="3" t="s">
        <v>4118</v>
      </c>
      <c r="E2175" s="3" t="s">
        <v>4119</v>
      </c>
      <c r="F2175" s="3" t="s">
        <v>4120</v>
      </c>
      <c r="G2175" s="19"/>
      <c r="H2175" s="2" t="s">
        <v>694</v>
      </c>
      <c r="I2175" s="4">
        <v>0</v>
      </c>
      <c r="J2175" s="5">
        <v>710000000</v>
      </c>
      <c r="K2175" s="5" t="s">
        <v>89</v>
      </c>
      <c r="L2175" s="2" t="s">
        <v>754</v>
      </c>
      <c r="M2175" s="6" t="s">
        <v>787</v>
      </c>
      <c r="N2175" s="7" t="s">
        <v>92</v>
      </c>
      <c r="O2175" s="7" t="s">
        <v>93</v>
      </c>
      <c r="P2175" s="3" t="s">
        <v>673</v>
      </c>
      <c r="Q2175" s="8">
        <v>796</v>
      </c>
      <c r="R2175" s="7" t="s">
        <v>118</v>
      </c>
      <c r="S2175" s="9">
        <f>29+3+2+34+1+2+1</f>
        <v>72</v>
      </c>
      <c r="T2175" s="9">
        <v>5804</v>
      </c>
      <c r="U2175" s="9">
        <f t="shared" si="1644"/>
        <v>417888</v>
      </c>
      <c r="V2175" s="9">
        <f t="shared" si="1643"/>
        <v>468034.56000000006</v>
      </c>
      <c r="W2175" s="7"/>
      <c r="X2175" s="2">
        <v>2016</v>
      </c>
      <c r="Y2175" s="2"/>
    </row>
    <row r="2176" spans="1:25" s="11" customFormat="1" ht="293.25" customHeight="1" outlineLevel="1" x14ac:dyDescent="0.25">
      <c r="A2176" s="1"/>
      <c r="B2176" s="2" t="s">
        <v>6653</v>
      </c>
      <c r="C2176" s="3" t="s">
        <v>83</v>
      </c>
      <c r="D2176" s="3" t="s">
        <v>4121</v>
      </c>
      <c r="E2176" s="3" t="s">
        <v>4119</v>
      </c>
      <c r="F2176" s="3" t="s">
        <v>4122</v>
      </c>
      <c r="G2176" s="19" t="s">
        <v>4123</v>
      </c>
      <c r="H2176" s="2" t="s">
        <v>694</v>
      </c>
      <c r="I2176" s="4">
        <v>0</v>
      </c>
      <c r="J2176" s="5">
        <v>710000000</v>
      </c>
      <c r="K2176" s="5" t="s">
        <v>89</v>
      </c>
      <c r="L2176" s="2" t="s">
        <v>754</v>
      </c>
      <c r="M2176" s="6" t="s">
        <v>787</v>
      </c>
      <c r="N2176" s="7" t="s">
        <v>92</v>
      </c>
      <c r="O2176" s="7" t="s">
        <v>93</v>
      </c>
      <c r="P2176" s="3" t="s">
        <v>673</v>
      </c>
      <c r="Q2176" s="8">
        <v>796</v>
      </c>
      <c r="R2176" s="7" t="s">
        <v>118</v>
      </c>
      <c r="S2176" s="9">
        <f>1</f>
        <v>1</v>
      </c>
      <c r="T2176" s="9">
        <v>25892.86</v>
      </c>
      <c r="U2176" s="9">
        <f t="shared" si="1644"/>
        <v>25892.86</v>
      </c>
      <c r="V2176" s="9">
        <f t="shared" si="1643"/>
        <v>29000.003200000003</v>
      </c>
      <c r="W2176" s="7"/>
      <c r="X2176" s="2">
        <v>2016</v>
      </c>
      <c r="Y2176" s="2"/>
    </row>
    <row r="2177" spans="1:25" s="11" customFormat="1" ht="114.75" customHeight="1" outlineLevel="1" x14ac:dyDescent="0.25">
      <c r="A2177" s="1"/>
      <c r="B2177" s="2" t="s">
        <v>6654</v>
      </c>
      <c r="C2177" s="3" t="s">
        <v>83</v>
      </c>
      <c r="D2177" s="19" t="s">
        <v>4124</v>
      </c>
      <c r="E2177" s="19" t="s">
        <v>4119</v>
      </c>
      <c r="F2177" s="19" t="s">
        <v>4125</v>
      </c>
      <c r="G2177" s="19"/>
      <c r="H2177" s="2" t="s">
        <v>694</v>
      </c>
      <c r="I2177" s="4">
        <v>0</v>
      </c>
      <c r="J2177" s="5">
        <v>710000000</v>
      </c>
      <c r="K2177" s="5" t="s">
        <v>89</v>
      </c>
      <c r="L2177" s="2" t="s">
        <v>754</v>
      </c>
      <c r="M2177" s="6" t="s">
        <v>91</v>
      </c>
      <c r="N2177" s="7" t="s">
        <v>92</v>
      </c>
      <c r="O2177" s="7" t="s">
        <v>93</v>
      </c>
      <c r="P2177" s="3" t="s">
        <v>673</v>
      </c>
      <c r="Q2177" s="8" t="s">
        <v>117</v>
      </c>
      <c r="R2177" s="7" t="s">
        <v>118</v>
      </c>
      <c r="S2177" s="9">
        <v>1</v>
      </c>
      <c r="T2177" s="9">
        <v>482</v>
      </c>
      <c r="U2177" s="9">
        <f t="shared" si="1644"/>
        <v>482</v>
      </c>
      <c r="V2177" s="9">
        <f t="shared" si="1643"/>
        <v>539.84</v>
      </c>
      <c r="W2177" s="7"/>
      <c r="X2177" s="2">
        <v>2016</v>
      </c>
      <c r="Y2177" s="2"/>
    </row>
    <row r="2178" spans="1:25" s="11" customFormat="1" ht="89.25" customHeight="1" outlineLevel="1" x14ac:dyDescent="0.25">
      <c r="A2178" s="1"/>
      <c r="B2178" s="2" t="s">
        <v>6655</v>
      </c>
      <c r="C2178" s="3" t="s">
        <v>83</v>
      </c>
      <c r="D2178" s="3" t="s">
        <v>4126</v>
      </c>
      <c r="E2178" s="3" t="s">
        <v>4127</v>
      </c>
      <c r="F2178" s="3" t="s">
        <v>4128</v>
      </c>
      <c r="G2178" s="19" t="s">
        <v>4129</v>
      </c>
      <c r="H2178" s="2" t="s">
        <v>694</v>
      </c>
      <c r="I2178" s="4">
        <v>0</v>
      </c>
      <c r="J2178" s="5">
        <v>710000000</v>
      </c>
      <c r="K2178" s="5" t="s">
        <v>89</v>
      </c>
      <c r="L2178" s="2" t="s">
        <v>754</v>
      </c>
      <c r="M2178" s="6" t="s">
        <v>787</v>
      </c>
      <c r="N2178" s="7" t="s">
        <v>92</v>
      </c>
      <c r="O2178" s="7" t="s">
        <v>93</v>
      </c>
      <c r="P2178" s="3" t="s">
        <v>673</v>
      </c>
      <c r="Q2178" s="8">
        <v>796</v>
      </c>
      <c r="R2178" s="7" t="s">
        <v>118</v>
      </c>
      <c r="S2178" s="9">
        <v>1</v>
      </c>
      <c r="T2178" s="9">
        <v>9300</v>
      </c>
      <c r="U2178" s="9">
        <f t="shared" si="1644"/>
        <v>9300</v>
      </c>
      <c r="V2178" s="9">
        <f t="shared" ref="V2178:V2272" si="1645">U2178*1.12</f>
        <v>10416.000000000002</v>
      </c>
      <c r="W2178" s="7"/>
      <c r="X2178" s="2">
        <v>2016</v>
      </c>
      <c r="Y2178" s="2"/>
    </row>
    <row r="2179" spans="1:25" s="11" customFormat="1" ht="89.25" customHeight="1" outlineLevel="1" x14ac:dyDescent="0.25">
      <c r="A2179" s="1"/>
      <c r="B2179" s="2" t="s">
        <v>6656</v>
      </c>
      <c r="C2179" s="3" t="s">
        <v>83</v>
      </c>
      <c r="D2179" s="3" t="s">
        <v>4130</v>
      </c>
      <c r="E2179" s="3" t="s">
        <v>4131</v>
      </c>
      <c r="F2179" s="3" t="s">
        <v>4132</v>
      </c>
      <c r="G2179" s="19"/>
      <c r="H2179" s="2" t="s">
        <v>694</v>
      </c>
      <c r="I2179" s="4">
        <v>0</v>
      </c>
      <c r="J2179" s="5">
        <v>710000000</v>
      </c>
      <c r="K2179" s="5" t="s">
        <v>89</v>
      </c>
      <c r="L2179" s="2" t="s">
        <v>754</v>
      </c>
      <c r="M2179" s="6" t="s">
        <v>787</v>
      </c>
      <c r="N2179" s="7" t="s">
        <v>92</v>
      </c>
      <c r="O2179" s="7" t="s">
        <v>93</v>
      </c>
      <c r="P2179" s="3" t="s">
        <v>673</v>
      </c>
      <c r="Q2179" s="8">
        <v>796</v>
      </c>
      <c r="R2179" s="7" t="s">
        <v>118</v>
      </c>
      <c r="S2179" s="9">
        <f>28+2+30+2+1</f>
        <v>63</v>
      </c>
      <c r="T2179" s="9">
        <v>378</v>
      </c>
      <c r="U2179" s="9">
        <f t="shared" si="1644"/>
        <v>23814</v>
      </c>
      <c r="V2179" s="9">
        <f t="shared" si="1645"/>
        <v>26671.680000000004</v>
      </c>
      <c r="W2179" s="7"/>
      <c r="X2179" s="2">
        <v>2016</v>
      </c>
      <c r="Y2179" s="2"/>
    </row>
    <row r="2180" spans="1:25" s="11" customFormat="1" ht="89.25" customHeight="1" outlineLevel="1" x14ac:dyDescent="0.25">
      <c r="A2180" s="1"/>
      <c r="B2180" s="2" t="s">
        <v>6657</v>
      </c>
      <c r="C2180" s="3" t="s">
        <v>83</v>
      </c>
      <c r="D2180" s="3" t="s">
        <v>4133</v>
      </c>
      <c r="E2180" s="3" t="s">
        <v>4131</v>
      </c>
      <c r="F2180" s="3" t="s">
        <v>4134</v>
      </c>
      <c r="G2180" s="19" t="s">
        <v>4135</v>
      </c>
      <c r="H2180" s="2" t="s">
        <v>694</v>
      </c>
      <c r="I2180" s="4">
        <v>0</v>
      </c>
      <c r="J2180" s="5">
        <v>710000000</v>
      </c>
      <c r="K2180" s="5" t="s">
        <v>89</v>
      </c>
      <c r="L2180" s="2" t="s">
        <v>754</v>
      </c>
      <c r="M2180" s="6" t="s">
        <v>787</v>
      </c>
      <c r="N2180" s="7" t="s">
        <v>92</v>
      </c>
      <c r="O2180" s="7" t="s">
        <v>93</v>
      </c>
      <c r="P2180" s="3" t="s">
        <v>673</v>
      </c>
      <c r="Q2180" s="8">
        <v>796</v>
      </c>
      <c r="R2180" s="7" t="s">
        <v>118</v>
      </c>
      <c r="S2180" s="9">
        <v>1</v>
      </c>
      <c r="T2180" s="9">
        <v>13182</v>
      </c>
      <c r="U2180" s="9">
        <f t="shared" si="1644"/>
        <v>13182</v>
      </c>
      <c r="V2180" s="9">
        <f t="shared" si="1645"/>
        <v>14763.840000000002</v>
      </c>
      <c r="W2180" s="7"/>
      <c r="X2180" s="2">
        <v>2016</v>
      </c>
      <c r="Y2180" s="2"/>
    </row>
    <row r="2181" spans="1:25" s="11" customFormat="1" ht="89.25" customHeight="1" outlineLevel="1" x14ac:dyDescent="0.25">
      <c r="A2181" s="1"/>
      <c r="B2181" s="2" t="s">
        <v>6658</v>
      </c>
      <c r="C2181" s="3" t="s">
        <v>83</v>
      </c>
      <c r="D2181" s="3" t="s">
        <v>4136</v>
      </c>
      <c r="E2181" s="3" t="s">
        <v>4137</v>
      </c>
      <c r="F2181" s="3" t="s">
        <v>4138</v>
      </c>
      <c r="G2181" s="19" t="s">
        <v>4139</v>
      </c>
      <c r="H2181" s="2" t="s">
        <v>694</v>
      </c>
      <c r="I2181" s="4">
        <v>0</v>
      </c>
      <c r="J2181" s="5">
        <v>710000000</v>
      </c>
      <c r="K2181" s="5" t="s">
        <v>89</v>
      </c>
      <c r="L2181" s="2" t="s">
        <v>754</v>
      </c>
      <c r="M2181" s="6" t="s">
        <v>787</v>
      </c>
      <c r="N2181" s="7" t="s">
        <v>92</v>
      </c>
      <c r="O2181" s="7" t="s">
        <v>93</v>
      </c>
      <c r="P2181" s="3" t="s">
        <v>673</v>
      </c>
      <c r="Q2181" s="8">
        <v>796</v>
      </c>
      <c r="R2181" s="7" t="s">
        <v>118</v>
      </c>
      <c r="S2181" s="9">
        <v>1</v>
      </c>
      <c r="T2181" s="9">
        <v>19012</v>
      </c>
      <c r="U2181" s="9">
        <f t="shared" si="1644"/>
        <v>19012</v>
      </c>
      <c r="V2181" s="9">
        <f t="shared" si="1645"/>
        <v>21293.440000000002</v>
      </c>
      <c r="W2181" s="7"/>
      <c r="X2181" s="2">
        <v>2016</v>
      </c>
      <c r="Y2181" s="2"/>
    </row>
    <row r="2182" spans="1:25" s="11" customFormat="1" ht="89.25" customHeight="1" outlineLevel="1" x14ac:dyDescent="0.25">
      <c r="A2182" s="1"/>
      <c r="B2182" s="2" t="s">
        <v>6659</v>
      </c>
      <c r="C2182" s="3" t="s">
        <v>83</v>
      </c>
      <c r="D2182" s="3" t="s">
        <v>4136</v>
      </c>
      <c r="E2182" s="3" t="s">
        <v>4137</v>
      </c>
      <c r="F2182" s="3" t="s">
        <v>4138</v>
      </c>
      <c r="G2182" s="19" t="s">
        <v>4140</v>
      </c>
      <c r="H2182" s="2" t="s">
        <v>694</v>
      </c>
      <c r="I2182" s="4">
        <v>0</v>
      </c>
      <c r="J2182" s="5">
        <v>710000000</v>
      </c>
      <c r="K2182" s="5" t="s">
        <v>89</v>
      </c>
      <c r="L2182" s="2" t="s">
        <v>754</v>
      </c>
      <c r="M2182" s="6" t="s">
        <v>787</v>
      </c>
      <c r="N2182" s="7" t="s">
        <v>92</v>
      </c>
      <c r="O2182" s="7" t="s">
        <v>93</v>
      </c>
      <c r="P2182" s="3" t="s">
        <v>673</v>
      </c>
      <c r="Q2182" s="8">
        <v>796</v>
      </c>
      <c r="R2182" s="7" t="s">
        <v>118</v>
      </c>
      <c r="S2182" s="9">
        <v>1</v>
      </c>
      <c r="T2182" s="9">
        <v>20063</v>
      </c>
      <c r="U2182" s="9">
        <f t="shared" si="1644"/>
        <v>20063</v>
      </c>
      <c r="V2182" s="9">
        <f t="shared" si="1645"/>
        <v>22470.560000000001</v>
      </c>
      <c r="W2182" s="7"/>
      <c r="X2182" s="2">
        <v>2016</v>
      </c>
      <c r="Y2182" s="2"/>
    </row>
    <row r="2183" spans="1:25" s="11" customFormat="1" ht="89.25" customHeight="1" outlineLevel="1" x14ac:dyDescent="0.25">
      <c r="A2183" s="1"/>
      <c r="B2183" s="2" t="s">
        <v>6660</v>
      </c>
      <c r="C2183" s="3" t="s">
        <v>83</v>
      </c>
      <c r="D2183" s="3" t="s">
        <v>4136</v>
      </c>
      <c r="E2183" s="3" t="s">
        <v>4137</v>
      </c>
      <c r="F2183" s="3" t="s">
        <v>4138</v>
      </c>
      <c r="G2183" s="19" t="s">
        <v>4141</v>
      </c>
      <c r="H2183" s="2" t="s">
        <v>694</v>
      </c>
      <c r="I2183" s="4">
        <v>0</v>
      </c>
      <c r="J2183" s="5">
        <v>710000000</v>
      </c>
      <c r="K2183" s="5" t="s">
        <v>89</v>
      </c>
      <c r="L2183" s="2" t="s">
        <v>754</v>
      </c>
      <c r="M2183" s="6" t="s">
        <v>787</v>
      </c>
      <c r="N2183" s="7" t="s">
        <v>92</v>
      </c>
      <c r="O2183" s="7" t="s">
        <v>93</v>
      </c>
      <c r="P2183" s="3" t="s">
        <v>673</v>
      </c>
      <c r="Q2183" s="8">
        <v>796</v>
      </c>
      <c r="R2183" s="7" t="s">
        <v>118</v>
      </c>
      <c r="S2183" s="9">
        <v>1</v>
      </c>
      <c r="T2183" s="9">
        <v>21018</v>
      </c>
      <c r="U2183" s="9">
        <f t="shared" si="1644"/>
        <v>21018</v>
      </c>
      <c r="V2183" s="9">
        <f t="shared" si="1645"/>
        <v>23540.160000000003</v>
      </c>
      <c r="W2183" s="7"/>
      <c r="X2183" s="2">
        <v>2016</v>
      </c>
      <c r="Y2183" s="2"/>
    </row>
    <row r="2184" spans="1:25" s="11" customFormat="1" ht="89.25" customHeight="1" outlineLevel="1" x14ac:dyDescent="0.25">
      <c r="A2184" s="1"/>
      <c r="B2184" s="2" t="s">
        <v>6661</v>
      </c>
      <c r="C2184" s="3" t="s">
        <v>83</v>
      </c>
      <c r="D2184" s="3" t="s">
        <v>4142</v>
      </c>
      <c r="E2184" s="3" t="s">
        <v>4143</v>
      </c>
      <c r="F2184" s="3" t="s">
        <v>4144</v>
      </c>
      <c r="G2184" s="19" t="s">
        <v>4145</v>
      </c>
      <c r="H2184" s="2" t="s">
        <v>694</v>
      </c>
      <c r="I2184" s="4">
        <v>0</v>
      </c>
      <c r="J2184" s="5">
        <v>710000000</v>
      </c>
      <c r="K2184" s="5" t="s">
        <v>89</v>
      </c>
      <c r="L2184" s="2" t="s">
        <v>754</v>
      </c>
      <c r="M2184" s="6" t="s">
        <v>787</v>
      </c>
      <c r="N2184" s="7" t="s">
        <v>92</v>
      </c>
      <c r="O2184" s="7" t="s">
        <v>93</v>
      </c>
      <c r="P2184" s="3" t="s">
        <v>673</v>
      </c>
      <c r="Q2184" s="8">
        <v>796</v>
      </c>
      <c r="R2184" s="7" t="s">
        <v>118</v>
      </c>
      <c r="S2184" s="9">
        <f>20+3+25+1+1+2+3+2</f>
        <v>57</v>
      </c>
      <c r="T2184" s="9">
        <v>464.29</v>
      </c>
      <c r="U2184" s="9">
        <f t="shared" si="1644"/>
        <v>26464.530000000002</v>
      </c>
      <c r="V2184" s="9">
        <f t="shared" si="1645"/>
        <v>29640.273600000004</v>
      </c>
      <c r="W2184" s="7"/>
      <c r="X2184" s="2">
        <v>2016</v>
      </c>
      <c r="Y2184" s="2"/>
    </row>
    <row r="2185" spans="1:25" s="11" customFormat="1" ht="89.25" customHeight="1" outlineLevel="1" x14ac:dyDescent="0.2">
      <c r="A2185" s="25"/>
      <c r="B2185" s="2" t="s">
        <v>6662</v>
      </c>
      <c r="C2185" s="3" t="s">
        <v>83</v>
      </c>
      <c r="D2185" s="3" t="s">
        <v>4142</v>
      </c>
      <c r="E2185" s="3" t="s">
        <v>4143</v>
      </c>
      <c r="F2185" s="3" t="s">
        <v>4144</v>
      </c>
      <c r="G2185" s="19" t="s">
        <v>4146</v>
      </c>
      <c r="H2185" s="2" t="s">
        <v>694</v>
      </c>
      <c r="I2185" s="4">
        <v>0</v>
      </c>
      <c r="J2185" s="5">
        <v>710000000</v>
      </c>
      <c r="K2185" s="5" t="s">
        <v>89</v>
      </c>
      <c r="L2185" s="2" t="s">
        <v>754</v>
      </c>
      <c r="M2185" s="6" t="s">
        <v>787</v>
      </c>
      <c r="N2185" s="7" t="s">
        <v>92</v>
      </c>
      <c r="O2185" s="7" t="s">
        <v>93</v>
      </c>
      <c r="P2185" s="3" t="s">
        <v>673</v>
      </c>
      <c r="Q2185" s="8">
        <v>796</v>
      </c>
      <c r="R2185" s="7" t="s">
        <v>118</v>
      </c>
      <c r="S2185" s="9">
        <v>15</v>
      </c>
      <c r="T2185" s="9">
        <v>709.82</v>
      </c>
      <c r="U2185" s="9">
        <v>0</v>
      </c>
      <c r="V2185" s="9">
        <f t="shared" si="1645"/>
        <v>0</v>
      </c>
      <c r="W2185" s="7"/>
      <c r="X2185" s="2">
        <v>2016</v>
      </c>
      <c r="Y2185" s="3" t="s">
        <v>8409</v>
      </c>
    </row>
    <row r="2186" spans="1:25" s="11" customFormat="1" ht="89.25" customHeight="1" outlineLevel="1" x14ac:dyDescent="0.25">
      <c r="A2186" s="1"/>
      <c r="B2186" s="2" t="s">
        <v>9231</v>
      </c>
      <c r="C2186" s="3" t="s">
        <v>83</v>
      </c>
      <c r="D2186" s="3" t="s">
        <v>4142</v>
      </c>
      <c r="E2186" s="3" t="s">
        <v>4143</v>
      </c>
      <c r="F2186" s="3" t="s">
        <v>4144</v>
      </c>
      <c r="G2186" s="19" t="s">
        <v>4146</v>
      </c>
      <c r="H2186" s="2" t="s">
        <v>694</v>
      </c>
      <c r="I2186" s="4">
        <v>0</v>
      </c>
      <c r="J2186" s="5">
        <v>710000000</v>
      </c>
      <c r="K2186" s="5" t="s">
        <v>89</v>
      </c>
      <c r="L2186" s="5" t="s">
        <v>9096</v>
      </c>
      <c r="M2186" s="6" t="s">
        <v>787</v>
      </c>
      <c r="N2186" s="7" t="s">
        <v>92</v>
      </c>
      <c r="O2186" s="7" t="s">
        <v>93</v>
      </c>
      <c r="P2186" s="3" t="s">
        <v>673</v>
      </c>
      <c r="Q2186" s="8">
        <v>796</v>
      </c>
      <c r="R2186" s="7" t="s">
        <v>118</v>
      </c>
      <c r="S2186" s="9">
        <f>15+15</f>
        <v>30</v>
      </c>
      <c r="T2186" s="9">
        <v>709.82</v>
      </c>
      <c r="U2186" s="9">
        <f t="shared" ref="U2186" si="1646">T2186*S2186</f>
        <v>21294.600000000002</v>
      </c>
      <c r="V2186" s="9">
        <f t="shared" ref="V2186" si="1647">U2186*1.12</f>
        <v>23849.952000000005</v>
      </c>
      <c r="W2186" s="7"/>
      <c r="X2186" s="2">
        <v>2016</v>
      </c>
      <c r="Y2186" s="2"/>
    </row>
    <row r="2187" spans="1:25" s="20" customFormat="1" ht="89.25" customHeight="1" outlineLevel="1" x14ac:dyDescent="0.2">
      <c r="A2187" s="25"/>
      <c r="B2187" s="2" t="s">
        <v>6663</v>
      </c>
      <c r="C2187" s="3" t="s">
        <v>83</v>
      </c>
      <c r="D2187" s="3" t="s">
        <v>4147</v>
      </c>
      <c r="E2187" s="3" t="s">
        <v>4148</v>
      </c>
      <c r="F2187" s="3" t="s">
        <v>4149</v>
      </c>
      <c r="G2187" s="3"/>
      <c r="H2187" s="2" t="s">
        <v>694</v>
      </c>
      <c r="I2187" s="4">
        <v>0</v>
      </c>
      <c r="J2187" s="5">
        <v>710000000</v>
      </c>
      <c r="K2187" s="3" t="s">
        <v>89</v>
      </c>
      <c r="L2187" s="2" t="s">
        <v>754</v>
      </c>
      <c r="M2187" s="3" t="s">
        <v>787</v>
      </c>
      <c r="N2187" s="7" t="s">
        <v>92</v>
      </c>
      <c r="O2187" s="7" t="s">
        <v>93</v>
      </c>
      <c r="P2187" s="3" t="s">
        <v>673</v>
      </c>
      <c r="Q2187" s="8">
        <v>796</v>
      </c>
      <c r="R2187" s="7" t="s">
        <v>118</v>
      </c>
      <c r="S2187" s="9">
        <f>8+1+19</f>
        <v>28</v>
      </c>
      <c r="T2187" s="9">
        <v>979.02</v>
      </c>
      <c r="U2187" s="9">
        <v>0</v>
      </c>
      <c r="V2187" s="9">
        <f t="shared" si="1645"/>
        <v>0</v>
      </c>
      <c r="W2187" s="3"/>
      <c r="X2187" s="2">
        <v>2016</v>
      </c>
      <c r="Y2187" s="3" t="s">
        <v>8409</v>
      </c>
    </row>
    <row r="2188" spans="1:25" s="20" customFormat="1" ht="89.25" customHeight="1" outlineLevel="1" x14ac:dyDescent="0.25">
      <c r="A2188" s="1"/>
      <c r="B2188" s="2" t="s">
        <v>9230</v>
      </c>
      <c r="C2188" s="3" t="s">
        <v>83</v>
      </c>
      <c r="D2188" s="3" t="s">
        <v>4147</v>
      </c>
      <c r="E2188" s="3" t="s">
        <v>4148</v>
      </c>
      <c r="F2188" s="3" t="s">
        <v>4149</v>
      </c>
      <c r="G2188" s="3"/>
      <c r="H2188" s="2" t="s">
        <v>694</v>
      </c>
      <c r="I2188" s="4">
        <v>0</v>
      </c>
      <c r="J2188" s="5">
        <v>710000000</v>
      </c>
      <c r="K2188" s="3" t="s">
        <v>89</v>
      </c>
      <c r="L2188" s="5" t="s">
        <v>9096</v>
      </c>
      <c r="M2188" s="3" t="s">
        <v>787</v>
      </c>
      <c r="N2188" s="7" t="s">
        <v>92</v>
      </c>
      <c r="O2188" s="7" t="s">
        <v>93</v>
      </c>
      <c r="P2188" s="3" t="s">
        <v>673</v>
      </c>
      <c r="Q2188" s="8">
        <v>796</v>
      </c>
      <c r="R2188" s="7" t="s">
        <v>118</v>
      </c>
      <c r="S2188" s="9">
        <f>8+1+19+8</f>
        <v>36</v>
      </c>
      <c r="T2188" s="9">
        <v>979.02</v>
      </c>
      <c r="U2188" s="9">
        <f t="shared" ref="U2188" si="1648">T2188*S2188</f>
        <v>35244.720000000001</v>
      </c>
      <c r="V2188" s="9">
        <f t="shared" ref="V2188" si="1649">U2188*1.12</f>
        <v>39474.086400000007</v>
      </c>
      <c r="W2188" s="3"/>
      <c r="X2188" s="2">
        <v>2016</v>
      </c>
      <c r="Y2188" s="3"/>
    </row>
    <row r="2189" spans="1:25" s="20" customFormat="1" ht="89.25" customHeight="1" outlineLevel="1" x14ac:dyDescent="0.25">
      <c r="A2189" s="1"/>
      <c r="B2189" s="2" t="s">
        <v>6664</v>
      </c>
      <c r="C2189" s="3" t="s">
        <v>83</v>
      </c>
      <c r="D2189" s="3" t="s">
        <v>4150</v>
      </c>
      <c r="E2189" s="3" t="s">
        <v>4148</v>
      </c>
      <c r="F2189" s="3" t="s">
        <v>4151</v>
      </c>
      <c r="G2189" s="3"/>
      <c r="H2189" s="2" t="s">
        <v>694</v>
      </c>
      <c r="I2189" s="21">
        <v>0</v>
      </c>
      <c r="J2189" s="5">
        <v>710000000</v>
      </c>
      <c r="K2189" s="3" t="s">
        <v>89</v>
      </c>
      <c r="L2189" s="2" t="s">
        <v>754</v>
      </c>
      <c r="M2189" s="3" t="s">
        <v>787</v>
      </c>
      <c r="N2189" s="7" t="s">
        <v>92</v>
      </c>
      <c r="O2189" s="7" t="s">
        <v>93</v>
      </c>
      <c r="P2189" s="3" t="s">
        <v>673</v>
      </c>
      <c r="Q2189" s="8">
        <v>796</v>
      </c>
      <c r="R2189" s="7" t="s">
        <v>118</v>
      </c>
      <c r="S2189" s="9">
        <f>2+10+6</f>
        <v>18</v>
      </c>
      <c r="T2189" s="9">
        <v>1223.6600000000001</v>
      </c>
      <c r="U2189" s="9">
        <f t="shared" si="1644"/>
        <v>22025.88</v>
      </c>
      <c r="V2189" s="9">
        <f t="shared" si="1645"/>
        <v>24668.985600000004</v>
      </c>
      <c r="W2189" s="3"/>
      <c r="X2189" s="2">
        <v>2016</v>
      </c>
      <c r="Y2189" s="3"/>
    </row>
    <row r="2190" spans="1:25" s="11" customFormat="1" ht="89.25" customHeight="1" outlineLevel="1" x14ac:dyDescent="0.25">
      <c r="A2190" s="1"/>
      <c r="B2190" s="2" t="s">
        <v>6665</v>
      </c>
      <c r="C2190" s="3" t="s">
        <v>83</v>
      </c>
      <c r="D2190" s="3" t="s">
        <v>4152</v>
      </c>
      <c r="E2190" s="3" t="s">
        <v>3368</v>
      </c>
      <c r="F2190" s="3" t="s">
        <v>4153</v>
      </c>
      <c r="G2190" s="3" t="s">
        <v>4154</v>
      </c>
      <c r="H2190" s="2" t="s">
        <v>694</v>
      </c>
      <c r="I2190" s="21">
        <v>0</v>
      </c>
      <c r="J2190" s="5">
        <v>710000000</v>
      </c>
      <c r="K2190" s="3" t="s">
        <v>89</v>
      </c>
      <c r="L2190" s="2" t="s">
        <v>754</v>
      </c>
      <c r="M2190" s="3" t="s">
        <v>787</v>
      </c>
      <c r="N2190" s="7" t="s">
        <v>92</v>
      </c>
      <c r="O2190" s="7" t="s">
        <v>93</v>
      </c>
      <c r="P2190" s="3" t="s">
        <v>673</v>
      </c>
      <c r="Q2190" s="8">
        <v>796</v>
      </c>
      <c r="R2190" s="7" t="s">
        <v>118</v>
      </c>
      <c r="S2190" s="9">
        <f>2+2</f>
        <v>4</v>
      </c>
      <c r="T2190" s="9">
        <v>9223.2099999999991</v>
      </c>
      <c r="U2190" s="9">
        <v>0</v>
      </c>
      <c r="V2190" s="9">
        <f t="shared" si="1645"/>
        <v>0</v>
      </c>
      <c r="W2190" s="3"/>
      <c r="X2190" s="2">
        <v>2016</v>
      </c>
      <c r="Y2190" s="3" t="s">
        <v>9709</v>
      </c>
    </row>
    <row r="2191" spans="1:25" s="11" customFormat="1" ht="89.25" customHeight="1" outlineLevel="1" x14ac:dyDescent="0.25">
      <c r="A2191" s="1"/>
      <c r="B2191" s="2" t="s">
        <v>9772</v>
      </c>
      <c r="C2191" s="3" t="s">
        <v>83</v>
      </c>
      <c r="D2191" s="3" t="s">
        <v>4152</v>
      </c>
      <c r="E2191" s="3" t="s">
        <v>3368</v>
      </c>
      <c r="F2191" s="3" t="s">
        <v>4153</v>
      </c>
      <c r="G2191" s="3" t="s">
        <v>4154</v>
      </c>
      <c r="H2191" s="2" t="s">
        <v>694</v>
      </c>
      <c r="I2191" s="21">
        <v>0</v>
      </c>
      <c r="J2191" s="5">
        <v>710000000</v>
      </c>
      <c r="K2191" s="3" t="s">
        <v>89</v>
      </c>
      <c r="L2191" s="6" t="s">
        <v>9737</v>
      </c>
      <c r="M2191" s="6" t="s">
        <v>9720</v>
      </c>
      <c r="N2191" s="7" t="s">
        <v>92</v>
      </c>
      <c r="O2191" s="7" t="s">
        <v>93</v>
      </c>
      <c r="P2191" s="3" t="s">
        <v>673</v>
      </c>
      <c r="Q2191" s="8">
        <v>796</v>
      </c>
      <c r="R2191" s="7" t="s">
        <v>118</v>
      </c>
      <c r="S2191" s="9">
        <f>2+2+4</f>
        <v>8</v>
      </c>
      <c r="T2191" s="9">
        <v>9223.2099999999991</v>
      </c>
      <c r="U2191" s="9">
        <f t="shared" ref="U2191" si="1650">T2191*S2191</f>
        <v>73785.679999999993</v>
      </c>
      <c r="V2191" s="9">
        <f t="shared" ref="V2191" si="1651">U2191*1.12</f>
        <v>82639.961599999995</v>
      </c>
      <c r="W2191" s="3"/>
      <c r="X2191" s="2">
        <v>2016</v>
      </c>
      <c r="Y2191" s="3"/>
    </row>
    <row r="2192" spans="1:25" s="20" customFormat="1" ht="89.25" customHeight="1" outlineLevel="1" x14ac:dyDescent="0.25">
      <c r="A2192" s="1"/>
      <c r="B2192" s="2" t="s">
        <v>6666</v>
      </c>
      <c r="C2192" s="3" t="s">
        <v>83</v>
      </c>
      <c r="D2192" s="3" t="s">
        <v>4152</v>
      </c>
      <c r="E2192" s="3" t="s">
        <v>3368</v>
      </c>
      <c r="F2192" s="3" t="s">
        <v>4153</v>
      </c>
      <c r="G2192" s="3" t="s">
        <v>4155</v>
      </c>
      <c r="H2192" s="2" t="s">
        <v>694</v>
      </c>
      <c r="I2192" s="21">
        <v>0</v>
      </c>
      <c r="J2192" s="5">
        <v>710000000</v>
      </c>
      <c r="K2192" s="3" t="s">
        <v>89</v>
      </c>
      <c r="L2192" s="2" t="s">
        <v>754</v>
      </c>
      <c r="M2192" s="3" t="s">
        <v>787</v>
      </c>
      <c r="N2192" s="7" t="s">
        <v>92</v>
      </c>
      <c r="O2192" s="7" t="s">
        <v>93</v>
      </c>
      <c r="P2192" s="3" t="s">
        <v>673</v>
      </c>
      <c r="Q2192" s="8">
        <v>796</v>
      </c>
      <c r="R2192" s="7" t="s">
        <v>118</v>
      </c>
      <c r="S2192" s="9">
        <v>3</v>
      </c>
      <c r="T2192" s="9">
        <v>16544.2</v>
      </c>
      <c r="U2192" s="9">
        <v>0</v>
      </c>
      <c r="V2192" s="9">
        <f t="shared" si="1645"/>
        <v>0</v>
      </c>
      <c r="W2192" s="3"/>
      <c r="X2192" s="2">
        <v>2016</v>
      </c>
      <c r="Y2192" s="3" t="s">
        <v>9709</v>
      </c>
    </row>
    <row r="2193" spans="1:25" s="20" customFormat="1" ht="89.25" customHeight="1" outlineLevel="1" x14ac:dyDescent="0.25">
      <c r="A2193" s="1"/>
      <c r="B2193" s="2" t="s">
        <v>9773</v>
      </c>
      <c r="C2193" s="3" t="s">
        <v>83</v>
      </c>
      <c r="D2193" s="3" t="s">
        <v>4152</v>
      </c>
      <c r="E2193" s="3" t="s">
        <v>3368</v>
      </c>
      <c r="F2193" s="3" t="s">
        <v>4153</v>
      </c>
      <c r="G2193" s="3" t="s">
        <v>4155</v>
      </c>
      <c r="H2193" s="2" t="s">
        <v>694</v>
      </c>
      <c r="I2193" s="21">
        <v>0</v>
      </c>
      <c r="J2193" s="5">
        <v>710000000</v>
      </c>
      <c r="K2193" s="3" t="s">
        <v>89</v>
      </c>
      <c r="L2193" s="6" t="s">
        <v>9737</v>
      </c>
      <c r="M2193" s="6" t="s">
        <v>9720</v>
      </c>
      <c r="N2193" s="7" t="s">
        <v>92</v>
      </c>
      <c r="O2193" s="7" t="s">
        <v>93</v>
      </c>
      <c r="P2193" s="3" t="s">
        <v>673</v>
      </c>
      <c r="Q2193" s="8">
        <v>796</v>
      </c>
      <c r="R2193" s="7" t="s">
        <v>118</v>
      </c>
      <c r="S2193" s="9">
        <f>3+3</f>
        <v>6</v>
      </c>
      <c r="T2193" s="9">
        <v>16544.2</v>
      </c>
      <c r="U2193" s="9">
        <f t="shared" ref="U2193" si="1652">T2193*S2193</f>
        <v>99265.200000000012</v>
      </c>
      <c r="V2193" s="9">
        <f t="shared" ref="V2193" si="1653">U2193*1.12</f>
        <v>111177.02400000002</v>
      </c>
      <c r="W2193" s="3"/>
      <c r="X2193" s="2">
        <v>2016</v>
      </c>
      <c r="Y2193" s="3"/>
    </row>
    <row r="2194" spans="1:25" s="20" customFormat="1" ht="89.25" customHeight="1" outlineLevel="1" x14ac:dyDescent="0.25">
      <c r="A2194" s="1"/>
      <c r="B2194" s="2" t="s">
        <v>6667</v>
      </c>
      <c r="C2194" s="3" t="s">
        <v>83</v>
      </c>
      <c r="D2194" s="3" t="s">
        <v>4156</v>
      </c>
      <c r="E2194" s="3" t="s">
        <v>4157</v>
      </c>
      <c r="F2194" s="3" t="s">
        <v>4158</v>
      </c>
      <c r="G2194" s="19" t="s">
        <v>4159</v>
      </c>
      <c r="H2194" s="2" t="s">
        <v>694</v>
      </c>
      <c r="I2194" s="21">
        <v>0</v>
      </c>
      <c r="J2194" s="5">
        <v>710000000</v>
      </c>
      <c r="K2194" s="3" t="s">
        <v>89</v>
      </c>
      <c r="L2194" s="2" t="s">
        <v>754</v>
      </c>
      <c r="M2194" s="3" t="s">
        <v>787</v>
      </c>
      <c r="N2194" s="7" t="s">
        <v>92</v>
      </c>
      <c r="O2194" s="7" t="s">
        <v>93</v>
      </c>
      <c r="P2194" s="3" t="s">
        <v>673</v>
      </c>
      <c r="Q2194" s="8">
        <v>796</v>
      </c>
      <c r="R2194" s="7" t="s">
        <v>118</v>
      </c>
      <c r="S2194" s="9">
        <f>1+1+1</f>
        <v>3</v>
      </c>
      <c r="T2194" s="9">
        <v>11776</v>
      </c>
      <c r="U2194" s="9">
        <f t="shared" si="1644"/>
        <v>35328</v>
      </c>
      <c r="V2194" s="9">
        <f t="shared" si="1645"/>
        <v>39567.360000000001</v>
      </c>
      <c r="W2194" s="3"/>
      <c r="X2194" s="2">
        <v>2016</v>
      </c>
      <c r="Y2194" s="3"/>
    </row>
    <row r="2195" spans="1:25" s="20" customFormat="1" ht="89.25" customHeight="1" outlineLevel="1" x14ac:dyDescent="0.25">
      <c r="A2195" s="1"/>
      <c r="B2195" s="2" t="s">
        <v>6668</v>
      </c>
      <c r="C2195" s="3" t="s">
        <v>83</v>
      </c>
      <c r="D2195" s="3" t="s">
        <v>4160</v>
      </c>
      <c r="E2195" s="3" t="s">
        <v>4157</v>
      </c>
      <c r="F2195" s="3" t="s">
        <v>4161</v>
      </c>
      <c r="G2195" s="19" t="s">
        <v>4162</v>
      </c>
      <c r="H2195" s="2" t="s">
        <v>694</v>
      </c>
      <c r="I2195" s="21">
        <v>0</v>
      </c>
      <c r="J2195" s="5">
        <v>710000000</v>
      </c>
      <c r="K2195" s="3" t="s">
        <v>89</v>
      </c>
      <c r="L2195" s="2" t="s">
        <v>754</v>
      </c>
      <c r="M2195" s="3" t="s">
        <v>787</v>
      </c>
      <c r="N2195" s="7" t="s">
        <v>92</v>
      </c>
      <c r="O2195" s="7" t="s">
        <v>93</v>
      </c>
      <c r="P2195" s="3" t="s">
        <v>673</v>
      </c>
      <c r="Q2195" s="8">
        <v>796</v>
      </c>
      <c r="R2195" s="7" t="s">
        <v>118</v>
      </c>
      <c r="S2195" s="9">
        <f>10+2</f>
        <v>12</v>
      </c>
      <c r="T2195" s="9">
        <v>2518.31</v>
      </c>
      <c r="U2195" s="9">
        <f t="shared" si="1644"/>
        <v>30219.72</v>
      </c>
      <c r="V2195" s="9">
        <f t="shared" si="1645"/>
        <v>33846.086400000007</v>
      </c>
      <c r="W2195" s="3"/>
      <c r="X2195" s="2">
        <v>2016</v>
      </c>
      <c r="Y2195" s="3"/>
    </row>
    <row r="2196" spans="1:25" s="20" customFormat="1" ht="89.25" customHeight="1" outlineLevel="1" x14ac:dyDescent="0.25">
      <c r="A2196" s="1"/>
      <c r="B2196" s="2" t="s">
        <v>6669</v>
      </c>
      <c r="C2196" s="3" t="s">
        <v>83</v>
      </c>
      <c r="D2196" s="3" t="s">
        <v>4163</v>
      </c>
      <c r="E2196" s="3" t="s">
        <v>4157</v>
      </c>
      <c r="F2196" s="3" t="s">
        <v>4164</v>
      </c>
      <c r="G2196" s="19" t="s">
        <v>4165</v>
      </c>
      <c r="H2196" s="2" t="s">
        <v>694</v>
      </c>
      <c r="I2196" s="21">
        <v>0</v>
      </c>
      <c r="J2196" s="5">
        <v>710000000</v>
      </c>
      <c r="K2196" s="3" t="s">
        <v>89</v>
      </c>
      <c r="L2196" s="2" t="s">
        <v>754</v>
      </c>
      <c r="M2196" s="3" t="s">
        <v>787</v>
      </c>
      <c r="N2196" s="7" t="s">
        <v>92</v>
      </c>
      <c r="O2196" s="7" t="s">
        <v>93</v>
      </c>
      <c r="P2196" s="3" t="s">
        <v>673</v>
      </c>
      <c r="Q2196" s="8">
        <v>796</v>
      </c>
      <c r="R2196" s="7" t="s">
        <v>118</v>
      </c>
      <c r="S2196" s="9">
        <f>20+24+12+64+13+4+6+5+6</f>
        <v>154</v>
      </c>
      <c r="T2196" s="9">
        <v>794.64</v>
      </c>
      <c r="U2196" s="9">
        <f t="shared" si="1644"/>
        <v>122374.56</v>
      </c>
      <c r="V2196" s="9">
        <f t="shared" si="1645"/>
        <v>137059.50720000002</v>
      </c>
      <c r="W2196" s="3"/>
      <c r="X2196" s="2">
        <v>2016</v>
      </c>
      <c r="Y2196" s="3"/>
    </row>
    <row r="2197" spans="1:25" s="20" customFormat="1" ht="89.25" customHeight="1" outlineLevel="1" x14ac:dyDescent="0.25">
      <c r="A2197" s="1"/>
      <c r="B2197" s="2" t="s">
        <v>6670</v>
      </c>
      <c r="C2197" s="3" t="s">
        <v>83</v>
      </c>
      <c r="D2197" s="3" t="s">
        <v>4166</v>
      </c>
      <c r="E2197" s="3" t="s">
        <v>4157</v>
      </c>
      <c r="F2197" s="3" t="s">
        <v>4167</v>
      </c>
      <c r="G2197" s="19" t="s">
        <v>4168</v>
      </c>
      <c r="H2197" s="2" t="s">
        <v>694</v>
      </c>
      <c r="I2197" s="21">
        <v>0</v>
      </c>
      <c r="J2197" s="5">
        <v>710000000</v>
      </c>
      <c r="K2197" s="3" t="s">
        <v>89</v>
      </c>
      <c r="L2197" s="2" t="s">
        <v>754</v>
      </c>
      <c r="M2197" s="3" t="s">
        <v>787</v>
      </c>
      <c r="N2197" s="7" t="s">
        <v>92</v>
      </c>
      <c r="O2197" s="7" t="s">
        <v>93</v>
      </c>
      <c r="P2197" s="3" t="s">
        <v>673</v>
      </c>
      <c r="Q2197" s="8">
        <v>796</v>
      </c>
      <c r="R2197" s="7" t="s">
        <v>118</v>
      </c>
      <c r="S2197" s="9">
        <f>12+18+5+19+3+4+3+2+2</f>
        <v>68</v>
      </c>
      <c r="T2197" s="9">
        <v>1160.71</v>
      </c>
      <c r="U2197" s="9">
        <f t="shared" si="1644"/>
        <v>78928.28</v>
      </c>
      <c r="V2197" s="9">
        <f t="shared" si="1645"/>
        <v>88399.673600000009</v>
      </c>
      <c r="W2197" s="3"/>
      <c r="X2197" s="2">
        <v>2016</v>
      </c>
      <c r="Y2197" s="3"/>
    </row>
    <row r="2198" spans="1:25" s="20" customFormat="1" ht="89.25" customHeight="1" outlineLevel="1" x14ac:dyDescent="0.25">
      <c r="A2198" s="1"/>
      <c r="B2198" s="2" t="s">
        <v>6671</v>
      </c>
      <c r="C2198" s="3" t="s">
        <v>83</v>
      </c>
      <c r="D2198" s="3" t="s">
        <v>4169</v>
      </c>
      <c r="E2198" s="3" t="s">
        <v>4157</v>
      </c>
      <c r="F2198" s="3" t="s">
        <v>4170</v>
      </c>
      <c r="G2198" s="19" t="s">
        <v>4171</v>
      </c>
      <c r="H2198" s="2" t="s">
        <v>694</v>
      </c>
      <c r="I2198" s="4">
        <v>0</v>
      </c>
      <c r="J2198" s="5">
        <v>710000000</v>
      </c>
      <c r="K2198" s="5" t="s">
        <v>89</v>
      </c>
      <c r="L2198" s="2" t="s">
        <v>754</v>
      </c>
      <c r="M2198" s="6" t="s">
        <v>787</v>
      </c>
      <c r="N2198" s="7" t="s">
        <v>92</v>
      </c>
      <c r="O2198" s="7" t="s">
        <v>93</v>
      </c>
      <c r="P2198" s="3" t="s">
        <v>673</v>
      </c>
      <c r="Q2198" s="8">
        <v>796</v>
      </c>
      <c r="R2198" s="7" t="s">
        <v>118</v>
      </c>
      <c r="S2198" s="9">
        <f>2+13+4+12+4+1+2+2</f>
        <v>40</v>
      </c>
      <c r="T2198" s="9">
        <v>2446.4299999999998</v>
      </c>
      <c r="U2198" s="9">
        <f t="shared" si="1644"/>
        <v>97857.2</v>
      </c>
      <c r="V2198" s="9">
        <f t="shared" si="1645"/>
        <v>109600.06400000001</v>
      </c>
      <c r="W2198" s="7"/>
      <c r="X2198" s="2">
        <v>2016</v>
      </c>
      <c r="Y2198" s="2"/>
    </row>
    <row r="2199" spans="1:25" s="11" customFormat="1" ht="89.25" customHeight="1" outlineLevel="1" x14ac:dyDescent="0.25">
      <c r="A2199" s="1"/>
      <c r="B2199" s="2" t="s">
        <v>6672</v>
      </c>
      <c r="C2199" s="3" t="s">
        <v>83</v>
      </c>
      <c r="D2199" s="3" t="s">
        <v>4172</v>
      </c>
      <c r="E2199" s="3" t="s">
        <v>4157</v>
      </c>
      <c r="F2199" s="3" t="s">
        <v>4173</v>
      </c>
      <c r="G2199" s="19" t="s">
        <v>4174</v>
      </c>
      <c r="H2199" s="2" t="s">
        <v>694</v>
      </c>
      <c r="I2199" s="21">
        <v>0</v>
      </c>
      <c r="J2199" s="5">
        <v>710000000</v>
      </c>
      <c r="K2199" s="3" t="s">
        <v>89</v>
      </c>
      <c r="L2199" s="2" t="s">
        <v>754</v>
      </c>
      <c r="M2199" s="3" t="s">
        <v>787</v>
      </c>
      <c r="N2199" s="7" t="s">
        <v>92</v>
      </c>
      <c r="O2199" s="7" t="s">
        <v>93</v>
      </c>
      <c r="P2199" s="3" t="s">
        <v>673</v>
      </c>
      <c r="Q2199" s="8">
        <v>796</v>
      </c>
      <c r="R2199" s="7" t="s">
        <v>118</v>
      </c>
      <c r="S2199" s="9">
        <f>4+10+2+9+2</f>
        <v>27</v>
      </c>
      <c r="T2199" s="9">
        <v>3928.57</v>
      </c>
      <c r="U2199" s="9">
        <f t="shared" si="1644"/>
        <v>106071.39</v>
      </c>
      <c r="V2199" s="9">
        <f t="shared" si="1645"/>
        <v>118799.95680000001</v>
      </c>
      <c r="W2199" s="3"/>
      <c r="X2199" s="2">
        <v>2016</v>
      </c>
      <c r="Y2199" s="3"/>
    </row>
    <row r="2200" spans="1:25" s="11" customFormat="1" ht="89.25" customHeight="1" outlineLevel="1" x14ac:dyDescent="0.25">
      <c r="A2200" s="1"/>
      <c r="B2200" s="2" t="s">
        <v>6673</v>
      </c>
      <c r="C2200" s="3" t="s">
        <v>83</v>
      </c>
      <c r="D2200" s="3" t="s">
        <v>4175</v>
      </c>
      <c r="E2200" s="3" t="s">
        <v>4157</v>
      </c>
      <c r="F2200" s="3" t="s">
        <v>4176</v>
      </c>
      <c r="G2200" s="19" t="s">
        <v>4177</v>
      </c>
      <c r="H2200" s="2" t="s">
        <v>694</v>
      </c>
      <c r="I2200" s="21">
        <v>0</v>
      </c>
      <c r="J2200" s="5">
        <v>710000000</v>
      </c>
      <c r="K2200" s="3" t="s">
        <v>89</v>
      </c>
      <c r="L2200" s="2" t="s">
        <v>754</v>
      </c>
      <c r="M2200" s="3" t="s">
        <v>787</v>
      </c>
      <c r="N2200" s="7" t="s">
        <v>92</v>
      </c>
      <c r="O2200" s="7" t="s">
        <v>93</v>
      </c>
      <c r="P2200" s="3" t="s">
        <v>673</v>
      </c>
      <c r="Q2200" s="8">
        <v>796</v>
      </c>
      <c r="R2200" s="7" t="s">
        <v>118</v>
      </c>
      <c r="S2200" s="9">
        <f>6+4+6</f>
        <v>16</v>
      </c>
      <c r="T2200" s="9">
        <v>4464.29</v>
      </c>
      <c r="U2200" s="9">
        <f t="shared" si="1644"/>
        <v>71428.639999999999</v>
      </c>
      <c r="V2200" s="9">
        <f t="shared" si="1645"/>
        <v>80000.07680000001</v>
      </c>
      <c r="W2200" s="3"/>
      <c r="X2200" s="2">
        <v>2016</v>
      </c>
      <c r="Y2200" s="3"/>
    </row>
    <row r="2201" spans="1:25" s="11" customFormat="1" ht="89.25" customHeight="1" outlineLevel="1" x14ac:dyDescent="0.25">
      <c r="A2201" s="1"/>
      <c r="B2201" s="2" t="s">
        <v>6674</v>
      </c>
      <c r="C2201" s="3" t="s">
        <v>83</v>
      </c>
      <c r="D2201" s="3" t="s">
        <v>4178</v>
      </c>
      <c r="E2201" s="3" t="s">
        <v>4157</v>
      </c>
      <c r="F2201" s="3" t="s">
        <v>4179</v>
      </c>
      <c r="G2201" s="19" t="s">
        <v>4180</v>
      </c>
      <c r="H2201" s="2" t="s">
        <v>694</v>
      </c>
      <c r="I2201" s="21">
        <v>0</v>
      </c>
      <c r="J2201" s="5">
        <v>710000000</v>
      </c>
      <c r="K2201" s="3" t="s">
        <v>89</v>
      </c>
      <c r="L2201" s="2" t="s">
        <v>754</v>
      </c>
      <c r="M2201" s="3" t="s">
        <v>787</v>
      </c>
      <c r="N2201" s="7" t="s">
        <v>92</v>
      </c>
      <c r="O2201" s="7" t="s">
        <v>93</v>
      </c>
      <c r="P2201" s="3" t="s">
        <v>673</v>
      </c>
      <c r="Q2201" s="8">
        <v>796</v>
      </c>
      <c r="R2201" s="7" t="s">
        <v>118</v>
      </c>
      <c r="S2201" s="9">
        <f>1+4+1+4</f>
        <v>10</v>
      </c>
      <c r="T2201" s="9">
        <v>6294.64</v>
      </c>
      <c r="U2201" s="9">
        <f t="shared" si="1644"/>
        <v>62946.400000000001</v>
      </c>
      <c r="V2201" s="9">
        <f t="shared" si="1645"/>
        <v>70499.968000000008</v>
      </c>
      <c r="W2201" s="3"/>
      <c r="X2201" s="2">
        <v>2016</v>
      </c>
      <c r="Y2201" s="3"/>
    </row>
    <row r="2202" spans="1:25" s="11" customFormat="1" ht="89.25" customHeight="1" outlineLevel="1" x14ac:dyDescent="0.25">
      <c r="A2202" s="1"/>
      <c r="B2202" s="2" t="s">
        <v>6675</v>
      </c>
      <c r="C2202" s="3" t="s">
        <v>83</v>
      </c>
      <c r="D2202" s="3" t="s">
        <v>4181</v>
      </c>
      <c r="E2202" s="3" t="s">
        <v>4157</v>
      </c>
      <c r="F2202" s="3" t="s">
        <v>4182</v>
      </c>
      <c r="G2202" s="19"/>
      <c r="H2202" s="2" t="s">
        <v>694</v>
      </c>
      <c r="I2202" s="21">
        <v>0</v>
      </c>
      <c r="J2202" s="5">
        <v>710000000</v>
      </c>
      <c r="K2202" s="3" t="s">
        <v>89</v>
      </c>
      <c r="L2202" s="2" t="s">
        <v>754</v>
      </c>
      <c r="M2202" s="3" t="s">
        <v>787</v>
      </c>
      <c r="N2202" s="7" t="s">
        <v>92</v>
      </c>
      <c r="O2202" s="7" t="s">
        <v>93</v>
      </c>
      <c r="P2202" s="3" t="s">
        <v>673</v>
      </c>
      <c r="Q2202" s="8">
        <v>796</v>
      </c>
      <c r="R2202" s="7" t="s">
        <v>118</v>
      </c>
      <c r="S2202" s="9">
        <f>8+2+7+1+3+2</f>
        <v>23</v>
      </c>
      <c r="T2202" s="9">
        <v>11651.79</v>
      </c>
      <c r="U2202" s="9">
        <v>0</v>
      </c>
      <c r="V2202" s="9">
        <f t="shared" si="1645"/>
        <v>0</v>
      </c>
      <c r="W2202" s="3"/>
      <c r="X2202" s="2">
        <v>2016</v>
      </c>
      <c r="Y2202" s="3" t="s">
        <v>9709</v>
      </c>
    </row>
    <row r="2203" spans="1:25" s="11" customFormat="1" ht="89.25" customHeight="1" outlineLevel="1" x14ac:dyDescent="0.25">
      <c r="A2203" s="1"/>
      <c r="B2203" s="2" t="s">
        <v>9774</v>
      </c>
      <c r="C2203" s="3" t="s">
        <v>83</v>
      </c>
      <c r="D2203" s="3" t="s">
        <v>4181</v>
      </c>
      <c r="E2203" s="3" t="s">
        <v>4157</v>
      </c>
      <c r="F2203" s="3" t="s">
        <v>4182</v>
      </c>
      <c r="G2203" s="19"/>
      <c r="H2203" s="2" t="s">
        <v>694</v>
      </c>
      <c r="I2203" s="21">
        <v>0</v>
      </c>
      <c r="J2203" s="5">
        <v>710000000</v>
      </c>
      <c r="K2203" s="3" t="s">
        <v>89</v>
      </c>
      <c r="L2203" s="6" t="s">
        <v>9737</v>
      </c>
      <c r="M2203" s="6" t="s">
        <v>9720</v>
      </c>
      <c r="N2203" s="7" t="s">
        <v>92</v>
      </c>
      <c r="O2203" s="7" t="s">
        <v>93</v>
      </c>
      <c r="P2203" s="3" t="s">
        <v>673</v>
      </c>
      <c r="Q2203" s="8">
        <v>796</v>
      </c>
      <c r="R2203" s="7" t="s">
        <v>118</v>
      </c>
      <c r="S2203" s="9">
        <f>8+2+7+1+3+2+23</f>
        <v>46</v>
      </c>
      <c r="T2203" s="9">
        <v>11651.79</v>
      </c>
      <c r="U2203" s="9">
        <f t="shared" ref="U2203" si="1654">T2203*S2203</f>
        <v>535982.34000000008</v>
      </c>
      <c r="V2203" s="9">
        <f t="shared" ref="V2203" si="1655">U2203*1.12</f>
        <v>600300.22080000013</v>
      </c>
      <c r="W2203" s="3"/>
      <c r="X2203" s="2">
        <v>2016</v>
      </c>
      <c r="Y2203" s="3"/>
    </row>
    <row r="2204" spans="1:25" s="20" customFormat="1" ht="89.25" customHeight="1" outlineLevel="1" x14ac:dyDescent="0.2">
      <c r="A2204" s="25"/>
      <c r="B2204" s="2" t="s">
        <v>6676</v>
      </c>
      <c r="C2204" s="3" t="s">
        <v>83</v>
      </c>
      <c r="D2204" s="3" t="s">
        <v>4183</v>
      </c>
      <c r="E2204" s="3" t="s">
        <v>2510</v>
      </c>
      <c r="F2204" s="3" t="s">
        <v>4184</v>
      </c>
      <c r="G2204" s="3" t="s">
        <v>4185</v>
      </c>
      <c r="H2204" s="2" t="s">
        <v>694</v>
      </c>
      <c r="I2204" s="21">
        <v>0</v>
      </c>
      <c r="J2204" s="5">
        <v>710000000</v>
      </c>
      <c r="K2204" s="3" t="s">
        <v>89</v>
      </c>
      <c r="L2204" s="2" t="s">
        <v>754</v>
      </c>
      <c r="M2204" s="3" t="s">
        <v>787</v>
      </c>
      <c r="N2204" s="7" t="s">
        <v>92</v>
      </c>
      <c r="O2204" s="7" t="s">
        <v>93</v>
      </c>
      <c r="P2204" s="3" t="s">
        <v>673</v>
      </c>
      <c r="Q2204" s="8">
        <v>796</v>
      </c>
      <c r="R2204" s="7" t="s">
        <v>118</v>
      </c>
      <c r="S2204" s="9">
        <f>80+40+32</f>
        <v>152</v>
      </c>
      <c r="T2204" s="9">
        <v>16.96</v>
      </c>
      <c r="U2204" s="9">
        <v>0</v>
      </c>
      <c r="V2204" s="9">
        <f t="shared" si="1645"/>
        <v>0</v>
      </c>
      <c r="W2204" s="3"/>
      <c r="X2204" s="2">
        <v>2016</v>
      </c>
      <c r="Y2204" s="2" t="s">
        <v>8409</v>
      </c>
    </row>
    <row r="2205" spans="1:25" s="20" customFormat="1" ht="89.25" customHeight="1" outlineLevel="1" x14ac:dyDescent="0.25">
      <c r="A2205" s="1"/>
      <c r="B2205" s="2" t="s">
        <v>9238</v>
      </c>
      <c r="C2205" s="3" t="s">
        <v>83</v>
      </c>
      <c r="D2205" s="3" t="s">
        <v>4183</v>
      </c>
      <c r="E2205" s="3" t="s">
        <v>2510</v>
      </c>
      <c r="F2205" s="3" t="s">
        <v>4184</v>
      </c>
      <c r="G2205" s="3" t="s">
        <v>4185</v>
      </c>
      <c r="H2205" s="2" t="s">
        <v>694</v>
      </c>
      <c r="I2205" s="21">
        <v>0</v>
      </c>
      <c r="J2205" s="5">
        <v>710000000</v>
      </c>
      <c r="K2205" s="3" t="s">
        <v>89</v>
      </c>
      <c r="L2205" s="5" t="s">
        <v>9096</v>
      </c>
      <c r="M2205" s="3" t="s">
        <v>787</v>
      </c>
      <c r="N2205" s="7" t="s">
        <v>92</v>
      </c>
      <c r="O2205" s="7" t="s">
        <v>93</v>
      </c>
      <c r="P2205" s="3" t="s">
        <v>673</v>
      </c>
      <c r="Q2205" s="8">
        <v>796</v>
      </c>
      <c r="R2205" s="7" t="s">
        <v>118</v>
      </c>
      <c r="S2205" s="9">
        <f>80+40+32+152</f>
        <v>304</v>
      </c>
      <c r="T2205" s="9">
        <v>16.96</v>
      </c>
      <c r="U2205" s="9">
        <f t="shared" ref="U2205" si="1656">T2205*S2205</f>
        <v>5155.84</v>
      </c>
      <c r="V2205" s="9">
        <f t="shared" ref="V2205" si="1657">U2205*1.12</f>
        <v>5774.5408000000007</v>
      </c>
      <c r="W2205" s="3"/>
      <c r="X2205" s="2">
        <v>2016</v>
      </c>
      <c r="Y2205" s="3"/>
    </row>
    <row r="2206" spans="1:25" s="20" customFormat="1" ht="89.25" customHeight="1" outlineLevel="1" x14ac:dyDescent="0.2">
      <c r="A2206" s="25"/>
      <c r="B2206" s="2" t="s">
        <v>6677</v>
      </c>
      <c r="C2206" s="3" t="s">
        <v>83</v>
      </c>
      <c r="D2206" s="3" t="s">
        <v>4186</v>
      </c>
      <c r="E2206" s="3" t="s">
        <v>848</v>
      </c>
      <c r="F2206" s="3" t="s">
        <v>4187</v>
      </c>
      <c r="G2206" s="19" t="s">
        <v>4188</v>
      </c>
      <c r="H2206" s="2" t="s">
        <v>694</v>
      </c>
      <c r="I2206" s="4">
        <v>0</v>
      </c>
      <c r="J2206" s="5">
        <v>710000000</v>
      </c>
      <c r="K2206" s="5" t="s">
        <v>89</v>
      </c>
      <c r="L2206" s="2" t="s">
        <v>754</v>
      </c>
      <c r="M2206" s="6" t="s">
        <v>787</v>
      </c>
      <c r="N2206" s="7" t="s">
        <v>92</v>
      </c>
      <c r="O2206" s="7" t="s">
        <v>93</v>
      </c>
      <c r="P2206" s="3" t="s">
        <v>673</v>
      </c>
      <c r="Q2206" s="8">
        <v>796</v>
      </c>
      <c r="R2206" s="7" t="s">
        <v>118</v>
      </c>
      <c r="S2206" s="9">
        <f>30+28+8+36+4+1+2+6+5</f>
        <v>120</v>
      </c>
      <c r="T2206" s="9">
        <v>209.82</v>
      </c>
      <c r="U2206" s="9">
        <v>0</v>
      </c>
      <c r="V2206" s="9">
        <f t="shared" si="1645"/>
        <v>0</v>
      </c>
      <c r="W2206" s="7"/>
      <c r="X2206" s="2">
        <v>2016</v>
      </c>
      <c r="Y2206" s="2" t="s">
        <v>8409</v>
      </c>
    </row>
    <row r="2207" spans="1:25" s="20" customFormat="1" ht="89.25" customHeight="1" outlineLevel="1" x14ac:dyDescent="0.25">
      <c r="A2207" s="1"/>
      <c r="B2207" s="2" t="s">
        <v>9232</v>
      </c>
      <c r="C2207" s="3" t="s">
        <v>83</v>
      </c>
      <c r="D2207" s="3" t="s">
        <v>4186</v>
      </c>
      <c r="E2207" s="3" t="s">
        <v>848</v>
      </c>
      <c r="F2207" s="3" t="s">
        <v>4187</v>
      </c>
      <c r="G2207" s="19" t="s">
        <v>4188</v>
      </c>
      <c r="H2207" s="2" t="s">
        <v>694</v>
      </c>
      <c r="I2207" s="4">
        <v>0</v>
      </c>
      <c r="J2207" s="5">
        <v>710000000</v>
      </c>
      <c r="K2207" s="5" t="s">
        <v>89</v>
      </c>
      <c r="L2207" s="5" t="s">
        <v>9096</v>
      </c>
      <c r="M2207" s="6" t="s">
        <v>787</v>
      </c>
      <c r="N2207" s="7" t="s">
        <v>92</v>
      </c>
      <c r="O2207" s="7" t="s">
        <v>93</v>
      </c>
      <c r="P2207" s="3" t="s">
        <v>673</v>
      </c>
      <c r="Q2207" s="8">
        <v>796</v>
      </c>
      <c r="R2207" s="7" t="s">
        <v>118</v>
      </c>
      <c r="S2207" s="9">
        <f>30+28+8+36+4+1+2+6+5+120</f>
        <v>240</v>
      </c>
      <c r="T2207" s="9">
        <v>209.82</v>
      </c>
      <c r="U2207" s="9">
        <f t="shared" ref="U2207" si="1658">T2207*S2207</f>
        <v>50356.799999999996</v>
      </c>
      <c r="V2207" s="9">
        <f t="shared" ref="V2207" si="1659">U2207*1.12</f>
        <v>56399.616000000002</v>
      </c>
      <c r="W2207" s="7"/>
      <c r="X2207" s="2">
        <v>2016</v>
      </c>
      <c r="Y2207" s="2"/>
    </row>
    <row r="2208" spans="1:25" s="11" customFormat="1" ht="89.25" customHeight="1" outlineLevel="1" x14ac:dyDescent="0.25">
      <c r="A2208" s="1"/>
      <c r="B2208" s="2" t="s">
        <v>6678</v>
      </c>
      <c r="C2208" s="3" t="s">
        <v>83</v>
      </c>
      <c r="D2208" s="3" t="s">
        <v>4189</v>
      </c>
      <c r="E2208" s="3" t="s">
        <v>4190</v>
      </c>
      <c r="F2208" s="3" t="s">
        <v>4191</v>
      </c>
      <c r="G2208" s="19"/>
      <c r="H2208" s="2" t="s">
        <v>694</v>
      </c>
      <c r="I2208" s="21">
        <v>0</v>
      </c>
      <c r="J2208" s="5">
        <v>710000000</v>
      </c>
      <c r="K2208" s="3" t="s">
        <v>89</v>
      </c>
      <c r="L2208" s="2" t="s">
        <v>754</v>
      </c>
      <c r="M2208" s="3" t="s">
        <v>787</v>
      </c>
      <c r="N2208" s="7" t="s">
        <v>92</v>
      </c>
      <c r="O2208" s="7" t="s">
        <v>93</v>
      </c>
      <c r="P2208" s="3" t="s">
        <v>673</v>
      </c>
      <c r="Q2208" s="8">
        <v>796</v>
      </c>
      <c r="R2208" s="7" t="s">
        <v>118</v>
      </c>
      <c r="S2208" s="9">
        <v>2</v>
      </c>
      <c r="T2208" s="9">
        <v>42451.55</v>
      </c>
      <c r="U2208" s="9">
        <v>0</v>
      </c>
      <c r="V2208" s="9">
        <f t="shared" si="1645"/>
        <v>0</v>
      </c>
      <c r="W2208" s="3"/>
      <c r="X2208" s="2">
        <v>2016</v>
      </c>
      <c r="Y2208" s="3" t="s">
        <v>9709</v>
      </c>
    </row>
    <row r="2209" spans="1:25" s="11" customFormat="1" ht="89.25" customHeight="1" outlineLevel="1" x14ac:dyDescent="0.25">
      <c r="A2209" s="1"/>
      <c r="B2209" s="2" t="s">
        <v>9775</v>
      </c>
      <c r="C2209" s="3" t="s">
        <v>83</v>
      </c>
      <c r="D2209" s="3" t="s">
        <v>4189</v>
      </c>
      <c r="E2209" s="3" t="s">
        <v>4190</v>
      </c>
      <c r="F2209" s="3" t="s">
        <v>4191</v>
      </c>
      <c r="G2209" s="19"/>
      <c r="H2209" s="2" t="s">
        <v>694</v>
      </c>
      <c r="I2209" s="21">
        <v>0</v>
      </c>
      <c r="J2209" s="5">
        <v>710000000</v>
      </c>
      <c r="K2209" s="3" t="s">
        <v>89</v>
      </c>
      <c r="L2209" s="6" t="s">
        <v>9737</v>
      </c>
      <c r="M2209" s="6" t="s">
        <v>9720</v>
      </c>
      <c r="N2209" s="7" t="s">
        <v>92</v>
      </c>
      <c r="O2209" s="7" t="s">
        <v>93</v>
      </c>
      <c r="P2209" s="3" t="s">
        <v>673</v>
      </c>
      <c r="Q2209" s="8">
        <v>796</v>
      </c>
      <c r="R2209" s="7" t="s">
        <v>118</v>
      </c>
      <c r="S2209" s="9">
        <f>2+2</f>
        <v>4</v>
      </c>
      <c r="T2209" s="9">
        <v>42451.55</v>
      </c>
      <c r="U2209" s="9">
        <f t="shared" ref="U2209" si="1660">T2209*S2209</f>
        <v>169806.2</v>
      </c>
      <c r="V2209" s="9">
        <f t="shared" ref="V2209" si="1661">U2209*1.12</f>
        <v>190182.94400000002</v>
      </c>
      <c r="W2209" s="3"/>
      <c r="X2209" s="2">
        <v>2016</v>
      </c>
      <c r="Y2209" s="3"/>
    </row>
    <row r="2210" spans="1:25" s="20" customFormat="1" ht="89.25" customHeight="1" outlineLevel="1" x14ac:dyDescent="0.25">
      <c r="A2210" s="1"/>
      <c r="B2210" s="2" t="s">
        <v>6679</v>
      </c>
      <c r="C2210" s="3" t="s">
        <v>83</v>
      </c>
      <c r="D2210" s="3" t="s">
        <v>4192</v>
      </c>
      <c r="E2210" s="3" t="s">
        <v>4190</v>
      </c>
      <c r="F2210" s="3" t="s">
        <v>4193</v>
      </c>
      <c r="G2210" s="19"/>
      <c r="H2210" s="2" t="s">
        <v>694</v>
      </c>
      <c r="I2210" s="21">
        <v>0</v>
      </c>
      <c r="J2210" s="5">
        <v>710000000</v>
      </c>
      <c r="K2210" s="3" t="s">
        <v>89</v>
      </c>
      <c r="L2210" s="2" t="s">
        <v>754</v>
      </c>
      <c r="M2210" s="3" t="s">
        <v>787</v>
      </c>
      <c r="N2210" s="7" t="s">
        <v>92</v>
      </c>
      <c r="O2210" s="7" t="s">
        <v>93</v>
      </c>
      <c r="P2210" s="3" t="s">
        <v>673</v>
      </c>
      <c r="Q2210" s="8">
        <v>796</v>
      </c>
      <c r="R2210" s="7" t="s">
        <v>118</v>
      </c>
      <c r="S2210" s="9">
        <v>3</v>
      </c>
      <c r="T2210" s="9">
        <v>24899</v>
      </c>
      <c r="U2210" s="9">
        <f t="shared" ref="U2210" si="1662">T2210*S2210</f>
        <v>74697</v>
      </c>
      <c r="V2210" s="9">
        <f t="shared" si="1645"/>
        <v>83660.640000000014</v>
      </c>
      <c r="W2210" s="3"/>
      <c r="X2210" s="2">
        <v>2016</v>
      </c>
      <c r="Y2210" s="3"/>
    </row>
    <row r="2211" spans="1:25" s="20" customFormat="1" ht="89.25" customHeight="1" outlineLevel="1" x14ac:dyDescent="0.2">
      <c r="A2211" s="25"/>
      <c r="B2211" s="2" t="s">
        <v>6680</v>
      </c>
      <c r="C2211" s="3" t="s">
        <v>83</v>
      </c>
      <c r="D2211" s="3" t="s">
        <v>4194</v>
      </c>
      <c r="E2211" s="3" t="s">
        <v>4195</v>
      </c>
      <c r="F2211" s="3" t="s">
        <v>4196</v>
      </c>
      <c r="G2211" s="3" t="s">
        <v>4197</v>
      </c>
      <c r="H2211" s="2" t="s">
        <v>694</v>
      </c>
      <c r="I2211" s="21">
        <v>0</v>
      </c>
      <c r="J2211" s="5">
        <v>710000000</v>
      </c>
      <c r="K2211" s="3" t="s">
        <v>89</v>
      </c>
      <c r="L2211" s="2" t="s">
        <v>754</v>
      </c>
      <c r="M2211" s="3" t="s">
        <v>787</v>
      </c>
      <c r="N2211" s="7" t="s">
        <v>92</v>
      </c>
      <c r="O2211" s="7" t="s">
        <v>93</v>
      </c>
      <c r="P2211" s="3" t="s">
        <v>673</v>
      </c>
      <c r="Q2211" s="8" t="s">
        <v>2439</v>
      </c>
      <c r="R2211" s="7" t="s">
        <v>2440</v>
      </c>
      <c r="S2211" s="9">
        <f>10+15+10+41+6+4+10</f>
        <v>96</v>
      </c>
      <c r="T2211" s="9">
        <v>653.57000000000005</v>
      </c>
      <c r="U2211" s="9">
        <v>0</v>
      </c>
      <c r="V2211" s="9">
        <f t="shared" si="1645"/>
        <v>0</v>
      </c>
      <c r="W2211" s="3"/>
      <c r="X2211" s="2">
        <v>2016</v>
      </c>
      <c r="Y2211" s="3" t="s">
        <v>8409</v>
      </c>
    </row>
    <row r="2212" spans="1:25" s="20" customFormat="1" ht="89.25" customHeight="1" outlineLevel="1" x14ac:dyDescent="0.25">
      <c r="A2212" s="1"/>
      <c r="B2212" s="2" t="s">
        <v>9233</v>
      </c>
      <c r="C2212" s="3" t="s">
        <v>83</v>
      </c>
      <c r="D2212" s="3" t="s">
        <v>4194</v>
      </c>
      <c r="E2212" s="3" t="s">
        <v>4195</v>
      </c>
      <c r="F2212" s="3" t="s">
        <v>4196</v>
      </c>
      <c r="G2212" s="3" t="s">
        <v>4197</v>
      </c>
      <c r="H2212" s="2" t="s">
        <v>694</v>
      </c>
      <c r="I2212" s="21">
        <v>0</v>
      </c>
      <c r="J2212" s="5">
        <v>710000000</v>
      </c>
      <c r="K2212" s="3" t="s">
        <v>89</v>
      </c>
      <c r="L2212" s="5" t="s">
        <v>9114</v>
      </c>
      <c r="M2212" s="3" t="s">
        <v>787</v>
      </c>
      <c r="N2212" s="7" t="s">
        <v>92</v>
      </c>
      <c r="O2212" s="7" t="s">
        <v>93</v>
      </c>
      <c r="P2212" s="3" t="s">
        <v>673</v>
      </c>
      <c r="Q2212" s="8" t="s">
        <v>2439</v>
      </c>
      <c r="R2212" s="7" t="s">
        <v>2440</v>
      </c>
      <c r="S2212" s="9">
        <f>10+15+10+41+6+4+10+10</f>
        <v>106</v>
      </c>
      <c r="T2212" s="9">
        <v>653.57000000000005</v>
      </c>
      <c r="U2212" s="9">
        <f>S2212*T2212</f>
        <v>69278.42</v>
      </c>
      <c r="V2212" s="9">
        <f t="shared" ref="V2212" si="1663">U2212*1.12</f>
        <v>77591.830400000006</v>
      </c>
      <c r="W2212" s="3"/>
      <c r="X2212" s="2">
        <v>2016</v>
      </c>
      <c r="Y2212" s="3"/>
    </row>
    <row r="2213" spans="1:25" s="20" customFormat="1" ht="89.25" customHeight="1" outlineLevel="1" x14ac:dyDescent="0.25">
      <c r="A2213" s="1"/>
      <c r="B2213" s="2" t="s">
        <v>6681</v>
      </c>
      <c r="C2213" s="3" t="s">
        <v>83</v>
      </c>
      <c r="D2213" s="3" t="s">
        <v>4198</v>
      </c>
      <c r="E2213" s="3" t="s">
        <v>4195</v>
      </c>
      <c r="F2213" s="3" t="s">
        <v>4199</v>
      </c>
      <c r="G2213" s="3" t="s">
        <v>4200</v>
      </c>
      <c r="H2213" s="2" t="s">
        <v>694</v>
      </c>
      <c r="I2213" s="21">
        <v>0</v>
      </c>
      <c r="J2213" s="5">
        <v>710000000</v>
      </c>
      <c r="K2213" s="3" t="s">
        <v>89</v>
      </c>
      <c r="L2213" s="2" t="s">
        <v>754</v>
      </c>
      <c r="M2213" s="3" t="s">
        <v>787</v>
      </c>
      <c r="N2213" s="7" t="s">
        <v>92</v>
      </c>
      <c r="O2213" s="7" t="s">
        <v>93</v>
      </c>
      <c r="P2213" s="3" t="s">
        <v>673</v>
      </c>
      <c r="Q2213" s="8" t="s">
        <v>2439</v>
      </c>
      <c r="R2213" s="7" t="s">
        <v>2440</v>
      </c>
      <c r="S2213" s="9">
        <f>5+16+8</f>
        <v>29</v>
      </c>
      <c r="T2213" s="9">
        <v>1116.07</v>
      </c>
      <c r="U2213" s="9">
        <f>S2213*T2213</f>
        <v>32366.03</v>
      </c>
      <c r="V2213" s="9">
        <f t="shared" si="1645"/>
        <v>36249.953600000001</v>
      </c>
      <c r="W2213" s="3"/>
      <c r="X2213" s="2">
        <v>2016</v>
      </c>
      <c r="Y2213" s="3"/>
    </row>
    <row r="2214" spans="1:25" s="20" customFormat="1" ht="89.25" customHeight="1" outlineLevel="1" x14ac:dyDescent="0.2">
      <c r="A2214" s="25"/>
      <c r="B2214" s="2" t="s">
        <v>6682</v>
      </c>
      <c r="C2214" s="3" t="s">
        <v>83</v>
      </c>
      <c r="D2214" s="3" t="s">
        <v>4201</v>
      </c>
      <c r="E2214" s="3" t="s">
        <v>4195</v>
      </c>
      <c r="F2214" s="3" t="s">
        <v>4202</v>
      </c>
      <c r="G2214" s="3"/>
      <c r="H2214" s="2" t="s">
        <v>694</v>
      </c>
      <c r="I2214" s="21">
        <v>0</v>
      </c>
      <c r="J2214" s="5">
        <v>710000000</v>
      </c>
      <c r="K2214" s="3" t="s">
        <v>89</v>
      </c>
      <c r="L2214" s="2" t="s">
        <v>754</v>
      </c>
      <c r="M2214" s="3" t="s">
        <v>787</v>
      </c>
      <c r="N2214" s="7" t="s">
        <v>92</v>
      </c>
      <c r="O2214" s="7" t="s">
        <v>93</v>
      </c>
      <c r="P2214" s="3" t="s">
        <v>673</v>
      </c>
      <c r="Q2214" s="8" t="s">
        <v>2439</v>
      </c>
      <c r="R2214" s="7" t="s">
        <v>2440</v>
      </c>
      <c r="S2214" s="9">
        <f>30+30+5</f>
        <v>65</v>
      </c>
      <c r="T2214" s="9">
        <v>334.82</v>
      </c>
      <c r="U2214" s="9">
        <v>0</v>
      </c>
      <c r="V2214" s="9">
        <f t="shared" si="1645"/>
        <v>0</v>
      </c>
      <c r="W2214" s="3"/>
      <c r="X2214" s="2">
        <v>2016</v>
      </c>
      <c r="Y2214" s="3" t="s">
        <v>8409</v>
      </c>
    </row>
    <row r="2215" spans="1:25" s="20" customFormat="1" ht="89.25" customHeight="1" outlineLevel="1" x14ac:dyDescent="0.25">
      <c r="A2215" s="1"/>
      <c r="B2215" s="2" t="s">
        <v>9229</v>
      </c>
      <c r="C2215" s="3" t="s">
        <v>83</v>
      </c>
      <c r="D2215" s="3" t="s">
        <v>4201</v>
      </c>
      <c r="E2215" s="3" t="s">
        <v>4195</v>
      </c>
      <c r="F2215" s="3" t="s">
        <v>4202</v>
      </c>
      <c r="G2215" s="3"/>
      <c r="H2215" s="2" t="s">
        <v>694</v>
      </c>
      <c r="I2215" s="21">
        <v>0</v>
      </c>
      <c r="J2215" s="5">
        <v>710000000</v>
      </c>
      <c r="K2215" s="3" t="s">
        <v>89</v>
      </c>
      <c r="L2215" s="5" t="s">
        <v>9114</v>
      </c>
      <c r="M2215" s="3" t="s">
        <v>787</v>
      </c>
      <c r="N2215" s="7" t="s">
        <v>92</v>
      </c>
      <c r="O2215" s="7" t="s">
        <v>93</v>
      </c>
      <c r="P2215" s="3" t="s">
        <v>673</v>
      </c>
      <c r="Q2215" s="8" t="s">
        <v>2439</v>
      </c>
      <c r="R2215" s="7" t="s">
        <v>2440</v>
      </c>
      <c r="S2215" s="9">
        <f>30+30+5+30</f>
        <v>95</v>
      </c>
      <c r="T2215" s="9">
        <v>334.82</v>
      </c>
      <c r="U2215" s="9">
        <v>0</v>
      </c>
      <c r="V2215" s="9">
        <f t="shared" ref="V2215" si="1664">U2215*1.12</f>
        <v>0</v>
      </c>
      <c r="W2215" s="3"/>
      <c r="X2215" s="2">
        <v>2016</v>
      </c>
      <c r="Y2215" s="3" t="s">
        <v>9709</v>
      </c>
    </row>
    <row r="2216" spans="1:25" s="20" customFormat="1" ht="89.25" customHeight="1" outlineLevel="1" x14ac:dyDescent="0.25">
      <c r="A2216" s="1"/>
      <c r="B2216" s="2" t="s">
        <v>9776</v>
      </c>
      <c r="C2216" s="3" t="s">
        <v>83</v>
      </c>
      <c r="D2216" s="3" t="s">
        <v>4201</v>
      </c>
      <c r="E2216" s="3" t="s">
        <v>4195</v>
      </c>
      <c r="F2216" s="3" t="s">
        <v>4202</v>
      </c>
      <c r="G2216" s="3"/>
      <c r="H2216" s="2" t="s">
        <v>694</v>
      </c>
      <c r="I2216" s="21">
        <v>0</v>
      </c>
      <c r="J2216" s="5">
        <v>710000000</v>
      </c>
      <c r="K2216" s="3" t="s">
        <v>89</v>
      </c>
      <c r="L2216" s="5" t="s">
        <v>9738</v>
      </c>
      <c r="M2216" s="6" t="s">
        <v>9720</v>
      </c>
      <c r="N2216" s="7" t="s">
        <v>92</v>
      </c>
      <c r="O2216" s="7" t="s">
        <v>93</v>
      </c>
      <c r="P2216" s="3" t="s">
        <v>673</v>
      </c>
      <c r="Q2216" s="8" t="s">
        <v>2439</v>
      </c>
      <c r="R2216" s="7" t="s">
        <v>2440</v>
      </c>
      <c r="S2216" s="9">
        <f>30+30+5+30+20</f>
        <v>115</v>
      </c>
      <c r="T2216" s="9">
        <v>334.82</v>
      </c>
      <c r="U2216" s="9">
        <f>S2216*T2216</f>
        <v>38504.299999999996</v>
      </c>
      <c r="V2216" s="9">
        <f t="shared" ref="V2216" si="1665">U2216*1.12</f>
        <v>43124.815999999999</v>
      </c>
      <c r="W2216" s="3"/>
      <c r="X2216" s="2">
        <v>2016</v>
      </c>
      <c r="Y2216" s="3"/>
    </row>
    <row r="2217" spans="1:25" s="20" customFormat="1" ht="89.25" customHeight="1" outlineLevel="1" x14ac:dyDescent="0.25">
      <c r="A2217" s="1"/>
      <c r="B2217" s="2" t="s">
        <v>6683</v>
      </c>
      <c r="C2217" s="3" t="s">
        <v>83</v>
      </c>
      <c r="D2217" s="3" t="s">
        <v>4203</v>
      </c>
      <c r="E2217" s="3" t="s">
        <v>4204</v>
      </c>
      <c r="F2217" s="3" t="s">
        <v>4205</v>
      </c>
      <c r="G2217" s="3" t="s">
        <v>4206</v>
      </c>
      <c r="H2217" s="2" t="s">
        <v>694</v>
      </c>
      <c r="I2217" s="21">
        <v>0</v>
      </c>
      <c r="J2217" s="5">
        <v>710000000</v>
      </c>
      <c r="K2217" s="3" t="s">
        <v>89</v>
      </c>
      <c r="L2217" s="2" t="s">
        <v>754</v>
      </c>
      <c r="M2217" s="3" t="s">
        <v>787</v>
      </c>
      <c r="N2217" s="7" t="s">
        <v>92</v>
      </c>
      <c r="O2217" s="7" t="s">
        <v>93</v>
      </c>
      <c r="P2217" s="3" t="s">
        <v>673</v>
      </c>
      <c r="Q2217" s="8">
        <v>796</v>
      </c>
      <c r="R2217" s="7" t="s">
        <v>118</v>
      </c>
      <c r="S2217" s="9">
        <f>1+4</f>
        <v>5</v>
      </c>
      <c r="T2217" s="9">
        <v>2299.11</v>
      </c>
      <c r="U2217" s="9">
        <f>S2217*T2217</f>
        <v>11495.550000000001</v>
      </c>
      <c r="V2217" s="9">
        <f t="shared" si="1645"/>
        <v>12875.016000000003</v>
      </c>
      <c r="W2217" s="3"/>
      <c r="X2217" s="2">
        <v>2016</v>
      </c>
      <c r="Y2217" s="3"/>
    </row>
    <row r="2218" spans="1:25" s="20" customFormat="1" ht="89.25" customHeight="1" outlineLevel="1" x14ac:dyDescent="0.25">
      <c r="A2218" s="1"/>
      <c r="B2218" s="2" t="s">
        <v>6684</v>
      </c>
      <c r="C2218" s="3" t="s">
        <v>83</v>
      </c>
      <c r="D2218" s="3" t="s">
        <v>4203</v>
      </c>
      <c r="E2218" s="3" t="s">
        <v>4204</v>
      </c>
      <c r="F2218" s="3" t="s">
        <v>4205</v>
      </c>
      <c r="G2218" s="3" t="s">
        <v>4207</v>
      </c>
      <c r="H2218" s="2" t="s">
        <v>694</v>
      </c>
      <c r="I2218" s="21">
        <v>0</v>
      </c>
      <c r="J2218" s="5">
        <v>710000000</v>
      </c>
      <c r="K2218" s="3" t="s">
        <v>89</v>
      </c>
      <c r="L2218" s="2" t="s">
        <v>754</v>
      </c>
      <c r="M2218" s="3" t="s">
        <v>787</v>
      </c>
      <c r="N2218" s="7" t="s">
        <v>92</v>
      </c>
      <c r="O2218" s="7" t="s">
        <v>93</v>
      </c>
      <c r="P2218" s="3" t="s">
        <v>673</v>
      </c>
      <c r="Q2218" s="8">
        <v>796</v>
      </c>
      <c r="R2218" s="7" t="s">
        <v>118</v>
      </c>
      <c r="S2218" s="9">
        <v>2</v>
      </c>
      <c r="T2218" s="9">
        <v>3342.86</v>
      </c>
      <c r="U2218" s="9">
        <v>0</v>
      </c>
      <c r="V2218" s="9">
        <f t="shared" si="1645"/>
        <v>0</v>
      </c>
      <c r="W2218" s="3"/>
      <c r="X2218" s="2">
        <v>2016</v>
      </c>
      <c r="Y2218" s="3" t="s">
        <v>9709</v>
      </c>
    </row>
    <row r="2219" spans="1:25" s="20" customFormat="1" ht="89.25" customHeight="1" outlineLevel="1" x14ac:dyDescent="0.25">
      <c r="A2219" s="1"/>
      <c r="B2219" s="2" t="s">
        <v>9777</v>
      </c>
      <c r="C2219" s="3" t="s">
        <v>83</v>
      </c>
      <c r="D2219" s="3" t="s">
        <v>4203</v>
      </c>
      <c r="E2219" s="3" t="s">
        <v>4204</v>
      </c>
      <c r="F2219" s="3" t="s">
        <v>4205</v>
      </c>
      <c r="G2219" s="3" t="s">
        <v>4207</v>
      </c>
      <c r="H2219" s="2" t="s">
        <v>694</v>
      </c>
      <c r="I2219" s="21">
        <v>0</v>
      </c>
      <c r="J2219" s="5">
        <v>710000000</v>
      </c>
      <c r="K2219" s="3" t="s">
        <v>89</v>
      </c>
      <c r="L2219" s="6" t="s">
        <v>9737</v>
      </c>
      <c r="M2219" s="6" t="s">
        <v>9720</v>
      </c>
      <c r="N2219" s="7" t="s">
        <v>92</v>
      </c>
      <c r="O2219" s="7" t="s">
        <v>93</v>
      </c>
      <c r="P2219" s="3" t="s">
        <v>673</v>
      </c>
      <c r="Q2219" s="8">
        <v>796</v>
      </c>
      <c r="R2219" s="7" t="s">
        <v>118</v>
      </c>
      <c r="S2219" s="9">
        <f>2+2</f>
        <v>4</v>
      </c>
      <c r="T2219" s="9">
        <v>3342.86</v>
      </c>
      <c r="U2219" s="9">
        <f>S2219*T2219</f>
        <v>13371.44</v>
      </c>
      <c r="V2219" s="9">
        <f t="shared" ref="V2219" si="1666">U2219*1.12</f>
        <v>14976.012800000002</v>
      </c>
      <c r="W2219" s="3"/>
      <c r="X2219" s="2">
        <v>2016</v>
      </c>
      <c r="Y2219" s="3"/>
    </row>
    <row r="2220" spans="1:25" s="20" customFormat="1" ht="89.25" customHeight="1" outlineLevel="1" x14ac:dyDescent="0.25">
      <c r="A2220" s="1"/>
      <c r="B2220" s="2" t="s">
        <v>6685</v>
      </c>
      <c r="C2220" s="3" t="s">
        <v>83</v>
      </c>
      <c r="D2220" s="3" t="s">
        <v>4208</v>
      </c>
      <c r="E2220" s="3" t="s">
        <v>4209</v>
      </c>
      <c r="F2220" s="3" t="s">
        <v>4210</v>
      </c>
      <c r="G2220" s="19" t="s">
        <v>4211</v>
      </c>
      <c r="H2220" s="2" t="s">
        <v>694</v>
      </c>
      <c r="I2220" s="4">
        <v>0</v>
      </c>
      <c r="J2220" s="5">
        <v>710000000</v>
      </c>
      <c r="K2220" s="5" t="s">
        <v>89</v>
      </c>
      <c r="L2220" s="2" t="s">
        <v>754</v>
      </c>
      <c r="M2220" s="6" t="s">
        <v>787</v>
      </c>
      <c r="N2220" s="7" t="s">
        <v>92</v>
      </c>
      <c r="O2220" s="7" t="s">
        <v>93</v>
      </c>
      <c r="P2220" s="3" t="s">
        <v>673</v>
      </c>
      <c r="Q2220" s="8">
        <v>796</v>
      </c>
      <c r="R2220" s="7" t="s">
        <v>118</v>
      </c>
      <c r="S2220" s="9">
        <f>20+10+3+5</f>
        <v>38</v>
      </c>
      <c r="T2220" s="9">
        <v>185.71</v>
      </c>
      <c r="U2220" s="9">
        <v>0</v>
      </c>
      <c r="V2220" s="9">
        <f t="shared" si="1645"/>
        <v>0</v>
      </c>
      <c r="W2220" s="7"/>
      <c r="X2220" s="2">
        <v>2016</v>
      </c>
      <c r="Y2220" s="3" t="s">
        <v>9709</v>
      </c>
    </row>
    <row r="2221" spans="1:25" s="20" customFormat="1" ht="89.25" customHeight="1" outlineLevel="1" x14ac:dyDescent="0.25">
      <c r="A2221" s="1"/>
      <c r="B2221" s="2" t="s">
        <v>6685</v>
      </c>
      <c r="C2221" s="3" t="s">
        <v>83</v>
      </c>
      <c r="D2221" s="3" t="s">
        <v>4208</v>
      </c>
      <c r="E2221" s="3" t="s">
        <v>4209</v>
      </c>
      <c r="F2221" s="3" t="s">
        <v>4210</v>
      </c>
      <c r="G2221" s="19" t="s">
        <v>4211</v>
      </c>
      <c r="H2221" s="2" t="s">
        <v>694</v>
      </c>
      <c r="I2221" s="4">
        <v>0</v>
      </c>
      <c r="J2221" s="5">
        <v>710000000</v>
      </c>
      <c r="K2221" s="5" t="s">
        <v>89</v>
      </c>
      <c r="L2221" s="6" t="s">
        <v>9737</v>
      </c>
      <c r="M2221" s="6" t="s">
        <v>9720</v>
      </c>
      <c r="N2221" s="7" t="s">
        <v>92</v>
      </c>
      <c r="O2221" s="7" t="s">
        <v>93</v>
      </c>
      <c r="P2221" s="3" t="s">
        <v>673</v>
      </c>
      <c r="Q2221" s="8">
        <v>796</v>
      </c>
      <c r="R2221" s="7" t="s">
        <v>118</v>
      </c>
      <c r="S2221" s="9">
        <f>20+10+3+5+10</f>
        <v>48</v>
      </c>
      <c r="T2221" s="9">
        <v>185.71</v>
      </c>
      <c r="U2221" s="9">
        <f>T2221*S2221</f>
        <v>8914.08</v>
      </c>
      <c r="V2221" s="9">
        <f t="shared" ref="V2221" si="1667">U2221*1.12</f>
        <v>9983.7696000000014</v>
      </c>
      <c r="W2221" s="7"/>
      <c r="X2221" s="2">
        <v>2016</v>
      </c>
      <c r="Y2221" s="2"/>
    </row>
    <row r="2222" spans="1:25" s="20" customFormat="1" ht="89.25" customHeight="1" outlineLevel="1" x14ac:dyDescent="0.25">
      <c r="A2222" s="1"/>
      <c r="B2222" s="2" t="s">
        <v>6686</v>
      </c>
      <c r="C2222" s="3" t="s">
        <v>83</v>
      </c>
      <c r="D2222" s="3" t="s">
        <v>4212</v>
      </c>
      <c r="E2222" s="3" t="s">
        <v>4209</v>
      </c>
      <c r="F2222" s="3" t="s">
        <v>4213</v>
      </c>
      <c r="G2222" s="19" t="s">
        <v>4214</v>
      </c>
      <c r="H2222" s="2" t="s">
        <v>694</v>
      </c>
      <c r="I2222" s="4">
        <v>0</v>
      </c>
      <c r="J2222" s="5">
        <v>710000000</v>
      </c>
      <c r="K2222" s="5" t="s">
        <v>89</v>
      </c>
      <c r="L2222" s="2" t="s">
        <v>754</v>
      </c>
      <c r="M2222" s="6" t="s">
        <v>787</v>
      </c>
      <c r="N2222" s="7" t="s">
        <v>92</v>
      </c>
      <c r="O2222" s="7" t="s">
        <v>93</v>
      </c>
      <c r="P2222" s="3" t="s">
        <v>673</v>
      </c>
      <c r="Q2222" s="8">
        <v>796</v>
      </c>
      <c r="R2222" s="7" t="s">
        <v>118</v>
      </c>
      <c r="S2222" s="9">
        <f>7+41+4+4</f>
        <v>56</v>
      </c>
      <c r="T2222" s="9">
        <v>89</v>
      </c>
      <c r="U2222" s="9">
        <v>0</v>
      </c>
      <c r="V2222" s="9">
        <f t="shared" si="1645"/>
        <v>0</v>
      </c>
      <c r="W2222" s="7"/>
      <c r="X2222" s="2">
        <v>2016</v>
      </c>
      <c r="Y2222" s="3" t="s">
        <v>9709</v>
      </c>
    </row>
    <row r="2223" spans="1:25" s="20" customFormat="1" ht="89.25" customHeight="1" outlineLevel="1" x14ac:dyDescent="0.25">
      <c r="A2223" s="1"/>
      <c r="B2223" s="2" t="s">
        <v>9778</v>
      </c>
      <c r="C2223" s="3" t="s">
        <v>83</v>
      </c>
      <c r="D2223" s="3" t="s">
        <v>4212</v>
      </c>
      <c r="E2223" s="3" t="s">
        <v>4209</v>
      </c>
      <c r="F2223" s="3" t="s">
        <v>4213</v>
      </c>
      <c r="G2223" s="19" t="s">
        <v>4214</v>
      </c>
      <c r="H2223" s="2" t="s">
        <v>694</v>
      </c>
      <c r="I2223" s="4">
        <v>0</v>
      </c>
      <c r="J2223" s="5">
        <v>710000000</v>
      </c>
      <c r="K2223" s="5" t="s">
        <v>89</v>
      </c>
      <c r="L2223" s="6" t="s">
        <v>9737</v>
      </c>
      <c r="M2223" s="6" t="s">
        <v>9720</v>
      </c>
      <c r="N2223" s="7" t="s">
        <v>92</v>
      </c>
      <c r="O2223" s="7" t="s">
        <v>93</v>
      </c>
      <c r="P2223" s="3" t="s">
        <v>673</v>
      </c>
      <c r="Q2223" s="8">
        <v>796</v>
      </c>
      <c r="R2223" s="7" t="s">
        <v>118</v>
      </c>
      <c r="S2223" s="9">
        <f>7+41+4+4+10</f>
        <v>66</v>
      </c>
      <c r="T2223" s="9">
        <v>89</v>
      </c>
      <c r="U2223" s="9">
        <f>T2223*S2223</f>
        <v>5874</v>
      </c>
      <c r="V2223" s="9">
        <f t="shared" ref="V2223" si="1668">U2223*1.12</f>
        <v>6578.880000000001</v>
      </c>
      <c r="W2223" s="7"/>
      <c r="X2223" s="2">
        <v>2016</v>
      </c>
      <c r="Y2223" s="2"/>
    </row>
    <row r="2224" spans="1:25" s="20" customFormat="1" ht="89.25" customHeight="1" outlineLevel="1" x14ac:dyDescent="0.25">
      <c r="A2224" s="1"/>
      <c r="B2224" s="2" t="s">
        <v>6687</v>
      </c>
      <c r="C2224" s="3" t="s">
        <v>83</v>
      </c>
      <c r="D2224" s="3" t="s">
        <v>4215</v>
      </c>
      <c r="E2224" s="3" t="s">
        <v>4216</v>
      </c>
      <c r="F2224" s="3" t="s">
        <v>4217</v>
      </c>
      <c r="G2224" s="19"/>
      <c r="H2224" s="2" t="s">
        <v>694</v>
      </c>
      <c r="I2224" s="4">
        <v>0</v>
      </c>
      <c r="J2224" s="5">
        <v>710000000</v>
      </c>
      <c r="K2224" s="5" t="s">
        <v>89</v>
      </c>
      <c r="L2224" s="2" t="s">
        <v>754</v>
      </c>
      <c r="M2224" s="6" t="s">
        <v>787</v>
      </c>
      <c r="N2224" s="7" t="s">
        <v>92</v>
      </c>
      <c r="O2224" s="7" t="s">
        <v>93</v>
      </c>
      <c r="P2224" s="3" t="s">
        <v>673</v>
      </c>
      <c r="Q2224" s="8">
        <v>796</v>
      </c>
      <c r="R2224" s="7" t="s">
        <v>118</v>
      </c>
      <c r="S2224" s="9">
        <f>50+40+24+57+8+1+8+8+3</f>
        <v>199</v>
      </c>
      <c r="T2224" s="9">
        <v>268</v>
      </c>
      <c r="U2224" s="9">
        <v>0</v>
      </c>
      <c r="V2224" s="9">
        <f t="shared" si="1645"/>
        <v>0</v>
      </c>
      <c r="W2224" s="7"/>
      <c r="X2224" s="2">
        <v>2016</v>
      </c>
      <c r="Y2224" s="3" t="s">
        <v>9709</v>
      </c>
    </row>
    <row r="2225" spans="1:25" s="20" customFormat="1" ht="89.25" customHeight="1" outlineLevel="1" x14ac:dyDescent="0.25">
      <c r="A2225" s="1"/>
      <c r="B2225" s="2" t="s">
        <v>9779</v>
      </c>
      <c r="C2225" s="3" t="s">
        <v>83</v>
      </c>
      <c r="D2225" s="3" t="s">
        <v>4215</v>
      </c>
      <c r="E2225" s="3" t="s">
        <v>4216</v>
      </c>
      <c r="F2225" s="3" t="s">
        <v>4217</v>
      </c>
      <c r="G2225" s="19"/>
      <c r="H2225" s="2" t="s">
        <v>694</v>
      </c>
      <c r="I2225" s="4">
        <v>0</v>
      </c>
      <c r="J2225" s="5">
        <v>710000000</v>
      </c>
      <c r="K2225" s="5" t="s">
        <v>89</v>
      </c>
      <c r="L2225" s="6" t="s">
        <v>9737</v>
      </c>
      <c r="M2225" s="6" t="s">
        <v>9720</v>
      </c>
      <c r="N2225" s="7" t="s">
        <v>92</v>
      </c>
      <c r="O2225" s="7" t="s">
        <v>93</v>
      </c>
      <c r="P2225" s="3" t="s">
        <v>673</v>
      </c>
      <c r="Q2225" s="8">
        <v>796</v>
      </c>
      <c r="R2225" s="7" t="s">
        <v>118</v>
      </c>
      <c r="S2225" s="9">
        <f>50+40+24+57+8+1+8+8+3+199</f>
        <v>398</v>
      </c>
      <c r="T2225" s="9">
        <v>268</v>
      </c>
      <c r="U2225" s="9">
        <f>T2225*S2225</f>
        <v>106664</v>
      </c>
      <c r="V2225" s="9">
        <f t="shared" ref="V2225" si="1669">U2225*1.12</f>
        <v>119463.68000000001</v>
      </c>
      <c r="W2225" s="7"/>
      <c r="X2225" s="2">
        <v>2016</v>
      </c>
      <c r="Y2225" s="2"/>
    </row>
    <row r="2226" spans="1:25" s="20" customFormat="1" ht="89.25" customHeight="1" outlineLevel="1" x14ac:dyDescent="0.25">
      <c r="A2226" s="1"/>
      <c r="B2226" s="2" t="s">
        <v>6688</v>
      </c>
      <c r="C2226" s="3" t="s">
        <v>83</v>
      </c>
      <c r="D2226" s="3" t="s">
        <v>4218</v>
      </c>
      <c r="E2226" s="3" t="s">
        <v>1245</v>
      </c>
      <c r="F2226" s="3" t="s">
        <v>4219</v>
      </c>
      <c r="G2226" s="19"/>
      <c r="H2226" s="2" t="s">
        <v>694</v>
      </c>
      <c r="I2226" s="4">
        <v>0</v>
      </c>
      <c r="J2226" s="5">
        <v>710000000</v>
      </c>
      <c r="K2226" s="5" t="s">
        <v>89</v>
      </c>
      <c r="L2226" s="2" t="s">
        <v>754</v>
      </c>
      <c r="M2226" s="6" t="s">
        <v>787</v>
      </c>
      <c r="N2226" s="7" t="s">
        <v>92</v>
      </c>
      <c r="O2226" s="7" t="s">
        <v>93</v>
      </c>
      <c r="P2226" s="3" t="s">
        <v>673</v>
      </c>
      <c r="Q2226" s="8">
        <v>796</v>
      </c>
      <c r="R2226" s="7" t="s">
        <v>118</v>
      </c>
      <c r="S2226" s="9">
        <f>8+6+2+6</f>
        <v>22</v>
      </c>
      <c r="T2226" s="9">
        <v>5678.57</v>
      </c>
      <c r="U2226" s="9">
        <v>0</v>
      </c>
      <c r="V2226" s="9">
        <f t="shared" si="1645"/>
        <v>0</v>
      </c>
      <c r="W2226" s="7"/>
      <c r="X2226" s="2">
        <v>2016</v>
      </c>
      <c r="Y2226" s="3" t="s">
        <v>9709</v>
      </c>
    </row>
    <row r="2227" spans="1:25" s="20" customFormat="1" ht="89.25" customHeight="1" outlineLevel="1" x14ac:dyDescent="0.25">
      <c r="A2227" s="1"/>
      <c r="B2227" s="2" t="s">
        <v>9780</v>
      </c>
      <c r="C2227" s="3" t="s">
        <v>83</v>
      </c>
      <c r="D2227" s="3" t="s">
        <v>4218</v>
      </c>
      <c r="E2227" s="3" t="s">
        <v>1245</v>
      </c>
      <c r="F2227" s="3" t="s">
        <v>4219</v>
      </c>
      <c r="G2227" s="19"/>
      <c r="H2227" s="2" t="s">
        <v>694</v>
      </c>
      <c r="I2227" s="4">
        <v>0</v>
      </c>
      <c r="J2227" s="5">
        <v>710000000</v>
      </c>
      <c r="K2227" s="5" t="s">
        <v>89</v>
      </c>
      <c r="L2227" s="6" t="s">
        <v>9737</v>
      </c>
      <c r="M2227" s="6" t="s">
        <v>9720</v>
      </c>
      <c r="N2227" s="7" t="s">
        <v>92</v>
      </c>
      <c r="O2227" s="7" t="s">
        <v>93</v>
      </c>
      <c r="P2227" s="3" t="s">
        <v>673</v>
      </c>
      <c r="Q2227" s="8">
        <v>796</v>
      </c>
      <c r="R2227" s="7" t="s">
        <v>118</v>
      </c>
      <c r="S2227" s="9">
        <f>8+6+2+6+22</f>
        <v>44</v>
      </c>
      <c r="T2227" s="9">
        <v>5678.57</v>
      </c>
      <c r="U2227" s="9">
        <f>T2227*S2227</f>
        <v>249857.08</v>
      </c>
      <c r="V2227" s="9">
        <f t="shared" ref="V2227" si="1670">U2227*1.12</f>
        <v>279839.92960000003</v>
      </c>
      <c r="W2227" s="7"/>
      <c r="X2227" s="2">
        <v>2016</v>
      </c>
      <c r="Y2227" s="2"/>
    </row>
    <row r="2228" spans="1:25" s="20" customFormat="1" ht="89.25" customHeight="1" outlineLevel="1" x14ac:dyDescent="0.25">
      <c r="A2228" s="1"/>
      <c r="B2228" s="2" t="s">
        <v>6689</v>
      </c>
      <c r="C2228" s="3" t="s">
        <v>83</v>
      </c>
      <c r="D2228" s="3" t="s">
        <v>4220</v>
      </c>
      <c r="E2228" s="3" t="s">
        <v>4221</v>
      </c>
      <c r="F2228" s="3" t="s">
        <v>4222</v>
      </c>
      <c r="G2228" s="3" t="s">
        <v>4223</v>
      </c>
      <c r="H2228" s="2" t="s">
        <v>694</v>
      </c>
      <c r="I2228" s="21">
        <v>0</v>
      </c>
      <c r="J2228" s="5">
        <v>710000000</v>
      </c>
      <c r="K2228" s="3" t="s">
        <v>89</v>
      </c>
      <c r="L2228" s="2" t="s">
        <v>754</v>
      </c>
      <c r="M2228" s="3" t="s">
        <v>787</v>
      </c>
      <c r="N2228" s="7" t="s">
        <v>92</v>
      </c>
      <c r="O2228" s="7" t="s">
        <v>93</v>
      </c>
      <c r="P2228" s="3" t="s">
        <v>673</v>
      </c>
      <c r="Q2228" s="8" t="s">
        <v>2433</v>
      </c>
      <c r="R2228" s="7" t="s">
        <v>2434</v>
      </c>
      <c r="S2228" s="9">
        <f>20+15</f>
        <v>35</v>
      </c>
      <c r="T2228" s="9">
        <v>169.64</v>
      </c>
      <c r="U2228" s="9">
        <f t="shared" ref="U2228:U2242" si="1671">S2228*T2228</f>
        <v>5937.4</v>
      </c>
      <c r="V2228" s="9">
        <f t="shared" si="1645"/>
        <v>6649.8879999999999</v>
      </c>
      <c r="W2228" s="3"/>
      <c r="X2228" s="2">
        <v>2016</v>
      </c>
      <c r="Y2228" s="3"/>
    </row>
    <row r="2229" spans="1:25" s="20" customFormat="1" ht="89.25" customHeight="1" outlineLevel="1" x14ac:dyDescent="0.25">
      <c r="A2229" s="1"/>
      <c r="B2229" s="2" t="s">
        <v>6690</v>
      </c>
      <c r="C2229" s="3" t="s">
        <v>83</v>
      </c>
      <c r="D2229" s="3" t="s">
        <v>4224</v>
      </c>
      <c r="E2229" s="3" t="s">
        <v>4225</v>
      </c>
      <c r="F2229" s="3" t="s">
        <v>4226</v>
      </c>
      <c r="G2229" s="3"/>
      <c r="H2229" s="2" t="s">
        <v>694</v>
      </c>
      <c r="I2229" s="21">
        <v>0</v>
      </c>
      <c r="J2229" s="5">
        <v>710000000</v>
      </c>
      <c r="K2229" s="3" t="s">
        <v>89</v>
      </c>
      <c r="L2229" s="2" t="s">
        <v>754</v>
      </c>
      <c r="M2229" s="3" t="s">
        <v>787</v>
      </c>
      <c r="N2229" s="7" t="s">
        <v>92</v>
      </c>
      <c r="O2229" s="7" t="s">
        <v>93</v>
      </c>
      <c r="P2229" s="3" t="s">
        <v>673</v>
      </c>
      <c r="Q2229" s="8" t="s">
        <v>3208</v>
      </c>
      <c r="R2229" s="7" t="s">
        <v>3209</v>
      </c>
      <c r="S2229" s="9">
        <v>2</v>
      </c>
      <c r="T2229" s="9">
        <v>2500</v>
      </c>
      <c r="U2229" s="9">
        <f t="shared" si="1671"/>
        <v>5000</v>
      </c>
      <c r="V2229" s="9">
        <f t="shared" si="1645"/>
        <v>5600.0000000000009</v>
      </c>
      <c r="W2229" s="3"/>
      <c r="X2229" s="2">
        <v>2016</v>
      </c>
      <c r="Y2229" s="3"/>
    </row>
    <row r="2230" spans="1:25" s="20" customFormat="1" ht="89.25" customHeight="1" outlineLevel="1" x14ac:dyDescent="0.25">
      <c r="A2230" s="1"/>
      <c r="B2230" s="2" t="s">
        <v>6691</v>
      </c>
      <c r="C2230" s="3" t="s">
        <v>83</v>
      </c>
      <c r="D2230" s="3" t="s">
        <v>4227</v>
      </c>
      <c r="E2230" s="3" t="s">
        <v>3352</v>
      </c>
      <c r="F2230" s="3" t="s">
        <v>4228</v>
      </c>
      <c r="G2230" s="3"/>
      <c r="H2230" s="2" t="s">
        <v>694</v>
      </c>
      <c r="I2230" s="21">
        <v>0</v>
      </c>
      <c r="J2230" s="5">
        <v>710000000</v>
      </c>
      <c r="K2230" s="3" t="s">
        <v>89</v>
      </c>
      <c r="L2230" s="2" t="s">
        <v>754</v>
      </c>
      <c r="M2230" s="3" t="s">
        <v>787</v>
      </c>
      <c r="N2230" s="7" t="s">
        <v>92</v>
      </c>
      <c r="O2230" s="7" t="s">
        <v>93</v>
      </c>
      <c r="P2230" s="3" t="s">
        <v>673</v>
      </c>
      <c r="Q2230" s="8">
        <v>796</v>
      </c>
      <c r="R2230" s="7" t="s">
        <v>118</v>
      </c>
      <c r="S2230" s="9">
        <f>10+40</f>
        <v>50</v>
      </c>
      <c r="T2230" s="9">
        <v>310.70999999999998</v>
      </c>
      <c r="U2230" s="9">
        <f t="shared" si="1671"/>
        <v>15535.499999999998</v>
      </c>
      <c r="V2230" s="9">
        <f t="shared" si="1645"/>
        <v>17399.759999999998</v>
      </c>
      <c r="W2230" s="3"/>
      <c r="X2230" s="2">
        <v>2016</v>
      </c>
      <c r="Y2230" s="3"/>
    </row>
    <row r="2231" spans="1:25" s="20" customFormat="1" ht="89.25" customHeight="1" outlineLevel="1" x14ac:dyDescent="0.25">
      <c r="A2231" s="1"/>
      <c r="B2231" s="2" t="s">
        <v>6692</v>
      </c>
      <c r="C2231" s="3" t="s">
        <v>83</v>
      </c>
      <c r="D2231" s="3" t="s">
        <v>4229</v>
      </c>
      <c r="E2231" s="3" t="s">
        <v>3026</v>
      </c>
      <c r="F2231" s="3" t="s">
        <v>4230</v>
      </c>
      <c r="G2231" s="3" t="s">
        <v>4231</v>
      </c>
      <c r="H2231" s="2" t="s">
        <v>694</v>
      </c>
      <c r="I2231" s="21">
        <v>0</v>
      </c>
      <c r="J2231" s="5">
        <v>710000000</v>
      </c>
      <c r="K2231" s="3" t="s">
        <v>89</v>
      </c>
      <c r="L2231" s="2" t="s">
        <v>754</v>
      </c>
      <c r="M2231" s="3" t="s">
        <v>787</v>
      </c>
      <c r="N2231" s="7" t="s">
        <v>92</v>
      </c>
      <c r="O2231" s="7" t="s">
        <v>93</v>
      </c>
      <c r="P2231" s="3" t="s">
        <v>673</v>
      </c>
      <c r="Q2231" s="8">
        <v>796</v>
      </c>
      <c r="R2231" s="7" t="s">
        <v>118</v>
      </c>
      <c r="S2231" s="9">
        <f>9+5+35+2+10+3+2+3+4</f>
        <v>73</v>
      </c>
      <c r="T2231" s="9">
        <v>224.11</v>
      </c>
      <c r="U2231" s="9">
        <f t="shared" si="1671"/>
        <v>16360.03</v>
      </c>
      <c r="V2231" s="9">
        <f t="shared" si="1645"/>
        <v>18323.233600000003</v>
      </c>
      <c r="W2231" s="3"/>
      <c r="X2231" s="2">
        <v>2016</v>
      </c>
      <c r="Y2231" s="3"/>
    </row>
    <row r="2232" spans="1:25" s="20" customFormat="1" ht="89.25" customHeight="1" outlineLevel="1" x14ac:dyDescent="0.25">
      <c r="A2232" s="1"/>
      <c r="B2232" s="2" t="s">
        <v>6693</v>
      </c>
      <c r="C2232" s="3" t="s">
        <v>83</v>
      </c>
      <c r="D2232" s="3" t="s">
        <v>4232</v>
      </c>
      <c r="E2232" s="3" t="s">
        <v>3026</v>
      </c>
      <c r="F2232" s="3" t="s">
        <v>4233</v>
      </c>
      <c r="G2232" s="3" t="s">
        <v>4234</v>
      </c>
      <c r="H2232" s="2" t="s">
        <v>694</v>
      </c>
      <c r="I2232" s="21">
        <v>0</v>
      </c>
      <c r="J2232" s="5">
        <v>710000000</v>
      </c>
      <c r="K2232" s="3" t="s">
        <v>89</v>
      </c>
      <c r="L2232" s="2" t="s">
        <v>754</v>
      </c>
      <c r="M2232" s="3" t="s">
        <v>787</v>
      </c>
      <c r="N2232" s="7" t="s">
        <v>92</v>
      </c>
      <c r="O2232" s="7" t="s">
        <v>93</v>
      </c>
      <c r="P2232" s="3" t="s">
        <v>673</v>
      </c>
      <c r="Q2232" s="8">
        <v>796</v>
      </c>
      <c r="R2232" s="7" t="s">
        <v>118</v>
      </c>
      <c r="S2232" s="9">
        <f>9+22</f>
        <v>31</v>
      </c>
      <c r="T2232" s="9">
        <v>2681.25</v>
      </c>
      <c r="U2232" s="9">
        <v>0</v>
      </c>
      <c r="V2232" s="9">
        <f t="shared" si="1645"/>
        <v>0</v>
      </c>
      <c r="W2232" s="3"/>
      <c r="X2232" s="2">
        <v>2016</v>
      </c>
      <c r="Y2232" s="3" t="s">
        <v>9709</v>
      </c>
    </row>
    <row r="2233" spans="1:25" s="20" customFormat="1" ht="89.25" customHeight="1" outlineLevel="1" x14ac:dyDescent="0.25">
      <c r="A2233" s="1"/>
      <c r="B2233" s="2" t="s">
        <v>9781</v>
      </c>
      <c r="C2233" s="3" t="s">
        <v>83</v>
      </c>
      <c r="D2233" s="3" t="s">
        <v>4232</v>
      </c>
      <c r="E2233" s="3" t="s">
        <v>3026</v>
      </c>
      <c r="F2233" s="3" t="s">
        <v>4233</v>
      </c>
      <c r="G2233" s="3" t="s">
        <v>4234</v>
      </c>
      <c r="H2233" s="2" t="s">
        <v>694</v>
      </c>
      <c r="I2233" s="21">
        <v>0</v>
      </c>
      <c r="J2233" s="5">
        <v>710000000</v>
      </c>
      <c r="K2233" s="3" t="s">
        <v>89</v>
      </c>
      <c r="L2233" s="6" t="s">
        <v>9737</v>
      </c>
      <c r="M2233" s="6" t="s">
        <v>9720</v>
      </c>
      <c r="N2233" s="7" t="s">
        <v>92</v>
      </c>
      <c r="O2233" s="7" t="s">
        <v>93</v>
      </c>
      <c r="P2233" s="3" t="s">
        <v>673</v>
      </c>
      <c r="Q2233" s="8">
        <v>796</v>
      </c>
      <c r="R2233" s="7" t="s">
        <v>118</v>
      </c>
      <c r="S2233" s="9">
        <f>9+22+20</f>
        <v>51</v>
      </c>
      <c r="T2233" s="9">
        <v>2681.25</v>
      </c>
      <c r="U2233" s="9">
        <f t="shared" ref="U2233" si="1672">S2233*T2233</f>
        <v>136743.75</v>
      </c>
      <c r="V2233" s="9">
        <f t="shared" ref="V2233" si="1673">U2233*1.12</f>
        <v>153153.00000000003</v>
      </c>
      <c r="W2233" s="3"/>
      <c r="X2233" s="2">
        <v>2016</v>
      </c>
      <c r="Y2233" s="3"/>
    </row>
    <row r="2234" spans="1:25" s="20" customFormat="1" ht="89.25" customHeight="1" outlineLevel="1" x14ac:dyDescent="0.2">
      <c r="A2234" s="25"/>
      <c r="B2234" s="2" t="s">
        <v>6694</v>
      </c>
      <c r="C2234" s="3" t="s">
        <v>83</v>
      </c>
      <c r="D2234" s="3" t="s">
        <v>4235</v>
      </c>
      <c r="E2234" s="3" t="s">
        <v>4236</v>
      </c>
      <c r="F2234" s="3" t="s">
        <v>4237</v>
      </c>
      <c r="G2234" s="3" t="s">
        <v>4238</v>
      </c>
      <c r="H2234" s="2" t="s">
        <v>694</v>
      </c>
      <c r="I2234" s="21">
        <v>0</v>
      </c>
      <c r="J2234" s="5">
        <v>710000000</v>
      </c>
      <c r="K2234" s="3" t="s">
        <v>89</v>
      </c>
      <c r="L2234" s="2" t="s">
        <v>754</v>
      </c>
      <c r="M2234" s="3" t="s">
        <v>787</v>
      </c>
      <c r="N2234" s="7" t="s">
        <v>92</v>
      </c>
      <c r="O2234" s="7" t="s">
        <v>93</v>
      </c>
      <c r="P2234" s="3" t="s">
        <v>673</v>
      </c>
      <c r="Q2234" s="8">
        <v>796</v>
      </c>
      <c r="R2234" s="7" t="s">
        <v>118</v>
      </c>
      <c r="S2234" s="9">
        <v>40</v>
      </c>
      <c r="T2234" s="9">
        <v>338</v>
      </c>
      <c r="U2234" s="9">
        <v>0</v>
      </c>
      <c r="V2234" s="9">
        <f t="shared" si="1645"/>
        <v>0</v>
      </c>
      <c r="W2234" s="3"/>
      <c r="X2234" s="2">
        <v>2016</v>
      </c>
      <c r="Y2234" s="3" t="s">
        <v>8409</v>
      </c>
    </row>
    <row r="2235" spans="1:25" s="20" customFormat="1" ht="89.25" customHeight="1" outlineLevel="1" x14ac:dyDescent="0.25">
      <c r="A2235" s="1"/>
      <c r="B2235" s="2" t="s">
        <v>9236</v>
      </c>
      <c r="C2235" s="3" t="s">
        <v>83</v>
      </c>
      <c r="D2235" s="3" t="s">
        <v>4235</v>
      </c>
      <c r="E2235" s="3" t="s">
        <v>4236</v>
      </c>
      <c r="F2235" s="3" t="s">
        <v>4237</v>
      </c>
      <c r="G2235" s="3" t="s">
        <v>4238</v>
      </c>
      <c r="H2235" s="2" t="s">
        <v>694</v>
      </c>
      <c r="I2235" s="21">
        <v>0</v>
      </c>
      <c r="J2235" s="5">
        <v>710000000</v>
      </c>
      <c r="K2235" s="3" t="s">
        <v>89</v>
      </c>
      <c r="L2235" s="5" t="s">
        <v>9114</v>
      </c>
      <c r="M2235" s="3" t="s">
        <v>787</v>
      </c>
      <c r="N2235" s="7" t="s">
        <v>92</v>
      </c>
      <c r="O2235" s="7" t="s">
        <v>93</v>
      </c>
      <c r="P2235" s="3" t="s">
        <v>673</v>
      </c>
      <c r="Q2235" s="8">
        <v>796</v>
      </c>
      <c r="R2235" s="7" t="s">
        <v>118</v>
      </c>
      <c r="S2235" s="9">
        <f>40+40</f>
        <v>80</v>
      </c>
      <c r="T2235" s="9">
        <v>338</v>
      </c>
      <c r="U2235" s="9">
        <f t="shared" ref="U2235" si="1674">S2235*T2235</f>
        <v>27040</v>
      </c>
      <c r="V2235" s="9">
        <f t="shared" ref="V2235" si="1675">U2235*1.12</f>
        <v>30284.800000000003</v>
      </c>
      <c r="W2235" s="3"/>
      <c r="X2235" s="2">
        <v>2016</v>
      </c>
      <c r="Y2235" s="3"/>
    </row>
    <row r="2236" spans="1:25" s="20" customFormat="1" ht="89.25" customHeight="1" outlineLevel="1" x14ac:dyDescent="0.25">
      <c r="A2236" s="1"/>
      <c r="B2236" s="2" t="s">
        <v>6695</v>
      </c>
      <c r="C2236" s="3" t="s">
        <v>83</v>
      </c>
      <c r="D2236" s="3" t="s">
        <v>4239</v>
      </c>
      <c r="E2236" s="3" t="s">
        <v>848</v>
      </c>
      <c r="F2236" s="3" t="s">
        <v>4240</v>
      </c>
      <c r="G2236" s="3" t="s">
        <v>4241</v>
      </c>
      <c r="H2236" s="2" t="s">
        <v>694</v>
      </c>
      <c r="I2236" s="21">
        <v>0</v>
      </c>
      <c r="J2236" s="5">
        <v>710000000</v>
      </c>
      <c r="K2236" s="3" t="s">
        <v>89</v>
      </c>
      <c r="L2236" s="2" t="s">
        <v>754</v>
      </c>
      <c r="M2236" s="3" t="s">
        <v>787</v>
      </c>
      <c r="N2236" s="7" t="s">
        <v>92</v>
      </c>
      <c r="O2236" s="7" t="s">
        <v>93</v>
      </c>
      <c r="P2236" s="3" t="s">
        <v>673</v>
      </c>
      <c r="Q2236" s="8">
        <v>796</v>
      </c>
      <c r="R2236" s="7" t="s">
        <v>118</v>
      </c>
      <c r="S2236" s="9">
        <f>77+10+5+93+2+3</f>
        <v>190</v>
      </c>
      <c r="T2236" s="9">
        <v>38.39</v>
      </c>
      <c r="U2236" s="9">
        <f t="shared" si="1671"/>
        <v>7294.1</v>
      </c>
      <c r="V2236" s="9">
        <f t="shared" si="1645"/>
        <v>8169.3920000000007</v>
      </c>
      <c r="W2236" s="3"/>
      <c r="X2236" s="2">
        <v>2016</v>
      </c>
      <c r="Y2236" s="3"/>
    </row>
    <row r="2237" spans="1:25" s="20" customFormat="1" ht="89.25" customHeight="1" outlineLevel="1" x14ac:dyDescent="0.2">
      <c r="A2237" s="25"/>
      <c r="B2237" s="2" t="s">
        <v>6696</v>
      </c>
      <c r="C2237" s="3" t="s">
        <v>83</v>
      </c>
      <c r="D2237" s="3" t="s">
        <v>4242</v>
      </c>
      <c r="E2237" s="3" t="s">
        <v>848</v>
      </c>
      <c r="F2237" s="3" t="s">
        <v>4243</v>
      </c>
      <c r="G2237" s="3" t="s">
        <v>4244</v>
      </c>
      <c r="H2237" s="2" t="s">
        <v>694</v>
      </c>
      <c r="I2237" s="21">
        <v>0</v>
      </c>
      <c r="J2237" s="5">
        <v>710000000</v>
      </c>
      <c r="K2237" s="3" t="s">
        <v>89</v>
      </c>
      <c r="L2237" s="2" t="s">
        <v>754</v>
      </c>
      <c r="M2237" s="3" t="s">
        <v>787</v>
      </c>
      <c r="N2237" s="7" t="s">
        <v>92</v>
      </c>
      <c r="O2237" s="7" t="s">
        <v>93</v>
      </c>
      <c r="P2237" s="3" t="s">
        <v>673</v>
      </c>
      <c r="Q2237" s="8">
        <v>796</v>
      </c>
      <c r="R2237" s="7" t="s">
        <v>118</v>
      </c>
      <c r="S2237" s="9">
        <v>5</v>
      </c>
      <c r="T2237" s="9">
        <v>329.46</v>
      </c>
      <c r="U2237" s="9">
        <v>0</v>
      </c>
      <c r="V2237" s="9">
        <f t="shared" si="1645"/>
        <v>0</v>
      </c>
      <c r="W2237" s="3"/>
      <c r="X2237" s="2">
        <v>2016</v>
      </c>
      <c r="Y2237" s="3" t="s">
        <v>8409</v>
      </c>
    </row>
    <row r="2238" spans="1:25" s="20" customFormat="1" ht="89.25" customHeight="1" outlineLevel="1" x14ac:dyDescent="0.25">
      <c r="A2238" s="1"/>
      <c r="B2238" s="2" t="s">
        <v>9234</v>
      </c>
      <c r="C2238" s="3" t="s">
        <v>83</v>
      </c>
      <c r="D2238" s="3" t="s">
        <v>4242</v>
      </c>
      <c r="E2238" s="3" t="s">
        <v>848</v>
      </c>
      <c r="F2238" s="3" t="s">
        <v>4243</v>
      </c>
      <c r="G2238" s="3" t="s">
        <v>4244</v>
      </c>
      <c r="H2238" s="2" t="s">
        <v>694</v>
      </c>
      <c r="I2238" s="21">
        <v>0</v>
      </c>
      <c r="J2238" s="5">
        <v>710000000</v>
      </c>
      <c r="K2238" s="3" t="s">
        <v>89</v>
      </c>
      <c r="L2238" s="5" t="s">
        <v>9114</v>
      </c>
      <c r="M2238" s="3" t="s">
        <v>787</v>
      </c>
      <c r="N2238" s="7" t="s">
        <v>92</v>
      </c>
      <c r="O2238" s="7" t="s">
        <v>93</v>
      </c>
      <c r="P2238" s="3" t="s">
        <v>673</v>
      </c>
      <c r="Q2238" s="8">
        <v>796</v>
      </c>
      <c r="R2238" s="7" t="s">
        <v>118</v>
      </c>
      <c r="S2238" s="9">
        <f>5+5</f>
        <v>10</v>
      </c>
      <c r="T2238" s="9">
        <v>329.46</v>
      </c>
      <c r="U2238" s="9">
        <f t="shared" ref="U2238" si="1676">S2238*T2238</f>
        <v>3294.6</v>
      </c>
      <c r="V2238" s="9">
        <f t="shared" ref="V2238:V2239" si="1677">U2238*1.12</f>
        <v>3689.9520000000002</v>
      </c>
      <c r="W2238" s="3"/>
      <c r="X2238" s="2">
        <v>2016</v>
      </c>
      <c r="Y2238" s="3"/>
    </row>
    <row r="2239" spans="1:25" s="20" customFormat="1" ht="89.25" customHeight="1" outlineLevel="1" x14ac:dyDescent="0.2">
      <c r="A2239" s="25"/>
      <c r="B2239" s="2" t="s">
        <v>6697</v>
      </c>
      <c r="C2239" s="3" t="s">
        <v>83</v>
      </c>
      <c r="D2239" s="3" t="s">
        <v>4245</v>
      </c>
      <c r="E2239" s="3" t="s">
        <v>3026</v>
      </c>
      <c r="F2239" s="3" t="s">
        <v>4246</v>
      </c>
      <c r="G2239" s="3" t="s">
        <v>4247</v>
      </c>
      <c r="H2239" s="2" t="s">
        <v>694</v>
      </c>
      <c r="I2239" s="21">
        <v>0</v>
      </c>
      <c r="J2239" s="5">
        <v>710000000</v>
      </c>
      <c r="K2239" s="3" t="s">
        <v>89</v>
      </c>
      <c r="L2239" s="2" t="s">
        <v>754</v>
      </c>
      <c r="M2239" s="3" t="s">
        <v>787</v>
      </c>
      <c r="N2239" s="7" t="s">
        <v>92</v>
      </c>
      <c r="O2239" s="7" t="s">
        <v>93</v>
      </c>
      <c r="P2239" s="3" t="s">
        <v>673</v>
      </c>
      <c r="Q2239" s="8">
        <v>796</v>
      </c>
      <c r="R2239" s="7" t="s">
        <v>118</v>
      </c>
      <c r="S2239" s="9">
        <f>5+2+2+1</f>
        <v>10</v>
      </c>
      <c r="T2239" s="9">
        <v>407</v>
      </c>
      <c r="U2239" s="9">
        <v>0</v>
      </c>
      <c r="V2239" s="9">
        <f t="shared" si="1677"/>
        <v>0</v>
      </c>
      <c r="W2239" s="3"/>
      <c r="X2239" s="2">
        <v>2016</v>
      </c>
      <c r="Y2239" s="3" t="s">
        <v>8409</v>
      </c>
    </row>
    <row r="2240" spans="1:25" s="20" customFormat="1" ht="89.25" customHeight="1" outlineLevel="1" x14ac:dyDescent="0.25">
      <c r="A2240" s="1"/>
      <c r="B2240" s="2" t="s">
        <v>9235</v>
      </c>
      <c r="C2240" s="3" t="s">
        <v>83</v>
      </c>
      <c r="D2240" s="3" t="s">
        <v>4245</v>
      </c>
      <c r="E2240" s="3" t="s">
        <v>3026</v>
      </c>
      <c r="F2240" s="3" t="s">
        <v>4246</v>
      </c>
      <c r="G2240" s="3" t="s">
        <v>4247</v>
      </c>
      <c r="H2240" s="2" t="s">
        <v>694</v>
      </c>
      <c r="I2240" s="21">
        <v>0</v>
      </c>
      <c r="J2240" s="5">
        <v>710000000</v>
      </c>
      <c r="K2240" s="3" t="s">
        <v>89</v>
      </c>
      <c r="L2240" s="5" t="s">
        <v>9114</v>
      </c>
      <c r="M2240" s="3" t="s">
        <v>787</v>
      </c>
      <c r="N2240" s="7" t="s">
        <v>92</v>
      </c>
      <c r="O2240" s="7" t="s">
        <v>93</v>
      </c>
      <c r="P2240" s="3" t="s">
        <v>673</v>
      </c>
      <c r="Q2240" s="8">
        <v>796</v>
      </c>
      <c r="R2240" s="7" t="s">
        <v>118</v>
      </c>
      <c r="S2240" s="9">
        <f>5+2+2+1+10</f>
        <v>20</v>
      </c>
      <c r="T2240" s="9">
        <v>407</v>
      </c>
      <c r="U2240" s="9">
        <f t="shared" si="1671"/>
        <v>8140</v>
      </c>
      <c r="V2240" s="9">
        <f t="shared" si="1645"/>
        <v>9116.8000000000011</v>
      </c>
      <c r="W2240" s="3"/>
      <c r="X2240" s="2">
        <v>2016</v>
      </c>
      <c r="Y2240" s="3"/>
    </row>
    <row r="2241" spans="1:25" s="20" customFormat="1" ht="89.25" customHeight="1" outlineLevel="1" x14ac:dyDescent="0.25">
      <c r="A2241" s="1"/>
      <c r="B2241" s="2" t="s">
        <v>6698</v>
      </c>
      <c r="C2241" s="3" t="s">
        <v>83</v>
      </c>
      <c r="D2241" s="3" t="s">
        <v>4248</v>
      </c>
      <c r="E2241" s="3" t="s">
        <v>4249</v>
      </c>
      <c r="F2241" s="3" t="s">
        <v>4250</v>
      </c>
      <c r="G2241" s="3" t="s">
        <v>4251</v>
      </c>
      <c r="H2241" s="2" t="s">
        <v>694</v>
      </c>
      <c r="I2241" s="21">
        <v>0</v>
      </c>
      <c r="J2241" s="5">
        <v>710000000</v>
      </c>
      <c r="K2241" s="3" t="s">
        <v>89</v>
      </c>
      <c r="L2241" s="2" t="s">
        <v>754</v>
      </c>
      <c r="M2241" s="3" t="s">
        <v>787</v>
      </c>
      <c r="N2241" s="7" t="s">
        <v>92</v>
      </c>
      <c r="O2241" s="7" t="s">
        <v>93</v>
      </c>
      <c r="P2241" s="3" t="s">
        <v>673</v>
      </c>
      <c r="Q2241" s="8">
        <v>796</v>
      </c>
      <c r="R2241" s="7" t="s">
        <v>118</v>
      </c>
      <c r="S2241" s="9">
        <f>4+6+1</f>
        <v>11</v>
      </c>
      <c r="T2241" s="9">
        <v>2022.32</v>
      </c>
      <c r="U2241" s="9">
        <f t="shared" si="1671"/>
        <v>22245.52</v>
      </c>
      <c r="V2241" s="9">
        <f t="shared" si="1645"/>
        <v>24914.982400000004</v>
      </c>
      <c r="W2241" s="3"/>
      <c r="X2241" s="2">
        <v>2016</v>
      </c>
      <c r="Y2241" s="3"/>
    </row>
    <row r="2242" spans="1:25" s="20" customFormat="1" ht="89.25" customHeight="1" outlineLevel="1" x14ac:dyDescent="0.25">
      <c r="A2242" s="1"/>
      <c r="B2242" s="2" t="s">
        <v>6699</v>
      </c>
      <c r="C2242" s="3" t="s">
        <v>83</v>
      </c>
      <c r="D2242" s="3" t="s">
        <v>4248</v>
      </c>
      <c r="E2242" s="3" t="s">
        <v>4249</v>
      </c>
      <c r="F2242" s="3" t="s">
        <v>4250</v>
      </c>
      <c r="G2242" s="3" t="s">
        <v>4252</v>
      </c>
      <c r="H2242" s="2" t="s">
        <v>694</v>
      </c>
      <c r="I2242" s="21">
        <v>0</v>
      </c>
      <c r="J2242" s="5">
        <v>710000000</v>
      </c>
      <c r="K2242" s="3" t="s">
        <v>89</v>
      </c>
      <c r="L2242" s="2" t="s">
        <v>754</v>
      </c>
      <c r="M2242" s="3" t="s">
        <v>787</v>
      </c>
      <c r="N2242" s="7" t="s">
        <v>92</v>
      </c>
      <c r="O2242" s="7" t="s">
        <v>93</v>
      </c>
      <c r="P2242" s="3" t="s">
        <v>673</v>
      </c>
      <c r="Q2242" s="8">
        <v>796</v>
      </c>
      <c r="R2242" s="7" t="s">
        <v>118</v>
      </c>
      <c r="S2242" s="9">
        <f>7+2</f>
        <v>9</v>
      </c>
      <c r="T2242" s="9">
        <v>2437.5</v>
      </c>
      <c r="U2242" s="9">
        <f t="shared" si="1671"/>
        <v>21937.5</v>
      </c>
      <c r="V2242" s="9">
        <f t="shared" si="1645"/>
        <v>24570.000000000004</v>
      </c>
      <c r="W2242" s="3"/>
      <c r="X2242" s="2">
        <v>2016</v>
      </c>
      <c r="Y2242" s="3"/>
    </row>
    <row r="2243" spans="1:25" s="20" customFormat="1" ht="89.25" customHeight="1" outlineLevel="1" x14ac:dyDescent="0.25">
      <c r="A2243" s="1"/>
      <c r="B2243" s="2" t="s">
        <v>6700</v>
      </c>
      <c r="C2243" s="3" t="s">
        <v>83</v>
      </c>
      <c r="D2243" s="3" t="s">
        <v>4253</v>
      </c>
      <c r="E2243" s="3" t="s">
        <v>4254</v>
      </c>
      <c r="F2243" s="3" t="s">
        <v>4255</v>
      </c>
      <c r="G2243" s="19" t="s">
        <v>4256</v>
      </c>
      <c r="H2243" s="2" t="s">
        <v>694</v>
      </c>
      <c r="I2243" s="4">
        <v>0</v>
      </c>
      <c r="J2243" s="5">
        <v>710000000</v>
      </c>
      <c r="K2243" s="5" t="s">
        <v>89</v>
      </c>
      <c r="L2243" s="2" t="s">
        <v>754</v>
      </c>
      <c r="M2243" s="6" t="s">
        <v>787</v>
      </c>
      <c r="N2243" s="7" t="s">
        <v>92</v>
      </c>
      <c r="O2243" s="7" t="s">
        <v>93</v>
      </c>
      <c r="P2243" s="3" t="s">
        <v>673</v>
      </c>
      <c r="Q2243" s="8">
        <v>796</v>
      </c>
      <c r="R2243" s="7" t="s">
        <v>118</v>
      </c>
      <c r="S2243" s="9">
        <f>10+2+19+2+1+2+2+2</f>
        <v>40</v>
      </c>
      <c r="T2243" s="9">
        <v>133.93</v>
      </c>
      <c r="U2243" s="9">
        <f t="shared" ref="U2243:U2258" si="1678">T2243*S2243</f>
        <v>5357.2000000000007</v>
      </c>
      <c r="V2243" s="9">
        <f t="shared" si="1645"/>
        <v>6000.0640000000012</v>
      </c>
      <c r="W2243" s="7"/>
      <c r="X2243" s="2">
        <v>2016</v>
      </c>
      <c r="Y2243" s="2"/>
    </row>
    <row r="2244" spans="1:25" s="20" customFormat="1" ht="89.25" customHeight="1" outlineLevel="1" x14ac:dyDescent="0.25">
      <c r="A2244" s="1"/>
      <c r="B2244" s="2" t="s">
        <v>6701</v>
      </c>
      <c r="C2244" s="3" t="s">
        <v>83</v>
      </c>
      <c r="D2244" s="3" t="s">
        <v>4257</v>
      </c>
      <c r="E2244" s="3" t="s">
        <v>4258</v>
      </c>
      <c r="F2244" s="3" t="s">
        <v>4259</v>
      </c>
      <c r="G2244" s="3" t="s">
        <v>4260</v>
      </c>
      <c r="H2244" s="2" t="s">
        <v>694</v>
      </c>
      <c r="I2244" s="4">
        <v>0</v>
      </c>
      <c r="J2244" s="5">
        <v>710000000</v>
      </c>
      <c r="K2244" s="3" t="s">
        <v>89</v>
      </c>
      <c r="L2244" s="2" t="s">
        <v>754</v>
      </c>
      <c r="M2244" s="3" t="s">
        <v>787</v>
      </c>
      <c r="N2244" s="7" t="s">
        <v>92</v>
      </c>
      <c r="O2244" s="7" t="s">
        <v>93</v>
      </c>
      <c r="P2244" s="3" t="s">
        <v>673</v>
      </c>
      <c r="Q2244" s="8">
        <v>796</v>
      </c>
      <c r="R2244" s="7" t="s">
        <v>118</v>
      </c>
      <c r="S2244" s="9">
        <f>10+6+2+2</f>
        <v>20</v>
      </c>
      <c r="T2244" s="9">
        <v>1339.29</v>
      </c>
      <c r="U2244" s="9">
        <f t="shared" si="1678"/>
        <v>26785.8</v>
      </c>
      <c r="V2244" s="9">
        <f t="shared" si="1645"/>
        <v>30000.096000000001</v>
      </c>
      <c r="W2244" s="3"/>
      <c r="X2244" s="2">
        <v>2016</v>
      </c>
      <c r="Y2244" s="3"/>
    </row>
    <row r="2245" spans="1:25" s="20" customFormat="1" ht="89.25" customHeight="1" outlineLevel="1" x14ac:dyDescent="0.2">
      <c r="A2245" s="25"/>
      <c r="B2245" s="2" t="s">
        <v>6702</v>
      </c>
      <c r="C2245" s="3" t="s">
        <v>83</v>
      </c>
      <c r="D2245" s="3" t="s">
        <v>4261</v>
      </c>
      <c r="E2245" s="3" t="s">
        <v>4195</v>
      </c>
      <c r="F2245" s="3" t="s">
        <v>4262</v>
      </c>
      <c r="G2245" s="3" t="s">
        <v>4263</v>
      </c>
      <c r="H2245" s="2" t="s">
        <v>694</v>
      </c>
      <c r="I2245" s="21">
        <v>0</v>
      </c>
      <c r="J2245" s="5">
        <v>710000000</v>
      </c>
      <c r="K2245" s="3" t="s">
        <v>89</v>
      </c>
      <c r="L2245" s="2" t="s">
        <v>754</v>
      </c>
      <c r="M2245" s="3" t="s">
        <v>787</v>
      </c>
      <c r="N2245" s="7" t="s">
        <v>92</v>
      </c>
      <c r="O2245" s="7" t="s">
        <v>93</v>
      </c>
      <c r="P2245" s="3" t="s">
        <v>673</v>
      </c>
      <c r="Q2245" s="8">
        <v>796</v>
      </c>
      <c r="R2245" s="7" t="s">
        <v>118</v>
      </c>
      <c r="S2245" s="9">
        <f>4+15+1+2+2</f>
        <v>24</v>
      </c>
      <c r="T2245" s="9">
        <v>669.64</v>
      </c>
      <c r="U2245" s="9">
        <v>0</v>
      </c>
      <c r="V2245" s="9">
        <f t="shared" si="1645"/>
        <v>0</v>
      </c>
      <c r="W2245" s="3"/>
      <c r="X2245" s="2">
        <v>2016</v>
      </c>
      <c r="Y2245" s="3" t="s">
        <v>8409</v>
      </c>
    </row>
    <row r="2246" spans="1:25" s="20" customFormat="1" ht="89.25" customHeight="1" outlineLevel="1" x14ac:dyDescent="0.25">
      <c r="A2246" s="1"/>
      <c r="B2246" s="2" t="s">
        <v>9241</v>
      </c>
      <c r="C2246" s="3" t="s">
        <v>83</v>
      </c>
      <c r="D2246" s="3" t="s">
        <v>4261</v>
      </c>
      <c r="E2246" s="3" t="s">
        <v>4195</v>
      </c>
      <c r="F2246" s="3" t="s">
        <v>4262</v>
      </c>
      <c r="G2246" s="3" t="s">
        <v>4263</v>
      </c>
      <c r="H2246" s="2" t="s">
        <v>694</v>
      </c>
      <c r="I2246" s="21">
        <v>0</v>
      </c>
      <c r="J2246" s="5">
        <v>710000000</v>
      </c>
      <c r="K2246" s="3" t="s">
        <v>89</v>
      </c>
      <c r="L2246" s="7" t="s">
        <v>9096</v>
      </c>
      <c r="M2246" s="3" t="s">
        <v>787</v>
      </c>
      <c r="N2246" s="7" t="s">
        <v>92</v>
      </c>
      <c r="O2246" s="7" t="s">
        <v>93</v>
      </c>
      <c r="P2246" s="3" t="s">
        <v>673</v>
      </c>
      <c r="Q2246" s="8">
        <v>796</v>
      </c>
      <c r="R2246" s="7" t="s">
        <v>118</v>
      </c>
      <c r="S2246" s="9">
        <f>4+15+1+2+2+20</f>
        <v>44</v>
      </c>
      <c r="T2246" s="9">
        <v>669.64</v>
      </c>
      <c r="U2246" s="9">
        <v>0</v>
      </c>
      <c r="V2246" s="9">
        <f t="shared" ref="V2246" si="1679">U2246*1.12</f>
        <v>0</v>
      </c>
      <c r="W2246" s="3"/>
      <c r="X2246" s="2">
        <v>2016</v>
      </c>
      <c r="Y2246" s="3" t="s">
        <v>9709</v>
      </c>
    </row>
    <row r="2247" spans="1:25" s="20" customFormat="1" ht="89.25" customHeight="1" outlineLevel="1" x14ac:dyDescent="0.25">
      <c r="A2247" s="1"/>
      <c r="B2247" s="2" t="s">
        <v>9782</v>
      </c>
      <c r="C2247" s="3" t="s">
        <v>83</v>
      </c>
      <c r="D2247" s="3" t="s">
        <v>4261</v>
      </c>
      <c r="E2247" s="3" t="s">
        <v>4195</v>
      </c>
      <c r="F2247" s="3" t="s">
        <v>4262</v>
      </c>
      <c r="G2247" s="3" t="s">
        <v>4263</v>
      </c>
      <c r="H2247" s="2" t="s">
        <v>694</v>
      </c>
      <c r="I2247" s="21">
        <v>0</v>
      </c>
      <c r="J2247" s="5">
        <v>710000000</v>
      </c>
      <c r="K2247" s="3" t="s">
        <v>89</v>
      </c>
      <c r="L2247" s="7" t="s">
        <v>9738</v>
      </c>
      <c r="M2247" s="6" t="s">
        <v>9720</v>
      </c>
      <c r="N2247" s="7" t="s">
        <v>92</v>
      </c>
      <c r="O2247" s="7" t="s">
        <v>93</v>
      </c>
      <c r="P2247" s="3" t="s">
        <v>673</v>
      </c>
      <c r="Q2247" s="8">
        <v>796</v>
      </c>
      <c r="R2247" s="7" t="s">
        <v>118</v>
      </c>
      <c r="S2247" s="9">
        <f>4+15+1+2+2+20+4</f>
        <v>48</v>
      </c>
      <c r="T2247" s="9">
        <v>669.64</v>
      </c>
      <c r="U2247" s="9">
        <f t="shared" ref="U2247" si="1680">T2247*S2247</f>
        <v>32142.720000000001</v>
      </c>
      <c r="V2247" s="9">
        <f t="shared" ref="V2247" si="1681">U2247*1.12</f>
        <v>35999.846400000002</v>
      </c>
      <c r="W2247" s="3"/>
      <c r="X2247" s="2">
        <v>2016</v>
      </c>
      <c r="Y2247" s="3"/>
    </row>
    <row r="2248" spans="1:25" s="11" customFormat="1" ht="89.25" customHeight="1" outlineLevel="1" x14ac:dyDescent="0.2">
      <c r="A2248" s="25"/>
      <c r="B2248" s="2" t="s">
        <v>6703</v>
      </c>
      <c r="C2248" s="3" t="s">
        <v>83</v>
      </c>
      <c r="D2248" s="3" t="s">
        <v>4264</v>
      </c>
      <c r="E2248" s="3" t="s">
        <v>4195</v>
      </c>
      <c r="F2248" s="3" t="s">
        <v>4265</v>
      </c>
      <c r="G2248" s="3" t="s">
        <v>4266</v>
      </c>
      <c r="H2248" s="2" t="s">
        <v>694</v>
      </c>
      <c r="I2248" s="4">
        <v>0</v>
      </c>
      <c r="J2248" s="5">
        <v>710000000</v>
      </c>
      <c r="K2248" s="3" t="s">
        <v>89</v>
      </c>
      <c r="L2248" s="2" t="s">
        <v>754</v>
      </c>
      <c r="M2248" s="3" t="s">
        <v>787</v>
      </c>
      <c r="N2248" s="7" t="s">
        <v>92</v>
      </c>
      <c r="O2248" s="7" t="s">
        <v>93</v>
      </c>
      <c r="P2248" s="3" t="s">
        <v>673</v>
      </c>
      <c r="Q2248" s="8">
        <v>796</v>
      </c>
      <c r="R2248" s="7" t="s">
        <v>118</v>
      </c>
      <c r="S2248" s="9">
        <f>10+12</f>
        <v>22</v>
      </c>
      <c r="T2248" s="9">
        <v>379.46</v>
      </c>
      <c r="U2248" s="9">
        <v>0</v>
      </c>
      <c r="V2248" s="9">
        <f t="shared" si="1645"/>
        <v>0</v>
      </c>
      <c r="W2248" s="3"/>
      <c r="X2248" s="2">
        <v>2016</v>
      </c>
      <c r="Y2248" s="3" t="s">
        <v>8409</v>
      </c>
    </row>
    <row r="2249" spans="1:25" s="11" customFormat="1" ht="89.25" customHeight="1" outlineLevel="1" x14ac:dyDescent="0.25">
      <c r="A2249" s="1"/>
      <c r="B2249" s="2" t="s">
        <v>9239</v>
      </c>
      <c r="C2249" s="3" t="s">
        <v>83</v>
      </c>
      <c r="D2249" s="3" t="s">
        <v>4264</v>
      </c>
      <c r="E2249" s="3" t="s">
        <v>4195</v>
      </c>
      <c r="F2249" s="3" t="s">
        <v>4265</v>
      </c>
      <c r="G2249" s="3" t="s">
        <v>4266</v>
      </c>
      <c r="H2249" s="2" t="s">
        <v>694</v>
      </c>
      <c r="I2249" s="4">
        <v>0</v>
      </c>
      <c r="J2249" s="5">
        <v>710000000</v>
      </c>
      <c r="K2249" s="3" t="s">
        <v>89</v>
      </c>
      <c r="L2249" s="2" t="s">
        <v>9114</v>
      </c>
      <c r="M2249" s="3" t="s">
        <v>787</v>
      </c>
      <c r="N2249" s="7" t="s">
        <v>92</v>
      </c>
      <c r="O2249" s="7" t="s">
        <v>93</v>
      </c>
      <c r="P2249" s="3" t="s">
        <v>673</v>
      </c>
      <c r="Q2249" s="8">
        <v>796</v>
      </c>
      <c r="R2249" s="7" t="s">
        <v>118</v>
      </c>
      <c r="S2249" s="9">
        <f>10+12+22</f>
        <v>44</v>
      </c>
      <c r="T2249" s="9">
        <v>379.46</v>
      </c>
      <c r="U2249" s="9">
        <f t="shared" ref="U2249" si="1682">T2249*S2249</f>
        <v>16696.239999999998</v>
      </c>
      <c r="V2249" s="9">
        <f t="shared" ref="V2249" si="1683">U2249*1.12</f>
        <v>18699.788799999998</v>
      </c>
      <c r="W2249" s="3"/>
      <c r="X2249" s="2">
        <v>2016</v>
      </c>
      <c r="Y2249" s="3"/>
    </row>
    <row r="2250" spans="1:25" s="20" customFormat="1" ht="89.25" customHeight="1" outlineLevel="1" x14ac:dyDescent="0.2">
      <c r="A2250" s="25"/>
      <c r="B2250" s="2" t="s">
        <v>6704</v>
      </c>
      <c r="C2250" s="3" t="s">
        <v>83</v>
      </c>
      <c r="D2250" s="3" t="s">
        <v>4267</v>
      </c>
      <c r="E2250" s="3" t="s">
        <v>4195</v>
      </c>
      <c r="F2250" s="3" t="s">
        <v>4268</v>
      </c>
      <c r="G2250" s="3" t="s">
        <v>4269</v>
      </c>
      <c r="H2250" s="2" t="s">
        <v>694</v>
      </c>
      <c r="I2250" s="21">
        <v>0</v>
      </c>
      <c r="J2250" s="5">
        <v>710000000</v>
      </c>
      <c r="K2250" s="3" t="s">
        <v>89</v>
      </c>
      <c r="L2250" s="2" t="s">
        <v>754</v>
      </c>
      <c r="M2250" s="3" t="s">
        <v>787</v>
      </c>
      <c r="N2250" s="7" t="s">
        <v>92</v>
      </c>
      <c r="O2250" s="7" t="s">
        <v>93</v>
      </c>
      <c r="P2250" s="3" t="s">
        <v>673</v>
      </c>
      <c r="Q2250" s="8">
        <v>796</v>
      </c>
      <c r="R2250" s="7" t="s">
        <v>118</v>
      </c>
      <c r="S2250" s="9">
        <f>13+6+10+2+2+2+3</f>
        <v>38</v>
      </c>
      <c r="T2250" s="9">
        <v>446.43</v>
      </c>
      <c r="U2250" s="9">
        <v>0</v>
      </c>
      <c r="V2250" s="9">
        <f t="shared" si="1645"/>
        <v>0</v>
      </c>
      <c r="W2250" s="3"/>
      <c r="X2250" s="2">
        <v>2016</v>
      </c>
      <c r="Y2250" s="3" t="s">
        <v>8409</v>
      </c>
    </row>
    <row r="2251" spans="1:25" s="20" customFormat="1" ht="89.25" customHeight="1" outlineLevel="1" x14ac:dyDescent="0.25">
      <c r="A2251" s="1"/>
      <c r="B2251" s="2" t="s">
        <v>9240</v>
      </c>
      <c r="C2251" s="3" t="s">
        <v>83</v>
      </c>
      <c r="D2251" s="3" t="s">
        <v>4267</v>
      </c>
      <c r="E2251" s="3" t="s">
        <v>4195</v>
      </c>
      <c r="F2251" s="3" t="s">
        <v>4268</v>
      </c>
      <c r="G2251" s="3" t="s">
        <v>4269</v>
      </c>
      <c r="H2251" s="2" t="s">
        <v>694</v>
      </c>
      <c r="I2251" s="21">
        <v>0</v>
      </c>
      <c r="J2251" s="5">
        <v>710000000</v>
      </c>
      <c r="K2251" s="3" t="s">
        <v>89</v>
      </c>
      <c r="L2251" s="2" t="s">
        <v>9114</v>
      </c>
      <c r="M2251" s="3" t="s">
        <v>787</v>
      </c>
      <c r="N2251" s="7" t="s">
        <v>92</v>
      </c>
      <c r="O2251" s="7" t="s">
        <v>93</v>
      </c>
      <c r="P2251" s="3" t="s">
        <v>673</v>
      </c>
      <c r="Q2251" s="8">
        <v>796</v>
      </c>
      <c r="R2251" s="7" t="s">
        <v>118</v>
      </c>
      <c r="S2251" s="9">
        <f>13+6+10+2+2+2+3+20</f>
        <v>58</v>
      </c>
      <c r="T2251" s="9">
        <v>446.43</v>
      </c>
      <c r="U2251" s="9">
        <f t="shared" ref="U2251" si="1684">T2251*S2251</f>
        <v>25892.94</v>
      </c>
      <c r="V2251" s="9">
        <f t="shared" ref="V2251" si="1685">U2251*1.12</f>
        <v>29000.092800000002</v>
      </c>
      <c r="W2251" s="3"/>
      <c r="X2251" s="2">
        <v>2016</v>
      </c>
      <c r="Y2251" s="3"/>
    </row>
    <row r="2252" spans="1:25" s="20" customFormat="1" ht="89.25" customHeight="1" outlineLevel="1" x14ac:dyDescent="0.25">
      <c r="A2252" s="1"/>
      <c r="B2252" s="2" t="s">
        <v>6705</v>
      </c>
      <c r="C2252" s="3" t="s">
        <v>83</v>
      </c>
      <c r="D2252" s="3" t="s">
        <v>4201</v>
      </c>
      <c r="E2252" s="3" t="s">
        <v>4195</v>
      </c>
      <c r="F2252" s="3" t="s">
        <v>4202</v>
      </c>
      <c r="G2252" s="3" t="s">
        <v>4270</v>
      </c>
      <c r="H2252" s="2" t="s">
        <v>694</v>
      </c>
      <c r="I2252" s="21">
        <v>0</v>
      </c>
      <c r="J2252" s="5">
        <v>710000000</v>
      </c>
      <c r="K2252" s="3" t="s">
        <v>89</v>
      </c>
      <c r="L2252" s="2" t="s">
        <v>754</v>
      </c>
      <c r="M2252" s="3" t="s">
        <v>787</v>
      </c>
      <c r="N2252" s="7" t="s">
        <v>92</v>
      </c>
      <c r="O2252" s="7" t="s">
        <v>93</v>
      </c>
      <c r="P2252" s="3" t="s">
        <v>673</v>
      </c>
      <c r="Q2252" s="8" t="s">
        <v>2439</v>
      </c>
      <c r="R2252" s="7" t="s">
        <v>2440</v>
      </c>
      <c r="S2252" s="9">
        <f>97+2</f>
        <v>99</v>
      </c>
      <c r="T2252" s="9">
        <v>334.82</v>
      </c>
      <c r="U2252" s="9">
        <f t="shared" si="1678"/>
        <v>33147.18</v>
      </c>
      <c r="V2252" s="9">
        <f t="shared" si="1645"/>
        <v>37124.841600000007</v>
      </c>
      <c r="W2252" s="3"/>
      <c r="X2252" s="2">
        <v>2016</v>
      </c>
      <c r="Y2252" s="3"/>
    </row>
    <row r="2253" spans="1:25" s="20" customFormat="1" ht="89.25" customHeight="1" outlineLevel="1" x14ac:dyDescent="0.2">
      <c r="A2253" s="25"/>
      <c r="B2253" s="2" t="s">
        <v>6706</v>
      </c>
      <c r="C2253" s="3" t="s">
        <v>83</v>
      </c>
      <c r="D2253" s="3" t="s">
        <v>4271</v>
      </c>
      <c r="E2253" s="3" t="s">
        <v>4195</v>
      </c>
      <c r="F2253" s="3" t="s">
        <v>4272</v>
      </c>
      <c r="G2253" s="19" t="s">
        <v>4273</v>
      </c>
      <c r="H2253" s="2" t="s">
        <v>694</v>
      </c>
      <c r="I2253" s="4">
        <v>0</v>
      </c>
      <c r="J2253" s="5">
        <v>710000000</v>
      </c>
      <c r="K2253" s="5" t="s">
        <v>89</v>
      </c>
      <c r="L2253" s="2" t="s">
        <v>754</v>
      </c>
      <c r="M2253" s="6" t="s">
        <v>787</v>
      </c>
      <c r="N2253" s="7" t="s">
        <v>92</v>
      </c>
      <c r="O2253" s="7" t="s">
        <v>93</v>
      </c>
      <c r="P2253" s="3" t="s">
        <v>673</v>
      </c>
      <c r="Q2253" s="8">
        <v>796</v>
      </c>
      <c r="R2253" s="7" t="s">
        <v>118</v>
      </c>
      <c r="S2253" s="9">
        <f>30+15</f>
        <v>45</v>
      </c>
      <c r="T2253" s="9">
        <v>1541.96</v>
      </c>
      <c r="U2253" s="9">
        <v>0</v>
      </c>
      <c r="V2253" s="9">
        <f t="shared" si="1645"/>
        <v>0</v>
      </c>
      <c r="W2253" s="7"/>
      <c r="X2253" s="2">
        <v>2016</v>
      </c>
      <c r="Y2253" s="2" t="s">
        <v>8409</v>
      </c>
    </row>
    <row r="2254" spans="1:25" s="20" customFormat="1" ht="89.25" customHeight="1" outlineLevel="1" x14ac:dyDescent="0.25">
      <c r="A2254" s="1"/>
      <c r="B2254" s="2" t="s">
        <v>9237</v>
      </c>
      <c r="C2254" s="3" t="s">
        <v>83</v>
      </c>
      <c r="D2254" s="3" t="s">
        <v>4271</v>
      </c>
      <c r="E2254" s="3" t="s">
        <v>4195</v>
      </c>
      <c r="F2254" s="3" t="s">
        <v>4272</v>
      </c>
      <c r="G2254" s="19" t="s">
        <v>4273</v>
      </c>
      <c r="H2254" s="2" t="s">
        <v>694</v>
      </c>
      <c r="I2254" s="4">
        <v>0</v>
      </c>
      <c r="J2254" s="5">
        <v>710000000</v>
      </c>
      <c r="K2254" s="5" t="s">
        <v>89</v>
      </c>
      <c r="L2254" s="2" t="s">
        <v>9114</v>
      </c>
      <c r="M2254" s="6" t="s">
        <v>787</v>
      </c>
      <c r="N2254" s="7" t="s">
        <v>92</v>
      </c>
      <c r="O2254" s="7" t="s">
        <v>93</v>
      </c>
      <c r="P2254" s="3" t="s">
        <v>673</v>
      </c>
      <c r="Q2254" s="8">
        <v>796</v>
      </c>
      <c r="R2254" s="7" t="s">
        <v>118</v>
      </c>
      <c r="S2254" s="9">
        <f>30+15+10</f>
        <v>55</v>
      </c>
      <c r="T2254" s="9">
        <v>1541.96</v>
      </c>
      <c r="U2254" s="9">
        <f t="shared" ref="U2254" si="1686">T2254*S2254</f>
        <v>84807.8</v>
      </c>
      <c r="V2254" s="9">
        <f t="shared" ref="V2254" si="1687">U2254*1.12</f>
        <v>94984.736000000019</v>
      </c>
      <c r="W2254" s="7"/>
      <c r="X2254" s="2">
        <v>2016</v>
      </c>
      <c r="Y2254" s="2"/>
    </row>
    <row r="2255" spans="1:25" s="20" customFormat="1" ht="89.25" customHeight="1" outlineLevel="1" x14ac:dyDescent="0.25">
      <c r="A2255" s="1"/>
      <c r="B2255" s="2" t="s">
        <v>6707</v>
      </c>
      <c r="C2255" s="3" t="s">
        <v>83</v>
      </c>
      <c r="D2255" s="3" t="s">
        <v>4274</v>
      </c>
      <c r="E2255" s="3" t="s">
        <v>4275</v>
      </c>
      <c r="F2255" s="3" t="s">
        <v>4276</v>
      </c>
      <c r="G2255" s="3"/>
      <c r="H2255" s="2" t="s">
        <v>694</v>
      </c>
      <c r="I2255" s="21">
        <v>0</v>
      </c>
      <c r="J2255" s="5">
        <v>710000000</v>
      </c>
      <c r="K2255" s="3" t="s">
        <v>89</v>
      </c>
      <c r="L2255" s="2" t="s">
        <v>754</v>
      </c>
      <c r="M2255" s="3" t="s">
        <v>787</v>
      </c>
      <c r="N2255" s="7" t="s">
        <v>92</v>
      </c>
      <c r="O2255" s="7" t="s">
        <v>93</v>
      </c>
      <c r="P2255" s="3" t="s">
        <v>673</v>
      </c>
      <c r="Q2255" s="8" t="s">
        <v>544</v>
      </c>
      <c r="R2255" s="7" t="s">
        <v>111</v>
      </c>
      <c r="S2255" s="9">
        <f>10+3+3.5+1+0.3+1+0.3</f>
        <v>19.100000000000001</v>
      </c>
      <c r="T2255" s="9">
        <v>489.1</v>
      </c>
      <c r="U2255" s="9">
        <f t="shared" si="1678"/>
        <v>9341.8100000000013</v>
      </c>
      <c r="V2255" s="9">
        <f t="shared" si="1645"/>
        <v>10462.827200000003</v>
      </c>
      <c r="W2255" s="3"/>
      <c r="X2255" s="2">
        <v>2016</v>
      </c>
      <c r="Y2255" s="3"/>
    </row>
    <row r="2256" spans="1:25" s="20" customFormat="1" ht="89.25" customHeight="1" outlineLevel="1" x14ac:dyDescent="0.25">
      <c r="A2256" s="1"/>
      <c r="B2256" s="2" t="s">
        <v>6708</v>
      </c>
      <c r="C2256" s="3" t="s">
        <v>83</v>
      </c>
      <c r="D2256" s="3" t="s">
        <v>4277</v>
      </c>
      <c r="E2256" s="3" t="s">
        <v>4278</v>
      </c>
      <c r="F2256" s="3" t="s">
        <v>4279</v>
      </c>
      <c r="G2256" s="19"/>
      <c r="H2256" s="2" t="s">
        <v>694</v>
      </c>
      <c r="I2256" s="4">
        <v>0</v>
      </c>
      <c r="J2256" s="5">
        <v>710000000</v>
      </c>
      <c r="K2256" s="5" t="s">
        <v>89</v>
      </c>
      <c r="L2256" s="2" t="s">
        <v>754</v>
      </c>
      <c r="M2256" s="6" t="s">
        <v>787</v>
      </c>
      <c r="N2256" s="7" t="s">
        <v>92</v>
      </c>
      <c r="O2256" s="7" t="s">
        <v>93</v>
      </c>
      <c r="P2256" s="3" t="s">
        <v>673</v>
      </c>
      <c r="Q2256" s="8">
        <v>796</v>
      </c>
      <c r="R2256" s="7" t="s">
        <v>118</v>
      </c>
      <c r="S2256" s="9">
        <f>6+2+5+1+2+2+1</f>
        <v>19</v>
      </c>
      <c r="T2256" s="9">
        <v>683.93</v>
      </c>
      <c r="U2256" s="9">
        <f t="shared" si="1678"/>
        <v>12994.669999999998</v>
      </c>
      <c r="V2256" s="9">
        <f t="shared" si="1645"/>
        <v>14554.0304</v>
      </c>
      <c r="W2256" s="7"/>
      <c r="X2256" s="2">
        <v>2016</v>
      </c>
      <c r="Y2256" s="2"/>
    </row>
    <row r="2257" spans="1:25" s="11" customFormat="1" ht="89.25" customHeight="1" outlineLevel="1" x14ac:dyDescent="0.25">
      <c r="A2257" s="1"/>
      <c r="B2257" s="2" t="s">
        <v>6709</v>
      </c>
      <c r="C2257" s="3" t="s">
        <v>83</v>
      </c>
      <c r="D2257" s="3" t="s">
        <v>4280</v>
      </c>
      <c r="E2257" s="3" t="s">
        <v>4281</v>
      </c>
      <c r="F2257" s="3" t="s">
        <v>4282</v>
      </c>
      <c r="G2257" s="19" t="s">
        <v>4283</v>
      </c>
      <c r="H2257" s="2" t="s">
        <v>694</v>
      </c>
      <c r="I2257" s="21">
        <v>0</v>
      </c>
      <c r="J2257" s="5">
        <v>710000000</v>
      </c>
      <c r="K2257" s="3" t="s">
        <v>89</v>
      </c>
      <c r="L2257" s="2" t="s">
        <v>754</v>
      </c>
      <c r="M2257" s="3" t="s">
        <v>787</v>
      </c>
      <c r="N2257" s="7" t="s">
        <v>92</v>
      </c>
      <c r="O2257" s="7" t="s">
        <v>93</v>
      </c>
      <c r="P2257" s="3" t="s">
        <v>673</v>
      </c>
      <c r="Q2257" s="8">
        <v>796</v>
      </c>
      <c r="R2257" s="7" t="s">
        <v>118</v>
      </c>
      <c r="S2257" s="9">
        <f>4+5</f>
        <v>9</v>
      </c>
      <c r="T2257" s="9">
        <v>9808.0400000000009</v>
      </c>
      <c r="U2257" s="9">
        <f t="shared" si="1678"/>
        <v>88272.360000000015</v>
      </c>
      <c r="V2257" s="9">
        <f t="shared" si="1645"/>
        <v>98865.043200000029</v>
      </c>
      <c r="W2257" s="3"/>
      <c r="X2257" s="2">
        <v>2016</v>
      </c>
      <c r="Y2257" s="3"/>
    </row>
    <row r="2258" spans="1:25" s="20" customFormat="1" ht="89.25" customHeight="1" outlineLevel="1" x14ac:dyDescent="0.25">
      <c r="A2258" s="1"/>
      <c r="B2258" s="2" t="s">
        <v>6710</v>
      </c>
      <c r="C2258" s="3" t="s">
        <v>83</v>
      </c>
      <c r="D2258" s="3" t="s">
        <v>4284</v>
      </c>
      <c r="E2258" s="3" t="s">
        <v>4285</v>
      </c>
      <c r="F2258" s="3" t="s">
        <v>4286</v>
      </c>
      <c r="G2258" s="19"/>
      <c r="H2258" s="2" t="s">
        <v>694</v>
      </c>
      <c r="I2258" s="21">
        <v>0</v>
      </c>
      <c r="J2258" s="5">
        <v>710000000</v>
      </c>
      <c r="K2258" s="3" t="s">
        <v>89</v>
      </c>
      <c r="L2258" s="2" t="s">
        <v>754</v>
      </c>
      <c r="M2258" s="3" t="s">
        <v>787</v>
      </c>
      <c r="N2258" s="7" t="s">
        <v>92</v>
      </c>
      <c r="O2258" s="7" t="s">
        <v>93</v>
      </c>
      <c r="P2258" s="3" t="s">
        <v>673</v>
      </c>
      <c r="Q2258" s="8" t="s">
        <v>544</v>
      </c>
      <c r="R2258" s="7" t="s">
        <v>111</v>
      </c>
      <c r="S2258" s="9">
        <f>8+6+0.4+0.4+1</f>
        <v>15.8</v>
      </c>
      <c r="T2258" s="9">
        <v>930.36</v>
      </c>
      <c r="U2258" s="9">
        <f t="shared" si="1678"/>
        <v>14699.688</v>
      </c>
      <c r="V2258" s="9">
        <f t="shared" si="1645"/>
        <v>16463.650560000002</v>
      </c>
      <c r="W2258" s="3"/>
      <c r="X2258" s="2">
        <v>2016</v>
      </c>
      <c r="Y2258" s="3"/>
    </row>
    <row r="2259" spans="1:25" s="20" customFormat="1" ht="89.25" customHeight="1" outlineLevel="1" x14ac:dyDescent="0.25">
      <c r="A2259" s="1"/>
      <c r="B2259" s="2" t="s">
        <v>6711</v>
      </c>
      <c r="C2259" s="3" t="s">
        <v>83</v>
      </c>
      <c r="D2259" s="3" t="s">
        <v>4287</v>
      </c>
      <c r="E2259" s="3" t="s">
        <v>4288</v>
      </c>
      <c r="F2259" s="3" t="s">
        <v>4289</v>
      </c>
      <c r="G2259" s="3"/>
      <c r="H2259" s="2" t="s">
        <v>694</v>
      </c>
      <c r="I2259" s="21">
        <v>0</v>
      </c>
      <c r="J2259" s="5">
        <v>710000000</v>
      </c>
      <c r="K2259" s="3" t="s">
        <v>89</v>
      </c>
      <c r="L2259" s="2" t="s">
        <v>754</v>
      </c>
      <c r="M2259" s="3" t="s">
        <v>787</v>
      </c>
      <c r="N2259" s="7" t="s">
        <v>92</v>
      </c>
      <c r="O2259" s="7" t="s">
        <v>93</v>
      </c>
      <c r="P2259" s="3" t="s">
        <v>673</v>
      </c>
      <c r="Q2259" s="8">
        <v>796</v>
      </c>
      <c r="R2259" s="7" t="s">
        <v>118</v>
      </c>
      <c r="S2259" s="9">
        <v>5</v>
      </c>
      <c r="T2259" s="9">
        <v>29335.71</v>
      </c>
      <c r="U2259" s="9">
        <f>S2259*T2259</f>
        <v>146678.54999999999</v>
      </c>
      <c r="V2259" s="9">
        <f t="shared" si="1645"/>
        <v>164279.976</v>
      </c>
      <c r="W2259" s="3"/>
      <c r="X2259" s="2">
        <v>2016</v>
      </c>
      <c r="Y2259" s="3"/>
    </row>
    <row r="2260" spans="1:25" s="11" customFormat="1" ht="89.25" customHeight="1" outlineLevel="1" x14ac:dyDescent="0.25">
      <c r="A2260" s="1"/>
      <c r="B2260" s="2" t="s">
        <v>6712</v>
      </c>
      <c r="C2260" s="3" t="s">
        <v>83</v>
      </c>
      <c r="D2260" s="3" t="s">
        <v>4290</v>
      </c>
      <c r="E2260" s="3" t="s">
        <v>4291</v>
      </c>
      <c r="F2260" s="3" t="s">
        <v>4292</v>
      </c>
      <c r="G2260" s="19" t="s">
        <v>4293</v>
      </c>
      <c r="H2260" s="2" t="s">
        <v>694</v>
      </c>
      <c r="I2260" s="4">
        <v>0</v>
      </c>
      <c r="J2260" s="5">
        <v>710000000</v>
      </c>
      <c r="K2260" s="5" t="s">
        <v>89</v>
      </c>
      <c r="L2260" s="2" t="s">
        <v>754</v>
      </c>
      <c r="M2260" s="6" t="s">
        <v>787</v>
      </c>
      <c r="N2260" s="7" t="s">
        <v>92</v>
      </c>
      <c r="O2260" s="7" t="s">
        <v>93</v>
      </c>
      <c r="P2260" s="3" t="s">
        <v>673</v>
      </c>
      <c r="Q2260" s="8">
        <v>796</v>
      </c>
      <c r="R2260" s="7" t="s">
        <v>118</v>
      </c>
      <c r="S2260" s="9">
        <f>10+5+2</f>
        <v>17</v>
      </c>
      <c r="T2260" s="9">
        <v>5250</v>
      </c>
      <c r="U2260" s="9">
        <v>0</v>
      </c>
      <c r="V2260" s="9">
        <f t="shared" si="1645"/>
        <v>0</v>
      </c>
      <c r="W2260" s="7"/>
      <c r="X2260" s="2">
        <v>2016</v>
      </c>
      <c r="Y2260" s="2" t="s">
        <v>9709</v>
      </c>
    </row>
    <row r="2261" spans="1:25" s="11" customFormat="1" ht="89.25" customHeight="1" outlineLevel="1" x14ac:dyDescent="0.25">
      <c r="A2261" s="1"/>
      <c r="B2261" s="2" t="s">
        <v>9731</v>
      </c>
      <c r="C2261" s="3" t="s">
        <v>83</v>
      </c>
      <c r="D2261" s="3" t="s">
        <v>4290</v>
      </c>
      <c r="E2261" s="3" t="s">
        <v>4291</v>
      </c>
      <c r="F2261" s="3" t="s">
        <v>4292</v>
      </c>
      <c r="G2261" s="19" t="s">
        <v>4293</v>
      </c>
      <c r="H2261" s="2" t="s">
        <v>694</v>
      </c>
      <c r="I2261" s="4">
        <v>0</v>
      </c>
      <c r="J2261" s="5">
        <v>710000000</v>
      </c>
      <c r="K2261" s="5" t="s">
        <v>89</v>
      </c>
      <c r="L2261" s="6" t="s">
        <v>9737</v>
      </c>
      <c r="M2261" s="6" t="s">
        <v>9720</v>
      </c>
      <c r="N2261" s="7" t="s">
        <v>92</v>
      </c>
      <c r="O2261" s="7" t="s">
        <v>93</v>
      </c>
      <c r="P2261" s="3" t="s">
        <v>673</v>
      </c>
      <c r="Q2261" s="8">
        <v>796</v>
      </c>
      <c r="R2261" s="7" t="s">
        <v>118</v>
      </c>
      <c r="S2261" s="9">
        <f>10+5+2+10+7</f>
        <v>34</v>
      </c>
      <c r="T2261" s="9">
        <v>5250</v>
      </c>
      <c r="U2261" s="9">
        <f>T2261*S2261</f>
        <v>178500</v>
      </c>
      <c r="V2261" s="9">
        <f t="shared" ref="V2261" si="1688">U2261*1.12</f>
        <v>199920.00000000003</v>
      </c>
      <c r="W2261" s="7"/>
      <c r="X2261" s="2">
        <v>2016</v>
      </c>
      <c r="Y2261" s="2"/>
    </row>
    <row r="2262" spans="1:25" s="20" customFormat="1" ht="89.25" customHeight="1" outlineLevel="1" x14ac:dyDescent="0.2">
      <c r="A2262" s="25"/>
      <c r="B2262" s="2" t="s">
        <v>6713</v>
      </c>
      <c r="C2262" s="3" t="s">
        <v>83</v>
      </c>
      <c r="D2262" s="3" t="s">
        <v>4294</v>
      </c>
      <c r="E2262" s="3" t="s">
        <v>4295</v>
      </c>
      <c r="F2262" s="3" t="s">
        <v>4296</v>
      </c>
      <c r="G2262" s="19"/>
      <c r="H2262" s="2" t="s">
        <v>694</v>
      </c>
      <c r="I2262" s="4">
        <v>0</v>
      </c>
      <c r="J2262" s="5">
        <v>710000000</v>
      </c>
      <c r="K2262" s="5" t="s">
        <v>89</v>
      </c>
      <c r="L2262" s="2" t="s">
        <v>754</v>
      </c>
      <c r="M2262" s="6" t="s">
        <v>787</v>
      </c>
      <c r="N2262" s="7" t="s">
        <v>92</v>
      </c>
      <c r="O2262" s="7" t="s">
        <v>93</v>
      </c>
      <c r="P2262" s="3" t="s">
        <v>673</v>
      </c>
      <c r="Q2262" s="8">
        <v>796</v>
      </c>
      <c r="R2262" s="7" t="s">
        <v>118</v>
      </c>
      <c r="S2262" s="9">
        <f>4+1</f>
        <v>5</v>
      </c>
      <c r="T2262" s="9">
        <v>6446.43</v>
      </c>
      <c r="U2262" s="9">
        <v>0</v>
      </c>
      <c r="V2262" s="9">
        <f t="shared" si="1645"/>
        <v>0</v>
      </c>
      <c r="W2262" s="7"/>
      <c r="X2262" s="2">
        <v>2016</v>
      </c>
      <c r="Y2262" s="2" t="s">
        <v>8409</v>
      </c>
    </row>
    <row r="2263" spans="1:25" s="20" customFormat="1" ht="89.25" customHeight="1" outlineLevel="1" x14ac:dyDescent="0.25">
      <c r="A2263" s="1"/>
      <c r="B2263" s="2" t="s">
        <v>9242</v>
      </c>
      <c r="C2263" s="3" t="s">
        <v>83</v>
      </c>
      <c r="D2263" s="3" t="s">
        <v>4294</v>
      </c>
      <c r="E2263" s="3" t="s">
        <v>4295</v>
      </c>
      <c r="F2263" s="3" t="s">
        <v>4296</v>
      </c>
      <c r="G2263" s="19"/>
      <c r="H2263" s="2" t="s">
        <v>694</v>
      </c>
      <c r="I2263" s="4">
        <v>0</v>
      </c>
      <c r="J2263" s="5">
        <v>710000000</v>
      </c>
      <c r="K2263" s="5" t="s">
        <v>89</v>
      </c>
      <c r="L2263" s="2" t="s">
        <v>9114</v>
      </c>
      <c r="M2263" s="6" t="s">
        <v>787</v>
      </c>
      <c r="N2263" s="7" t="s">
        <v>92</v>
      </c>
      <c r="O2263" s="7" t="s">
        <v>93</v>
      </c>
      <c r="P2263" s="3" t="s">
        <v>673</v>
      </c>
      <c r="Q2263" s="8">
        <v>796</v>
      </c>
      <c r="R2263" s="7" t="s">
        <v>118</v>
      </c>
      <c r="S2263" s="9">
        <f>4+1+4</f>
        <v>9</v>
      </c>
      <c r="T2263" s="9">
        <v>6446.43</v>
      </c>
      <c r="U2263" s="9">
        <f>T2263*S2263</f>
        <v>58017.87</v>
      </c>
      <c r="V2263" s="9">
        <f t="shared" ref="V2263" si="1689">U2263*1.12</f>
        <v>64980.014400000007</v>
      </c>
      <c r="W2263" s="7"/>
      <c r="X2263" s="2">
        <v>2016</v>
      </c>
      <c r="Y2263" s="2"/>
    </row>
    <row r="2264" spans="1:25" s="20" customFormat="1" ht="89.25" customHeight="1" outlineLevel="1" x14ac:dyDescent="0.2">
      <c r="A2264" s="25"/>
      <c r="B2264" s="2" t="s">
        <v>6714</v>
      </c>
      <c r="C2264" s="3" t="s">
        <v>83</v>
      </c>
      <c r="D2264" s="3" t="s">
        <v>4297</v>
      </c>
      <c r="E2264" s="3" t="s">
        <v>4298</v>
      </c>
      <c r="F2264" s="3" t="s">
        <v>4299</v>
      </c>
      <c r="G2264" s="3"/>
      <c r="H2264" s="2" t="s">
        <v>694</v>
      </c>
      <c r="I2264" s="21">
        <v>0</v>
      </c>
      <c r="J2264" s="5">
        <v>710000000</v>
      </c>
      <c r="K2264" s="3" t="s">
        <v>89</v>
      </c>
      <c r="L2264" s="2" t="s">
        <v>754</v>
      </c>
      <c r="M2264" s="3" t="s">
        <v>787</v>
      </c>
      <c r="N2264" s="7" t="s">
        <v>92</v>
      </c>
      <c r="O2264" s="7" t="s">
        <v>93</v>
      </c>
      <c r="P2264" s="3" t="s">
        <v>673</v>
      </c>
      <c r="Q2264" s="8" t="s">
        <v>861</v>
      </c>
      <c r="R2264" s="7" t="s">
        <v>812</v>
      </c>
      <c r="S2264" s="9">
        <f>3+1+1</f>
        <v>5</v>
      </c>
      <c r="T2264" s="9">
        <v>16696.419999999998</v>
      </c>
      <c r="U2264" s="9">
        <v>0</v>
      </c>
      <c r="V2264" s="9">
        <f t="shared" si="1645"/>
        <v>0</v>
      </c>
      <c r="W2264" s="3"/>
      <c r="X2264" s="2">
        <v>2016</v>
      </c>
      <c r="Y2264" s="2" t="s">
        <v>8409</v>
      </c>
    </row>
    <row r="2265" spans="1:25" s="20" customFormat="1" ht="89.25" customHeight="1" outlineLevel="1" x14ac:dyDescent="0.25">
      <c r="A2265" s="1"/>
      <c r="B2265" s="2" t="s">
        <v>9243</v>
      </c>
      <c r="C2265" s="3" t="s">
        <v>83</v>
      </c>
      <c r="D2265" s="3" t="s">
        <v>4297</v>
      </c>
      <c r="E2265" s="3" t="s">
        <v>4298</v>
      </c>
      <c r="F2265" s="3" t="s">
        <v>4299</v>
      </c>
      <c r="G2265" s="3"/>
      <c r="H2265" s="2" t="s">
        <v>694</v>
      </c>
      <c r="I2265" s="21">
        <v>0</v>
      </c>
      <c r="J2265" s="5">
        <v>710000000</v>
      </c>
      <c r="K2265" s="3" t="s">
        <v>89</v>
      </c>
      <c r="L2265" s="2" t="s">
        <v>9114</v>
      </c>
      <c r="M2265" s="3" t="s">
        <v>787</v>
      </c>
      <c r="N2265" s="7" t="s">
        <v>92</v>
      </c>
      <c r="O2265" s="7" t="s">
        <v>93</v>
      </c>
      <c r="P2265" s="3" t="s">
        <v>673</v>
      </c>
      <c r="Q2265" s="8" t="s">
        <v>861</v>
      </c>
      <c r="R2265" s="7" t="s">
        <v>812</v>
      </c>
      <c r="S2265" s="9">
        <f>3+1+1+5</f>
        <v>10</v>
      </c>
      <c r="T2265" s="9">
        <v>16696.419999999998</v>
      </c>
      <c r="U2265" s="9">
        <f>S2265*T2265</f>
        <v>166964.19999999998</v>
      </c>
      <c r="V2265" s="9">
        <f t="shared" ref="V2265" si="1690">U2265*1.12</f>
        <v>186999.90400000001</v>
      </c>
      <c r="W2265" s="3"/>
      <c r="X2265" s="2">
        <v>2016</v>
      </c>
      <c r="Y2265" s="3"/>
    </row>
    <row r="2266" spans="1:25" s="20" customFormat="1" ht="89.25" customHeight="1" outlineLevel="1" x14ac:dyDescent="0.2">
      <c r="A2266" s="25"/>
      <c r="B2266" s="2" t="s">
        <v>6715</v>
      </c>
      <c r="C2266" s="3" t="s">
        <v>83</v>
      </c>
      <c r="D2266" s="3" t="s">
        <v>4300</v>
      </c>
      <c r="E2266" s="3" t="s">
        <v>887</v>
      </c>
      <c r="F2266" s="3" t="s">
        <v>4301</v>
      </c>
      <c r="G2266" s="3"/>
      <c r="H2266" s="2" t="s">
        <v>694</v>
      </c>
      <c r="I2266" s="21">
        <v>0</v>
      </c>
      <c r="J2266" s="5">
        <v>710000000</v>
      </c>
      <c r="K2266" s="3" t="s">
        <v>89</v>
      </c>
      <c r="L2266" s="3" t="s">
        <v>754</v>
      </c>
      <c r="M2266" s="3" t="s">
        <v>787</v>
      </c>
      <c r="N2266" s="7" t="s">
        <v>92</v>
      </c>
      <c r="O2266" s="7" t="s">
        <v>93</v>
      </c>
      <c r="P2266" s="3" t="s">
        <v>673</v>
      </c>
      <c r="Q2266" s="8">
        <v>796</v>
      </c>
      <c r="R2266" s="7" t="s">
        <v>118</v>
      </c>
      <c r="S2266" s="9">
        <f>24+6</f>
        <v>30</v>
      </c>
      <c r="T2266" s="9">
        <v>366.07</v>
      </c>
      <c r="U2266" s="9">
        <v>0</v>
      </c>
      <c r="V2266" s="9">
        <f t="shared" si="1645"/>
        <v>0</v>
      </c>
      <c r="W2266" s="3"/>
      <c r="X2266" s="2">
        <v>2016</v>
      </c>
      <c r="Y2266" s="2" t="s">
        <v>8409</v>
      </c>
    </row>
    <row r="2267" spans="1:25" s="20" customFormat="1" ht="89.25" customHeight="1" outlineLevel="1" x14ac:dyDescent="0.25">
      <c r="A2267" s="1"/>
      <c r="B2267" s="2" t="s">
        <v>9244</v>
      </c>
      <c r="C2267" s="3" t="s">
        <v>83</v>
      </c>
      <c r="D2267" s="3" t="s">
        <v>4300</v>
      </c>
      <c r="E2267" s="3" t="s">
        <v>887</v>
      </c>
      <c r="F2267" s="3" t="s">
        <v>4301</v>
      </c>
      <c r="G2267" s="3"/>
      <c r="H2267" s="2" t="s">
        <v>694</v>
      </c>
      <c r="I2267" s="21">
        <v>0</v>
      </c>
      <c r="J2267" s="5">
        <v>710000000</v>
      </c>
      <c r="K2267" s="3" t="s">
        <v>89</v>
      </c>
      <c r="L2267" s="3" t="s">
        <v>9096</v>
      </c>
      <c r="M2267" s="3" t="s">
        <v>787</v>
      </c>
      <c r="N2267" s="7" t="s">
        <v>92</v>
      </c>
      <c r="O2267" s="7" t="s">
        <v>93</v>
      </c>
      <c r="P2267" s="3" t="s">
        <v>673</v>
      </c>
      <c r="Q2267" s="8">
        <v>796</v>
      </c>
      <c r="R2267" s="7" t="s">
        <v>118</v>
      </c>
      <c r="S2267" s="9">
        <f>24+6+15</f>
        <v>45</v>
      </c>
      <c r="T2267" s="9">
        <v>366.07</v>
      </c>
      <c r="U2267" s="9">
        <v>0</v>
      </c>
      <c r="V2267" s="9">
        <f t="shared" ref="V2267" si="1691">U2267*1.12</f>
        <v>0</v>
      </c>
      <c r="W2267" s="3"/>
      <c r="X2267" s="2">
        <v>2016</v>
      </c>
      <c r="Y2267" s="2" t="s">
        <v>9709</v>
      </c>
    </row>
    <row r="2268" spans="1:25" s="20" customFormat="1" ht="89.25" customHeight="1" outlineLevel="1" x14ac:dyDescent="0.25">
      <c r="A2268" s="1"/>
      <c r="B2268" s="2" t="s">
        <v>9732</v>
      </c>
      <c r="C2268" s="3" t="s">
        <v>83</v>
      </c>
      <c r="D2268" s="3" t="s">
        <v>4300</v>
      </c>
      <c r="E2268" s="3" t="s">
        <v>887</v>
      </c>
      <c r="F2268" s="3" t="s">
        <v>4301</v>
      </c>
      <c r="G2268" s="3"/>
      <c r="H2268" s="2" t="s">
        <v>694</v>
      </c>
      <c r="I2268" s="21">
        <v>0</v>
      </c>
      <c r="J2268" s="5">
        <v>710000000</v>
      </c>
      <c r="K2268" s="3" t="s">
        <v>89</v>
      </c>
      <c r="L2268" s="3" t="s">
        <v>9738</v>
      </c>
      <c r="M2268" s="6" t="s">
        <v>9720</v>
      </c>
      <c r="N2268" s="7" t="s">
        <v>92</v>
      </c>
      <c r="O2268" s="7" t="s">
        <v>93</v>
      </c>
      <c r="P2268" s="3" t="s">
        <v>673</v>
      </c>
      <c r="Q2268" s="8">
        <v>796</v>
      </c>
      <c r="R2268" s="7" t="s">
        <v>118</v>
      </c>
      <c r="S2268" s="9">
        <f>24+6+15+15</f>
        <v>60</v>
      </c>
      <c r="T2268" s="9">
        <v>366.07</v>
      </c>
      <c r="U2268" s="9">
        <f>S2268*T2268</f>
        <v>21964.2</v>
      </c>
      <c r="V2268" s="9">
        <f t="shared" ref="V2268" si="1692">U2268*1.12</f>
        <v>24599.904000000002</v>
      </c>
      <c r="W2268" s="3"/>
      <c r="X2268" s="2">
        <v>2016</v>
      </c>
      <c r="Y2268" s="3"/>
    </row>
    <row r="2269" spans="1:25" s="20" customFormat="1" ht="89.25" customHeight="1" outlineLevel="1" x14ac:dyDescent="0.25">
      <c r="A2269" s="1"/>
      <c r="B2269" s="2" t="s">
        <v>6716</v>
      </c>
      <c r="C2269" s="3" t="s">
        <v>83</v>
      </c>
      <c r="D2269" s="3" t="s">
        <v>4302</v>
      </c>
      <c r="E2269" s="3" t="s">
        <v>3089</v>
      </c>
      <c r="F2269" s="3" t="s">
        <v>4303</v>
      </c>
      <c r="G2269" s="3" t="s">
        <v>4304</v>
      </c>
      <c r="H2269" s="2" t="s">
        <v>694</v>
      </c>
      <c r="I2269" s="21">
        <v>0</v>
      </c>
      <c r="J2269" s="5">
        <v>710000000</v>
      </c>
      <c r="K2269" s="3" t="s">
        <v>89</v>
      </c>
      <c r="L2269" s="3" t="s">
        <v>754</v>
      </c>
      <c r="M2269" s="3" t="s">
        <v>787</v>
      </c>
      <c r="N2269" s="7" t="s">
        <v>92</v>
      </c>
      <c r="O2269" s="7" t="s">
        <v>93</v>
      </c>
      <c r="P2269" s="3" t="s">
        <v>673</v>
      </c>
      <c r="Q2269" s="8">
        <v>796</v>
      </c>
      <c r="R2269" s="7" t="s">
        <v>118</v>
      </c>
      <c r="S2269" s="9">
        <f>24+6+21+20+4+4</f>
        <v>79</v>
      </c>
      <c r="T2269" s="9">
        <v>366.07</v>
      </c>
      <c r="U2269" s="9">
        <f>S2269*T2269</f>
        <v>28919.53</v>
      </c>
      <c r="V2269" s="9">
        <f t="shared" si="1645"/>
        <v>32389.873600000003</v>
      </c>
      <c r="W2269" s="3"/>
      <c r="X2269" s="2">
        <v>2016</v>
      </c>
      <c r="Y2269" s="3"/>
    </row>
    <row r="2270" spans="1:25" s="20" customFormat="1" ht="89.25" customHeight="1" outlineLevel="1" x14ac:dyDescent="0.25">
      <c r="A2270" s="1"/>
      <c r="B2270" s="2" t="s">
        <v>6717</v>
      </c>
      <c r="C2270" s="3" t="s">
        <v>83</v>
      </c>
      <c r="D2270" s="3" t="s">
        <v>4305</v>
      </c>
      <c r="E2270" s="3" t="s">
        <v>2976</v>
      </c>
      <c r="F2270" s="3" t="s">
        <v>4306</v>
      </c>
      <c r="G2270" s="19"/>
      <c r="H2270" s="2" t="s">
        <v>694</v>
      </c>
      <c r="I2270" s="4">
        <v>0</v>
      </c>
      <c r="J2270" s="5">
        <v>710000000</v>
      </c>
      <c r="K2270" s="5" t="s">
        <v>89</v>
      </c>
      <c r="L2270" s="2" t="s">
        <v>754</v>
      </c>
      <c r="M2270" s="6" t="s">
        <v>787</v>
      </c>
      <c r="N2270" s="7" t="s">
        <v>92</v>
      </c>
      <c r="O2270" s="7" t="s">
        <v>93</v>
      </c>
      <c r="P2270" s="3" t="s">
        <v>673</v>
      </c>
      <c r="Q2270" s="8">
        <v>796</v>
      </c>
      <c r="R2270" s="7" t="s">
        <v>118</v>
      </c>
      <c r="S2270" s="9">
        <v>20</v>
      </c>
      <c r="T2270" s="9">
        <v>2500</v>
      </c>
      <c r="U2270" s="9">
        <v>0</v>
      </c>
      <c r="V2270" s="9">
        <f t="shared" si="1645"/>
        <v>0</v>
      </c>
      <c r="W2270" s="7"/>
      <c r="X2270" s="2">
        <v>2016</v>
      </c>
      <c r="Y2270" s="2" t="s">
        <v>9709</v>
      </c>
    </row>
    <row r="2271" spans="1:25" s="20" customFormat="1" ht="89.25" customHeight="1" outlineLevel="1" x14ac:dyDescent="0.25">
      <c r="A2271" s="1"/>
      <c r="B2271" s="2" t="s">
        <v>9733</v>
      </c>
      <c r="C2271" s="3" t="s">
        <v>83</v>
      </c>
      <c r="D2271" s="3" t="s">
        <v>4305</v>
      </c>
      <c r="E2271" s="3" t="s">
        <v>2976</v>
      </c>
      <c r="F2271" s="3" t="s">
        <v>4306</v>
      </c>
      <c r="G2271" s="19"/>
      <c r="H2271" s="2" t="s">
        <v>694</v>
      </c>
      <c r="I2271" s="4">
        <v>0</v>
      </c>
      <c r="J2271" s="5">
        <v>710000000</v>
      </c>
      <c r="K2271" s="5" t="s">
        <v>89</v>
      </c>
      <c r="L2271" s="6" t="s">
        <v>9737</v>
      </c>
      <c r="M2271" s="6" t="s">
        <v>9720</v>
      </c>
      <c r="N2271" s="7" t="s">
        <v>92</v>
      </c>
      <c r="O2271" s="7" t="s">
        <v>93</v>
      </c>
      <c r="P2271" s="3" t="s">
        <v>673</v>
      </c>
      <c r="Q2271" s="8">
        <v>796</v>
      </c>
      <c r="R2271" s="7" t="s">
        <v>118</v>
      </c>
      <c r="S2271" s="9">
        <f>20+20</f>
        <v>40</v>
      </c>
      <c r="T2271" s="9">
        <v>2500</v>
      </c>
      <c r="U2271" s="9">
        <f t="shared" ref="U2271" si="1693">T2271*S2271</f>
        <v>100000</v>
      </c>
      <c r="V2271" s="9">
        <f t="shared" ref="V2271" si="1694">U2271*1.12</f>
        <v>112000.00000000001</v>
      </c>
      <c r="W2271" s="7"/>
      <c r="X2271" s="2">
        <v>2016</v>
      </c>
      <c r="Y2271" s="2"/>
    </row>
    <row r="2272" spans="1:25" s="20" customFormat="1" ht="89.25" customHeight="1" outlineLevel="1" x14ac:dyDescent="0.25">
      <c r="A2272" s="1"/>
      <c r="B2272" s="2" t="s">
        <v>6718</v>
      </c>
      <c r="C2272" s="3" t="s">
        <v>83</v>
      </c>
      <c r="D2272" s="3" t="s">
        <v>4307</v>
      </c>
      <c r="E2272" s="3" t="s">
        <v>2976</v>
      </c>
      <c r="F2272" s="3" t="s">
        <v>4308</v>
      </c>
      <c r="G2272" s="19"/>
      <c r="H2272" s="2" t="s">
        <v>694</v>
      </c>
      <c r="I2272" s="4">
        <v>0</v>
      </c>
      <c r="J2272" s="5">
        <v>710000000</v>
      </c>
      <c r="K2272" s="5" t="s">
        <v>89</v>
      </c>
      <c r="L2272" s="2" t="s">
        <v>754</v>
      </c>
      <c r="M2272" s="6" t="s">
        <v>787</v>
      </c>
      <c r="N2272" s="7" t="s">
        <v>92</v>
      </c>
      <c r="O2272" s="7" t="s">
        <v>93</v>
      </c>
      <c r="P2272" s="3" t="s">
        <v>673</v>
      </c>
      <c r="Q2272" s="8">
        <v>796</v>
      </c>
      <c r="R2272" s="7" t="s">
        <v>118</v>
      </c>
      <c r="S2272" s="9">
        <v>1000</v>
      </c>
      <c r="T2272" s="9">
        <v>7.64</v>
      </c>
      <c r="U2272" s="9">
        <f t="shared" ref="U2272:U2315" si="1695">T2272*S2272</f>
        <v>7640</v>
      </c>
      <c r="V2272" s="9">
        <f t="shared" si="1645"/>
        <v>8556.8000000000011</v>
      </c>
      <c r="W2272" s="7"/>
      <c r="X2272" s="2">
        <v>2016</v>
      </c>
      <c r="Y2272" s="2"/>
    </row>
    <row r="2273" spans="1:25" s="11" customFormat="1" ht="89.25" customHeight="1" outlineLevel="1" x14ac:dyDescent="0.25">
      <c r="A2273" s="1"/>
      <c r="B2273" s="2" t="s">
        <v>6719</v>
      </c>
      <c r="C2273" s="3" t="s">
        <v>83</v>
      </c>
      <c r="D2273" s="19" t="s">
        <v>4309</v>
      </c>
      <c r="E2273" s="19" t="s">
        <v>4204</v>
      </c>
      <c r="F2273" s="19" t="s">
        <v>4310</v>
      </c>
      <c r="G2273" s="19"/>
      <c r="H2273" s="2" t="s">
        <v>694</v>
      </c>
      <c r="I2273" s="4">
        <v>0</v>
      </c>
      <c r="J2273" s="5">
        <v>710000000</v>
      </c>
      <c r="K2273" s="5" t="s">
        <v>89</v>
      </c>
      <c r="L2273" s="2" t="s">
        <v>754</v>
      </c>
      <c r="M2273" s="6" t="s">
        <v>91</v>
      </c>
      <c r="N2273" s="7" t="s">
        <v>92</v>
      </c>
      <c r="O2273" s="7" t="s">
        <v>93</v>
      </c>
      <c r="P2273" s="3" t="s">
        <v>673</v>
      </c>
      <c r="Q2273" s="8" t="s">
        <v>117</v>
      </c>
      <c r="R2273" s="7" t="s">
        <v>118</v>
      </c>
      <c r="S2273" s="9">
        <v>10</v>
      </c>
      <c r="T2273" s="9">
        <v>3343</v>
      </c>
      <c r="U2273" s="9">
        <f t="shared" si="1695"/>
        <v>33430</v>
      </c>
      <c r="V2273" s="9">
        <f t="shared" ref="V2273:V2341" si="1696">U2273*1.12</f>
        <v>37441.600000000006</v>
      </c>
      <c r="W2273" s="7"/>
      <c r="X2273" s="2">
        <v>2016</v>
      </c>
      <c r="Y2273" s="2"/>
    </row>
    <row r="2274" spans="1:25" s="11" customFormat="1" ht="89.25" customHeight="1" outlineLevel="1" x14ac:dyDescent="0.25">
      <c r="A2274" s="1"/>
      <c r="B2274" s="2" t="s">
        <v>6720</v>
      </c>
      <c r="C2274" s="3" t="s">
        <v>83</v>
      </c>
      <c r="D2274" s="19" t="s">
        <v>4311</v>
      </c>
      <c r="E2274" s="19" t="s">
        <v>4312</v>
      </c>
      <c r="F2274" s="19" t="s">
        <v>4313</v>
      </c>
      <c r="G2274" s="19"/>
      <c r="H2274" s="2" t="s">
        <v>694</v>
      </c>
      <c r="I2274" s="4">
        <v>0</v>
      </c>
      <c r="J2274" s="5">
        <v>710000000</v>
      </c>
      <c r="K2274" s="5" t="s">
        <v>89</v>
      </c>
      <c r="L2274" s="2" t="s">
        <v>754</v>
      </c>
      <c r="M2274" s="6" t="s">
        <v>91</v>
      </c>
      <c r="N2274" s="7" t="s">
        <v>92</v>
      </c>
      <c r="O2274" s="7" t="s">
        <v>93</v>
      </c>
      <c r="P2274" s="3" t="s">
        <v>673</v>
      </c>
      <c r="Q2274" s="8" t="s">
        <v>117</v>
      </c>
      <c r="R2274" s="7" t="s">
        <v>118</v>
      </c>
      <c r="S2274" s="9">
        <v>4</v>
      </c>
      <c r="T2274" s="9">
        <v>3057</v>
      </c>
      <c r="U2274" s="9">
        <f t="shared" si="1695"/>
        <v>12228</v>
      </c>
      <c r="V2274" s="9">
        <f t="shared" si="1696"/>
        <v>13695.36</v>
      </c>
      <c r="W2274" s="7"/>
      <c r="X2274" s="2">
        <v>2016</v>
      </c>
      <c r="Y2274" s="2"/>
    </row>
    <row r="2275" spans="1:25" s="11" customFormat="1" ht="89.25" customHeight="1" outlineLevel="1" x14ac:dyDescent="0.25">
      <c r="A2275" s="1"/>
      <c r="B2275" s="2" t="s">
        <v>6721</v>
      </c>
      <c r="C2275" s="3" t="s">
        <v>83</v>
      </c>
      <c r="D2275" s="19" t="s">
        <v>4314</v>
      </c>
      <c r="E2275" s="19" t="s">
        <v>4157</v>
      </c>
      <c r="F2275" s="19" t="s">
        <v>4315</v>
      </c>
      <c r="G2275" s="19" t="s">
        <v>4316</v>
      </c>
      <c r="H2275" s="2" t="s">
        <v>694</v>
      </c>
      <c r="I2275" s="4">
        <v>0</v>
      </c>
      <c r="J2275" s="5">
        <v>710000000</v>
      </c>
      <c r="K2275" s="5" t="s">
        <v>89</v>
      </c>
      <c r="L2275" s="2" t="s">
        <v>754</v>
      </c>
      <c r="M2275" s="6" t="s">
        <v>91</v>
      </c>
      <c r="N2275" s="7" t="s">
        <v>92</v>
      </c>
      <c r="O2275" s="7" t="s">
        <v>93</v>
      </c>
      <c r="P2275" s="3" t="s">
        <v>673</v>
      </c>
      <c r="Q2275" s="8" t="s">
        <v>117</v>
      </c>
      <c r="R2275" s="7" t="s">
        <v>118</v>
      </c>
      <c r="S2275" s="9">
        <v>4</v>
      </c>
      <c r="T2275" s="9">
        <v>795</v>
      </c>
      <c r="U2275" s="9">
        <f t="shared" si="1695"/>
        <v>3180</v>
      </c>
      <c r="V2275" s="9">
        <f t="shared" si="1696"/>
        <v>3561.6000000000004</v>
      </c>
      <c r="W2275" s="7"/>
      <c r="X2275" s="2">
        <v>2016</v>
      </c>
      <c r="Y2275" s="2"/>
    </row>
    <row r="2276" spans="1:25" s="11" customFormat="1" ht="89.25" customHeight="1" outlineLevel="1" x14ac:dyDescent="0.25">
      <c r="A2276" s="1"/>
      <c r="B2276" s="2" t="s">
        <v>6722</v>
      </c>
      <c r="C2276" s="3" t="s">
        <v>83</v>
      </c>
      <c r="D2276" s="19" t="s">
        <v>4317</v>
      </c>
      <c r="E2276" s="19" t="s">
        <v>4157</v>
      </c>
      <c r="F2276" s="19" t="s">
        <v>4318</v>
      </c>
      <c r="G2276" s="19" t="s">
        <v>4319</v>
      </c>
      <c r="H2276" s="2" t="s">
        <v>694</v>
      </c>
      <c r="I2276" s="4">
        <v>0</v>
      </c>
      <c r="J2276" s="5">
        <v>710000000</v>
      </c>
      <c r="K2276" s="5" t="s">
        <v>89</v>
      </c>
      <c r="L2276" s="2" t="s">
        <v>754</v>
      </c>
      <c r="M2276" s="6" t="s">
        <v>91</v>
      </c>
      <c r="N2276" s="7" t="s">
        <v>92</v>
      </c>
      <c r="O2276" s="7" t="s">
        <v>93</v>
      </c>
      <c r="P2276" s="3" t="s">
        <v>673</v>
      </c>
      <c r="Q2276" s="8" t="s">
        <v>117</v>
      </c>
      <c r="R2276" s="7" t="s">
        <v>118</v>
      </c>
      <c r="S2276" s="9">
        <v>12</v>
      </c>
      <c r="T2276" s="9">
        <v>1161</v>
      </c>
      <c r="U2276" s="9">
        <f t="shared" si="1695"/>
        <v>13932</v>
      </c>
      <c r="V2276" s="9">
        <f t="shared" si="1696"/>
        <v>15603.840000000002</v>
      </c>
      <c r="W2276" s="7"/>
      <c r="X2276" s="2">
        <v>2016</v>
      </c>
      <c r="Y2276" s="2"/>
    </row>
    <row r="2277" spans="1:25" s="11" customFormat="1" ht="89.25" customHeight="1" outlineLevel="1" x14ac:dyDescent="0.25">
      <c r="A2277" s="1"/>
      <c r="B2277" s="2" t="s">
        <v>6723</v>
      </c>
      <c r="C2277" s="3" t="s">
        <v>83</v>
      </c>
      <c r="D2277" s="19" t="s">
        <v>4320</v>
      </c>
      <c r="E2277" s="19" t="s">
        <v>4157</v>
      </c>
      <c r="F2277" s="19" t="s">
        <v>4321</v>
      </c>
      <c r="G2277" s="19" t="s">
        <v>4322</v>
      </c>
      <c r="H2277" s="2" t="s">
        <v>694</v>
      </c>
      <c r="I2277" s="4">
        <v>0</v>
      </c>
      <c r="J2277" s="5">
        <v>710000000</v>
      </c>
      <c r="K2277" s="5" t="s">
        <v>89</v>
      </c>
      <c r="L2277" s="2" t="s">
        <v>754</v>
      </c>
      <c r="M2277" s="6" t="s">
        <v>91</v>
      </c>
      <c r="N2277" s="7" t="s">
        <v>92</v>
      </c>
      <c r="O2277" s="7" t="s">
        <v>93</v>
      </c>
      <c r="P2277" s="3" t="s">
        <v>673</v>
      </c>
      <c r="Q2277" s="8" t="s">
        <v>117</v>
      </c>
      <c r="R2277" s="7" t="s">
        <v>118</v>
      </c>
      <c r="S2277" s="9">
        <v>3</v>
      </c>
      <c r="T2277" s="9">
        <v>2446</v>
      </c>
      <c r="U2277" s="9">
        <f t="shared" si="1695"/>
        <v>7338</v>
      </c>
      <c r="V2277" s="9">
        <f t="shared" si="1696"/>
        <v>8218.5600000000013</v>
      </c>
      <c r="W2277" s="7"/>
      <c r="X2277" s="2">
        <v>2016</v>
      </c>
      <c r="Y2277" s="2"/>
    </row>
    <row r="2278" spans="1:25" s="11" customFormat="1" ht="89.25" customHeight="1" outlineLevel="1" x14ac:dyDescent="0.25">
      <c r="A2278" s="1"/>
      <c r="B2278" s="2" t="s">
        <v>6724</v>
      </c>
      <c r="C2278" s="3" t="s">
        <v>83</v>
      </c>
      <c r="D2278" s="19" t="s">
        <v>4323</v>
      </c>
      <c r="E2278" s="19" t="s">
        <v>4157</v>
      </c>
      <c r="F2278" s="19" t="s">
        <v>4324</v>
      </c>
      <c r="G2278" s="19" t="s">
        <v>4325</v>
      </c>
      <c r="H2278" s="2" t="s">
        <v>694</v>
      </c>
      <c r="I2278" s="4">
        <v>0</v>
      </c>
      <c r="J2278" s="5">
        <v>710000000</v>
      </c>
      <c r="K2278" s="5" t="s">
        <v>89</v>
      </c>
      <c r="L2278" s="2" t="s">
        <v>754</v>
      </c>
      <c r="M2278" s="6" t="s">
        <v>91</v>
      </c>
      <c r="N2278" s="7" t="s">
        <v>92</v>
      </c>
      <c r="O2278" s="7" t="s">
        <v>93</v>
      </c>
      <c r="P2278" s="3" t="s">
        <v>673</v>
      </c>
      <c r="Q2278" s="8" t="s">
        <v>117</v>
      </c>
      <c r="R2278" s="7" t="s">
        <v>118</v>
      </c>
      <c r="S2278" s="9">
        <v>6</v>
      </c>
      <c r="T2278" s="9">
        <v>3929</v>
      </c>
      <c r="U2278" s="9">
        <f t="shared" si="1695"/>
        <v>23574</v>
      </c>
      <c r="V2278" s="9">
        <f t="shared" si="1696"/>
        <v>26402.880000000001</v>
      </c>
      <c r="W2278" s="7"/>
      <c r="X2278" s="2">
        <v>2016</v>
      </c>
      <c r="Y2278" s="2"/>
    </row>
    <row r="2279" spans="1:25" s="11" customFormat="1" ht="89.25" customHeight="1" outlineLevel="1" x14ac:dyDescent="0.25">
      <c r="A2279" s="1"/>
      <c r="B2279" s="2" t="s">
        <v>6725</v>
      </c>
      <c r="C2279" s="3" t="s">
        <v>83</v>
      </c>
      <c r="D2279" s="19" t="s">
        <v>4326</v>
      </c>
      <c r="E2279" s="19" t="s">
        <v>4157</v>
      </c>
      <c r="F2279" s="19" t="s">
        <v>4327</v>
      </c>
      <c r="G2279" s="19" t="s">
        <v>4328</v>
      </c>
      <c r="H2279" s="2" t="s">
        <v>694</v>
      </c>
      <c r="I2279" s="4">
        <v>0</v>
      </c>
      <c r="J2279" s="5">
        <v>710000000</v>
      </c>
      <c r="K2279" s="5" t="s">
        <v>89</v>
      </c>
      <c r="L2279" s="2" t="s">
        <v>754</v>
      </c>
      <c r="M2279" s="6" t="s">
        <v>91</v>
      </c>
      <c r="N2279" s="7" t="s">
        <v>92</v>
      </c>
      <c r="O2279" s="7" t="s">
        <v>93</v>
      </c>
      <c r="P2279" s="3" t="s">
        <v>673</v>
      </c>
      <c r="Q2279" s="8" t="s">
        <v>117</v>
      </c>
      <c r="R2279" s="7" t="s">
        <v>118</v>
      </c>
      <c r="S2279" s="9">
        <v>9</v>
      </c>
      <c r="T2279" s="9">
        <v>4464</v>
      </c>
      <c r="U2279" s="9">
        <f t="shared" si="1695"/>
        <v>40176</v>
      </c>
      <c r="V2279" s="9">
        <f t="shared" si="1696"/>
        <v>44997.120000000003</v>
      </c>
      <c r="W2279" s="7"/>
      <c r="X2279" s="2">
        <v>2016</v>
      </c>
      <c r="Y2279" s="2"/>
    </row>
    <row r="2280" spans="1:25" s="11" customFormat="1" ht="89.25" customHeight="1" outlineLevel="1" x14ac:dyDescent="0.25">
      <c r="A2280" s="1"/>
      <c r="B2280" s="2" t="s">
        <v>6726</v>
      </c>
      <c r="C2280" s="3" t="s">
        <v>83</v>
      </c>
      <c r="D2280" s="19" t="s">
        <v>4329</v>
      </c>
      <c r="E2280" s="19" t="s">
        <v>4157</v>
      </c>
      <c r="F2280" s="19" t="s">
        <v>4330</v>
      </c>
      <c r="G2280" s="19" t="s">
        <v>4331</v>
      </c>
      <c r="H2280" s="2" t="s">
        <v>694</v>
      </c>
      <c r="I2280" s="4">
        <v>0</v>
      </c>
      <c r="J2280" s="5">
        <v>710000000</v>
      </c>
      <c r="K2280" s="5" t="s">
        <v>89</v>
      </c>
      <c r="L2280" s="2" t="s">
        <v>754</v>
      </c>
      <c r="M2280" s="6" t="s">
        <v>91</v>
      </c>
      <c r="N2280" s="7" t="s">
        <v>92</v>
      </c>
      <c r="O2280" s="7" t="s">
        <v>93</v>
      </c>
      <c r="P2280" s="3" t="s">
        <v>673</v>
      </c>
      <c r="Q2280" s="8" t="s">
        <v>117</v>
      </c>
      <c r="R2280" s="7" t="s">
        <v>118</v>
      </c>
      <c r="S2280" s="9">
        <v>1</v>
      </c>
      <c r="T2280" s="9">
        <v>6295</v>
      </c>
      <c r="U2280" s="9">
        <f t="shared" si="1695"/>
        <v>6295</v>
      </c>
      <c r="V2280" s="9">
        <f t="shared" si="1696"/>
        <v>7050.4000000000005</v>
      </c>
      <c r="W2280" s="7"/>
      <c r="X2280" s="2">
        <v>2016</v>
      </c>
      <c r="Y2280" s="2"/>
    </row>
    <row r="2281" spans="1:25" s="11" customFormat="1" ht="89.25" customHeight="1" outlineLevel="1" x14ac:dyDescent="0.25">
      <c r="A2281" s="1"/>
      <c r="B2281" s="2" t="s">
        <v>6727</v>
      </c>
      <c r="C2281" s="3" t="s">
        <v>83</v>
      </c>
      <c r="D2281" s="19" t="s">
        <v>4332</v>
      </c>
      <c r="E2281" s="19" t="s">
        <v>4157</v>
      </c>
      <c r="F2281" s="19" t="s">
        <v>4333</v>
      </c>
      <c r="G2281" s="19" t="s">
        <v>4334</v>
      </c>
      <c r="H2281" s="2" t="s">
        <v>694</v>
      </c>
      <c r="I2281" s="4">
        <v>0</v>
      </c>
      <c r="J2281" s="5">
        <v>710000000</v>
      </c>
      <c r="K2281" s="5" t="s">
        <v>89</v>
      </c>
      <c r="L2281" s="2" t="s">
        <v>754</v>
      </c>
      <c r="M2281" s="6" t="s">
        <v>91</v>
      </c>
      <c r="N2281" s="7" t="s">
        <v>92</v>
      </c>
      <c r="O2281" s="7" t="s">
        <v>93</v>
      </c>
      <c r="P2281" s="3" t="s">
        <v>673</v>
      </c>
      <c r="Q2281" s="8" t="s">
        <v>117</v>
      </c>
      <c r="R2281" s="7" t="s">
        <v>118</v>
      </c>
      <c r="S2281" s="9">
        <v>8</v>
      </c>
      <c r="T2281" s="9">
        <v>460</v>
      </c>
      <c r="U2281" s="9">
        <f t="shared" si="1695"/>
        <v>3680</v>
      </c>
      <c r="V2281" s="9">
        <f t="shared" si="1696"/>
        <v>4121.6000000000004</v>
      </c>
      <c r="W2281" s="7"/>
      <c r="X2281" s="2">
        <v>2016</v>
      </c>
      <c r="Y2281" s="2"/>
    </row>
    <row r="2282" spans="1:25" s="11" customFormat="1" ht="89.25" customHeight="1" outlineLevel="1" x14ac:dyDescent="0.25">
      <c r="A2282" s="1"/>
      <c r="B2282" s="2" t="s">
        <v>6728</v>
      </c>
      <c r="C2282" s="3" t="s">
        <v>83</v>
      </c>
      <c r="D2282" s="19" t="s">
        <v>4332</v>
      </c>
      <c r="E2282" s="19" t="s">
        <v>4157</v>
      </c>
      <c r="F2282" s="19" t="s">
        <v>4333</v>
      </c>
      <c r="G2282" s="19" t="s">
        <v>4335</v>
      </c>
      <c r="H2282" s="2" t="s">
        <v>694</v>
      </c>
      <c r="I2282" s="4">
        <v>0</v>
      </c>
      <c r="J2282" s="5">
        <v>710000000</v>
      </c>
      <c r="K2282" s="5" t="s">
        <v>89</v>
      </c>
      <c r="L2282" s="2" t="s">
        <v>754</v>
      </c>
      <c r="M2282" s="6" t="s">
        <v>91</v>
      </c>
      <c r="N2282" s="7" t="s">
        <v>92</v>
      </c>
      <c r="O2282" s="7" t="s">
        <v>93</v>
      </c>
      <c r="P2282" s="3" t="s">
        <v>673</v>
      </c>
      <c r="Q2282" s="8" t="s">
        <v>117</v>
      </c>
      <c r="R2282" s="7" t="s">
        <v>118</v>
      </c>
      <c r="S2282" s="9">
        <v>5</v>
      </c>
      <c r="T2282" s="9">
        <v>754</v>
      </c>
      <c r="U2282" s="9">
        <f t="shared" si="1695"/>
        <v>3770</v>
      </c>
      <c r="V2282" s="9">
        <f t="shared" si="1696"/>
        <v>4222.4000000000005</v>
      </c>
      <c r="W2282" s="7"/>
      <c r="X2282" s="2">
        <v>2016</v>
      </c>
      <c r="Y2282" s="2"/>
    </row>
    <row r="2283" spans="1:25" s="11" customFormat="1" ht="89.25" customHeight="1" outlineLevel="1" x14ac:dyDescent="0.25">
      <c r="A2283" s="1"/>
      <c r="B2283" s="2" t="s">
        <v>6729</v>
      </c>
      <c r="C2283" s="3" t="s">
        <v>83</v>
      </c>
      <c r="D2283" s="19" t="s">
        <v>4336</v>
      </c>
      <c r="E2283" s="19" t="s">
        <v>4157</v>
      </c>
      <c r="F2283" s="19" t="s">
        <v>4337</v>
      </c>
      <c r="G2283" s="19" t="s">
        <v>4338</v>
      </c>
      <c r="H2283" s="2" t="s">
        <v>694</v>
      </c>
      <c r="I2283" s="4">
        <v>0</v>
      </c>
      <c r="J2283" s="5">
        <v>710000000</v>
      </c>
      <c r="K2283" s="5" t="s">
        <v>89</v>
      </c>
      <c r="L2283" s="2" t="s">
        <v>754</v>
      </c>
      <c r="M2283" s="6" t="s">
        <v>91</v>
      </c>
      <c r="N2283" s="7" t="s">
        <v>92</v>
      </c>
      <c r="O2283" s="7" t="s">
        <v>93</v>
      </c>
      <c r="P2283" s="3" t="s">
        <v>673</v>
      </c>
      <c r="Q2283" s="8" t="s">
        <v>117</v>
      </c>
      <c r="R2283" s="7" t="s">
        <v>118</v>
      </c>
      <c r="S2283" s="9">
        <v>5</v>
      </c>
      <c r="T2283" s="9">
        <v>982</v>
      </c>
      <c r="U2283" s="9">
        <f t="shared" si="1695"/>
        <v>4910</v>
      </c>
      <c r="V2283" s="9">
        <f t="shared" si="1696"/>
        <v>5499.2000000000007</v>
      </c>
      <c r="W2283" s="7"/>
      <c r="X2283" s="2">
        <v>2016</v>
      </c>
      <c r="Y2283" s="2"/>
    </row>
    <row r="2284" spans="1:25" s="11" customFormat="1" ht="89.25" customHeight="1" outlineLevel="1" x14ac:dyDescent="0.25">
      <c r="A2284" s="1"/>
      <c r="B2284" s="2" t="s">
        <v>6730</v>
      </c>
      <c r="C2284" s="3" t="s">
        <v>83</v>
      </c>
      <c r="D2284" s="19" t="s">
        <v>4339</v>
      </c>
      <c r="E2284" s="19" t="s">
        <v>4157</v>
      </c>
      <c r="F2284" s="19" t="s">
        <v>4340</v>
      </c>
      <c r="G2284" s="19" t="s">
        <v>4341</v>
      </c>
      <c r="H2284" s="2" t="s">
        <v>694</v>
      </c>
      <c r="I2284" s="4">
        <v>0</v>
      </c>
      <c r="J2284" s="5">
        <v>710000000</v>
      </c>
      <c r="K2284" s="5" t="s">
        <v>89</v>
      </c>
      <c r="L2284" s="2" t="s">
        <v>754</v>
      </c>
      <c r="M2284" s="6" t="s">
        <v>91</v>
      </c>
      <c r="N2284" s="7" t="s">
        <v>92</v>
      </c>
      <c r="O2284" s="7" t="s">
        <v>93</v>
      </c>
      <c r="P2284" s="3" t="s">
        <v>673</v>
      </c>
      <c r="Q2284" s="8" t="s">
        <v>117</v>
      </c>
      <c r="R2284" s="7" t="s">
        <v>118</v>
      </c>
      <c r="S2284" s="9">
        <v>6</v>
      </c>
      <c r="T2284" s="9">
        <v>1777</v>
      </c>
      <c r="U2284" s="9">
        <f t="shared" si="1695"/>
        <v>10662</v>
      </c>
      <c r="V2284" s="9">
        <f t="shared" si="1696"/>
        <v>11941.44</v>
      </c>
      <c r="W2284" s="7"/>
      <c r="X2284" s="2">
        <v>2016</v>
      </c>
      <c r="Y2284" s="2"/>
    </row>
    <row r="2285" spans="1:25" s="11" customFormat="1" ht="89.25" customHeight="1" outlineLevel="1" x14ac:dyDescent="0.25">
      <c r="A2285" s="1"/>
      <c r="B2285" s="2" t="s">
        <v>6731</v>
      </c>
      <c r="C2285" s="3" t="s">
        <v>83</v>
      </c>
      <c r="D2285" s="19" t="s">
        <v>4342</v>
      </c>
      <c r="E2285" s="19" t="s">
        <v>4157</v>
      </c>
      <c r="F2285" s="19" t="s">
        <v>4343</v>
      </c>
      <c r="G2285" s="19" t="s">
        <v>4344</v>
      </c>
      <c r="H2285" s="2" t="s">
        <v>694</v>
      </c>
      <c r="I2285" s="4">
        <v>0</v>
      </c>
      <c r="J2285" s="5">
        <v>710000000</v>
      </c>
      <c r="K2285" s="5" t="s">
        <v>89</v>
      </c>
      <c r="L2285" s="2" t="s">
        <v>754</v>
      </c>
      <c r="M2285" s="6" t="s">
        <v>91</v>
      </c>
      <c r="N2285" s="7" t="s">
        <v>92</v>
      </c>
      <c r="O2285" s="7" t="s">
        <v>93</v>
      </c>
      <c r="P2285" s="3" t="s">
        <v>673</v>
      </c>
      <c r="Q2285" s="8" t="s">
        <v>117</v>
      </c>
      <c r="R2285" s="7" t="s">
        <v>118</v>
      </c>
      <c r="S2285" s="9">
        <v>3</v>
      </c>
      <c r="T2285" s="9">
        <v>2866</v>
      </c>
      <c r="U2285" s="9">
        <f t="shared" si="1695"/>
        <v>8598</v>
      </c>
      <c r="V2285" s="9">
        <f t="shared" si="1696"/>
        <v>9629.76</v>
      </c>
      <c r="W2285" s="7"/>
      <c r="X2285" s="2">
        <v>2016</v>
      </c>
      <c r="Y2285" s="2"/>
    </row>
    <row r="2286" spans="1:25" s="11" customFormat="1" ht="89.25" customHeight="1" outlineLevel="1" x14ac:dyDescent="0.25">
      <c r="A2286" s="1"/>
      <c r="B2286" s="2" t="s">
        <v>6732</v>
      </c>
      <c r="C2286" s="3" t="s">
        <v>83</v>
      </c>
      <c r="D2286" s="19" t="s">
        <v>4239</v>
      </c>
      <c r="E2286" s="19" t="s">
        <v>848</v>
      </c>
      <c r="F2286" s="19" t="s">
        <v>4240</v>
      </c>
      <c r="G2286" s="19" t="s">
        <v>4345</v>
      </c>
      <c r="H2286" s="2" t="s">
        <v>694</v>
      </c>
      <c r="I2286" s="4">
        <v>0</v>
      </c>
      <c r="J2286" s="5">
        <v>710000000</v>
      </c>
      <c r="K2286" s="5" t="s">
        <v>89</v>
      </c>
      <c r="L2286" s="2" t="s">
        <v>754</v>
      </c>
      <c r="M2286" s="6" t="s">
        <v>91</v>
      </c>
      <c r="N2286" s="7" t="s">
        <v>92</v>
      </c>
      <c r="O2286" s="7" t="s">
        <v>93</v>
      </c>
      <c r="P2286" s="3" t="s">
        <v>673</v>
      </c>
      <c r="Q2286" s="8" t="s">
        <v>117</v>
      </c>
      <c r="R2286" s="7" t="s">
        <v>118</v>
      </c>
      <c r="S2286" s="9">
        <v>5</v>
      </c>
      <c r="T2286" s="9">
        <v>27</v>
      </c>
      <c r="U2286" s="9">
        <f t="shared" si="1695"/>
        <v>135</v>
      </c>
      <c r="V2286" s="9">
        <f t="shared" si="1696"/>
        <v>151.20000000000002</v>
      </c>
      <c r="W2286" s="7"/>
      <c r="X2286" s="2">
        <v>2016</v>
      </c>
      <c r="Y2286" s="2"/>
    </row>
    <row r="2287" spans="1:25" s="11" customFormat="1" ht="89.25" customHeight="1" outlineLevel="1" x14ac:dyDescent="0.25">
      <c r="A2287" s="1"/>
      <c r="B2287" s="2" t="s">
        <v>6733</v>
      </c>
      <c r="C2287" s="3" t="s">
        <v>83</v>
      </c>
      <c r="D2287" s="19" t="s">
        <v>4239</v>
      </c>
      <c r="E2287" s="19" t="s">
        <v>848</v>
      </c>
      <c r="F2287" s="19" t="s">
        <v>4240</v>
      </c>
      <c r="G2287" s="19" t="s">
        <v>4346</v>
      </c>
      <c r="H2287" s="2" t="s">
        <v>694</v>
      </c>
      <c r="I2287" s="4">
        <v>0</v>
      </c>
      <c r="J2287" s="5">
        <v>710000000</v>
      </c>
      <c r="K2287" s="5" t="s">
        <v>89</v>
      </c>
      <c r="L2287" s="2" t="s">
        <v>754</v>
      </c>
      <c r="M2287" s="6" t="s">
        <v>91</v>
      </c>
      <c r="N2287" s="7" t="s">
        <v>92</v>
      </c>
      <c r="O2287" s="7" t="s">
        <v>93</v>
      </c>
      <c r="P2287" s="3" t="s">
        <v>673</v>
      </c>
      <c r="Q2287" s="8" t="s">
        <v>117</v>
      </c>
      <c r="R2287" s="7" t="s">
        <v>118</v>
      </c>
      <c r="S2287" s="9">
        <v>5</v>
      </c>
      <c r="T2287" s="9">
        <v>27</v>
      </c>
      <c r="U2287" s="9">
        <f t="shared" si="1695"/>
        <v>135</v>
      </c>
      <c r="V2287" s="9">
        <f t="shared" si="1696"/>
        <v>151.20000000000002</v>
      </c>
      <c r="W2287" s="7"/>
      <c r="X2287" s="2">
        <v>2016</v>
      </c>
      <c r="Y2287" s="2"/>
    </row>
    <row r="2288" spans="1:25" s="11" customFormat="1" ht="89.25" customHeight="1" outlineLevel="1" x14ac:dyDescent="0.25">
      <c r="A2288" s="1"/>
      <c r="B2288" s="2" t="s">
        <v>6734</v>
      </c>
      <c r="C2288" s="3" t="s">
        <v>83</v>
      </c>
      <c r="D2288" s="19" t="s">
        <v>4239</v>
      </c>
      <c r="E2288" s="19" t="s">
        <v>848</v>
      </c>
      <c r="F2288" s="19" t="s">
        <v>4240</v>
      </c>
      <c r="G2288" s="19" t="s">
        <v>4347</v>
      </c>
      <c r="H2288" s="2" t="s">
        <v>694</v>
      </c>
      <c r="I2288" s="4">
        <v>0</v>
      </c>
      <c r="J2288" s="5">
        <v>710000000</v>
      </c>
      <c r="K2288" s="5" t="s">
        <v>89</v>
      </c>
      <c r="L2288" s="2" t="s">
        <v>754</v>
      </c>
      <c r="M2288" s="6" t="s">
        <v>91</v>
      </c>
      <c r="N2288" s="7" t="s">
        <v>92</v>
      </c>
      <c r="O2288" s="7" t="s">
        <v>93</v>
      </c>
      <c r="P2288" s="3" t="s">
        <v>673</v>
      </c>
      <c r="Q2288" s="8" t="s">
        <v>117</v>
      </c>
      <c r="R2288" s="7" t="s">
        <v>118</v>
      </c>
      <c r="S2288" s="9">
        <v>5</v>
      </c>
      <c r="T2288" s="9">
        <v>36</v>
      </c>
      <c r="U2288" s="9">
        <f t="shared" si="1695"/>
        <v>180</v>
      </c>
      <c r="V2288" s="9">
        <f t="shared" si="1696"/>
        <v>201.60000000000002</v>
      </c>
      <c r="W2288" s="7"/>
      <c r="X2288" s="2">
        <v>2016</v>
      </c>
      <c r="Y2288" s="2"/>
    </row>
    <row r="2289" spans="1:25" s="11" customFormat="1" ht="89.25" customHeight="1" outlineLevel="1" x14ac:dyDescent="0.25">
      <c r="A2289" s="1"/>
      <c r="B2289" s="2" t="s">
        <v>6735</v>
      </c>
      <c r="C2289" s="3" t="s">
        <v>83</v>
      </c>
      <c r="D2289" s="19" t="s">
        <v>4239</v>
      </c>
      <c r="E2289" s="19" t="s">
        <v>848</v>
      </c>
      <c r="F2289" s="19" t="s">
        <v>4240</v>
      </c>
      <c r="G2289" s="19" t="s">
        <v>4348</v>
      </c>
      <c r="H2289" s="2" t="s">
        <v>694</v>
      </c>
      <c r="I2289" s="4">
        <v>0</v>
      </c>
      <c r="J2289" s="5">
        <v>710000000</v>
      </c>
      <c r="K2289" s="5" t="s">
        <v>89</v>
      </c>
      <c r="L2289" s="2" t="s">
        <v>754</v>
      </c>
      <c r="M2289" s="6" t="s">
        <v>91</v>
      </c>
      <c r="N2289" s="7" t="s">
        <v>92</v>
      </c>
      <c r="O2289" s="7" t="s">
        <v>93</v>
      </c>
      <c r="P2289" s="3" t="s">
        <v>673</v>
      </c>
      <c r="Q2289" s="8" t="s">
        <v>117</v>
      </c>
      <c r="R2289" s="7" t="s">
        <v>118</v>
      </c>
      <c r="S2289" s="9">
        <v>5</v>
      </c>
      <c r="T2289" s="9">
        <v>40</v>
      </c>
      <c r="U2289" s="9">
        <f t="shared" si="1695"/>
        <v>200</v>
      </c>
      <c r="V2289" s="9">
        <f t="shared" si="1696"/>
        <v>224.00000000000003</v>
      </c>
      <c r="W2289" s="7"/>
      <c r="X2289" s="2">
        <v>2016</v>
      </c>
      <c r="Y2289" s="2"/>
    </row>
    <row r="2290" spans="1:25" s="11" customFormat="1" ht="89.25" customHeight="1" outlineLevel="1" x14ac:dyDescent="0.25">
      <c r="A2290" s="1"/>
      <c r="B2290" s="2" t="s">
        <v>6736</v>
      </c>
      <c r="C2290" s="3" t="s">
        <v>83</v>
      </c>
      <c r="D2290" s="19" t="s">
        <v>4239</v>
      </c>
      <c r="E2290" s="19" t="s">
        <v>848</v>
      </c>
      <c r="F2290" s="19" t="s">
        <v>4240</v>
      </c>
      <c r="G2290" s="19" t="s">
        <v>4349</v>
      </c>
      <c r="H2290" s="2" t="s">
        <v>694</v>
      </c>
      <c r="I2290" s="4">
        <v>0</v>
      </c>
      <c r="J2290" s="5">
        <v>710000000</v>
      </c>
      <c r="K2290" s="5" t="s">
        <v>89</v>
      </c>
      <c r="L2290" s="2" t="s">
        <v>754</v>
      </c>
      <c r="M2290" s="6" t="s">
        <v>91</v>
      </c>
      <c r="N2290" s="7" t="s">
        <v>92</v>
      </c>
      <c r="O2290" s="7" t="s">
        <v>93</v>
      </c>
      <c r="P2290" s="3" t="s">
        <v>673</v>
      </c>
      <c r="Q2290" s="8" t="s">
        <v>117</v>
      </c>
      <c r="R2290" s="7" t="s">
        <v>118</v>
      </c>
      <c r="S2290" s="9">
        <v>10</v>
      </c>
      <c r="T2290" s="9">
        <v>45</v>
      </c>
      <c r="U2290" s="9">
        <f t="shared" si="1695"/>
        <v>450</v>
      </c>
      <c r="V2290" s="9">
        <f t="shared" si="1696"/>
        <v>504.00000000000006</v>
      </c>
      <c r="W2290" s="7"/>
      <c r="X2290" s="2">
        <v>2016</v>
      </c>
      <c r="Y2290" s="2"/>
    </row>
    <row r="2291" spans="1:25" s="11" customFormat="1" ht="89.25" customHeight="1" outlineLevel="1" x14ac:dyDescent="0.25">
      <c r="A2291" s="1"/>
      <c r="B2291" s="2" t="s">
        <v>6737</v>
      </c>
      <c r="C2291" s="3" t="s">
        <v>83</v>
      </c>
      <c r="D2291" s="19" t="s">
        <v>4239</v>
      </c>
      <c r="E2291" s="19" t="s">
        <v>848</v>
      </c>
      <c r="F2291" s="19" t="s">
        <v>4240</v>
      </c>
      <c r="G2291" s="19" t="s">
        <v>4350</v>
      </c>
      <c r="H2291" s="2" t="s">
        <v>694</v>
      </c>
      <c r="I2291" s="4">
        <v>0</v>
      </c>
      <c r="J2291" s="5">
        <v>710000000</v>
      </c>
      <c r="K2291" s="5" t="s">
        <v>89</v>
      </c>
      <c r="L2291" s="2" t="s">
        <v>754</v>
      </c>
      <c r="M2291" s="6" t="s">
        <v>91</v>
      </c>
      <c r="N2291" s="7" t="s">
        <v>92</v>
      </c>
      <c r="O2291" s="7" t="s">
        <v>93</v>
      </c>
      <c r="P2291" s="3" t="s">
        <v>673</v>
      </c>
      <c r="Q2291" s="8" t="s">
        <v>117</v>
      </c>
      <c r="R2291" s="7" t="s">
        <v>118</v>
      </c>
      <c r="S2291" s="9">
        <v>40</v>
      </c>
      <c r="T2291" s="9">
        <v>402</v>
      </c>
      <c r="U2291" s="9">
        <f t="shared" si="1695"/>
        <v>16080</v>
      </c>
      <c r="V2291" s="9">
        <f t="shared" si="1696"/>
        <v>18009.600000000002</v>
      </c>
      <c r="W2291" s="7"/>
      <c r="X2291" s="2">
        <v>2016</v>
      </c>
      <c r="Y2291" s="2"/>
    </row>
    <row r="2292" spans="1:25" s="11" customFormat="1" ht="89.25" customHeight="1" outlineLevel="1" x14ac:dyDescent="0.25">
      <c r="A2292" s="1"/>
      <c r="B2292" s="2" t="s">
        <v>6738</v>
      </c>
      <c r="C2292" s="3" t="s">
        <v>83</v>
      </c>
      <c r="D2292" s="19" t="s">
        <v>4351</v>
      </c>
      <c r="E2292" s="19" t="s">
        <v>4236</v>
      </c>
      <c r="F2292" s="19" t="s">
        <v>4352</v>
      </c>
      <c r="G2292" s="19" t="s">
        <v>4353</v>
      </c>
      <c r="H2292" s="2" t="s">
        <v>694</v>
      </c>
      <c r="I2292" s="4">
        <v>0</v>
      </c>
      <c r="J2292" s="5">
        <v>710000000</v>
      </c>
      <c r="K2292" s="5" t="s">
        <v>89</v>
      </c>
      <c r="L2292" s="2" t="s">
        <v>754</v>
      </c>
      <c r="M2292" s="6" t="s">
        <v>91</v>
      </c>
      <c r="N2292" s="7" t="s">
        <v>92</v>
      </c>
      <c r="O2292" s="7" t="s">
        <v>93</v>
      </c>
      <c r="P2292" s="3" t="s">
        <v>673</v>
      </c>
      <c r="Q2292" s="8" t="s">
        <v>117</v>
      </c>
      <c r="R2292" s="7" t="s">
        <v>118</v>
      </c>
      <c r="S2292" s="9">
        <v>2</v>
      </c>
      <c r="T2292" s="9">
        <v>232</v>
      </c>
      <c r="U2292" s="9">
        <f t="shared" si="1695"/>
        <v>464</v>
      </c>
      <c r="V2292" s="9">
        <f t="shared" si="1696"/>
        <v>519.68000000000006</v>
      </c>
      <c r="W2292" s="7"/>
      <c r="X2292" s="2">
        <v>2016</v>
      </c>
      <c r="Y2292" s="2"/>
    </row>
    <row r="2293" spans="1:25" s="11" customFormat="1" ht="89.25" customHeight="1" outlineLevel="1" x14ac:dyDescent="0.25">
      <c r="A2293" s="1"/>
      <c r="B2293" s="2" t="s">
        <v>6739</v>
      </c>
      <c r="C2293" s="3" t="s">
        <v>83</v>
      </c>
      <c r="D2293" s="19" t="s">
        <v>4354</v>
      </c>
      <c r="E2293" s="19" t="s">
        <v>4236</v>
      </c>
      <c r="F2293" s="19" t="s">
        <v>4355</v>
      </c>
      <c r="G2293" s="19" t="s">
        <v>4356</v>
      </c>
      <c r="H2293" s="2" t="s">
        <v>694</v>
      </c>
      <c r="I2293" s="4">
        <v>0</v>
      </c>
      <c r="J2293" s="5">
        <v>710000000</v>
      </c>
      <c r="K2293" s="5" t="s">
        <v>89</v>
      </c>
      <c r="L2293" s="2" t="s">
        <v>754</v>
      </c>
      <c r="M2293" s="6" t="s">
        <v>91</v>
      </c>
      <c r="N2293" s="7" t="s">
        <v>92</v>
      </c>
      <c r="O2293" s="7" t="s">
        <v>93</v>
      </c>
      <c r="P2293" s="3" t="s">
        <v>673</v>
      </c>
      <c r="Q2293" s="8" t="s">
        <v>117</v>
      </c>
      <c r="R2293" s="7" t="s">
        <v>118</v>
      </c>
      <c r="S2293" s="9">
        <v>4</v>
      </c>
      <c r="T2293" s="9">
        <v>134</v>
      </c>
      <c r="U2293" s="9">
        <f t="shared" si="1695"/>
        <v>536</v>
      </c>
      <c r="V2293" s="9">
        <f t="shared" si="1696"/>
        <v>600.32000000000005</v>
      </c>
      <c r="W2293" s="7"/>
      <c r="X2293" s="2">
        <v>2016</v>
      </c>
      <c r="Y2293" s="2"/>
    </row>
    <row r="2294" spans="1:25" s="11" customFormat="1" ht="89.25" customHeight="1" outlineLevel="1" x14ac:dyDescent="0.25">
      <c r="A2294" s="1"/>
      <c r="B2294" s="2" t="s">
        <v>6740</v>
      </c>
      <c r="C2294" s="3" t="s">
        <v>83</v>
      </c>
      <c r="D2294" s="19" t="s">
        <v>4357</v>
      </c>
      <c r="E2294" s="19" t="s">
        <v>4236</v>
      </c>
      <c r="F2294" s="19" t="s">
        <v>4358</v>
      </c>
      <c r="G2294" s="19" t="s">
        <v>4359</v>
      </c>
      <c r="H2294" s="2" t="s">
        <v>694</v>
      </c>
      <c r="I2294" s="4">
        <v>0</v>
      </c>
      <c r="J2294" s="5">
        <v>710000000</v>
      </c>
      <c r="K2294" s="5" t="s">
        <v>89</v>
      </c>
      <c r="L2294" s="2" t="s">
        <v>754</v>
      </c>
      <c r="M2294" s="6" t="s">
        <v>91</v>
      </c>
      <c r="N2294" s="7" t="s">
        <v>92</v>
      </c>
      <c r="O2294" s="7" t="s">
        <v>93</v>
      </c>
      <c r="P2294" s="3" t="s">
        <v>673</v>
      </c>
      <c r="Q2294" s="8" t="s">
        <v>117</v>
      </c>
      <c r="R2294" s="7" t="s">
        <v>118</v>
      </c>
      <c r="S2294" s="9">
        <v>3</v>
      </c>
      <c r="T2294" s="9">
        <v>1295</v>
      </c>
      <c r="U2294" s="9">
        <f t="shared" si="1695"/>
        <v>3885</v>
      </c>
      <c r="V2294" s="9">
        <f t="shared" si="1696"/>
        <v>4351.2000000000007</v>
      </c>
      <c r="W2294" s="7"/>
      <c r="X2294" s="2">
        <v>2016</v>
      </c>
      <c r="Y2294" s="2"/>
    </row>
    <row r="2295" spans="1:25" s="11" customFormat="1" ht="89.25" customHeight="1" outlineLevel="1" x14ac:dyDescent="0.25">
      <c r="A2295" s="1"/>
      <c r="B2295" s="2" t="s">
        <v>6741</v>
      </c>
      <c r="C2295" s="3" t="s">
        <v>83</v>
      </c>
      <c r="D2295" s="19" t="s">
        <v>4360</v>
      </c>
      <c r="E2295" s="19" t="s">
        <v>4236</v>
      </c>
      <c r="F2295" s="19" t="s">
        <v>4361</v>
      </c>
      <c r="G2295" s="19" t="s">
        <v>4362</v>
      </c>
      <c r="H2295" s="2" t="s">
        <v>694</v>
      </c>
      <c r="I2295" s="4">
        <v>0</v>
      </c>
      <c r="J2295" s="5">
        <v>710000000</v>
      </c>
      <c r="K2295" s="5" t="s">
        <v>89</v>
      </c>
      <c r="L2295" s="2" t="s">
        <v>754</v>
      </c>
      <c r="M2295" s="6" t="s">
        <v>91</v>
      </c>
      <c r="N2295" s="7" t="s">
        <v>92</v>
      </c>
      <c r="O2295" s="7" t="s">
        <v>93</v>
      </c>
      <c r="P2295" s="3" t="s">
        <v>673</v>
      </c>
      <c r="Q2295" s="8" t="s">
        <v>117</v>
      </c>
      <c r="R2295" s="7" t="s">
        <v>118</v>
      </c>
      <c r="S2295" s="9">
        <v>2</v>
      </c>
      <c r="T2295" s="9">
        <v>6696</v>
      </c>
      <c r="U2295" s="9">
        <f t="shared" si="1695"/>
        <v>13392</v>
      </c>
      <c r="V2295" s="9">
        <f t="shared" si="1696"/>
        <v>14999.04</v>
      </c>
      <c r="W2295" s="7"/>
      <c r="X2295" s="2">
        <v>2016</v>
      </c>
      <c r="Y2295" s="2"/>
    </row>
    <row r="2296" spans="1:25" s="11" customFormat="1" ht="89.25" customHeight="1" outlineLevel="1" x14ac:dyDescent="0.25">
      <c r="A2296" s="1"/>
      <c r="B2296" s="2" t="s">
        <v>6742</v>
      </c>
      <c r="C2296" s="3" t="s">
        <v>83</v>
      </c>
      <c r="D2296" s="19" t="s">
        <v>4363</v>
      </c>
      <c r="E2296" s="19" t="s">
        <v>4195</v>
      </c>
      <c r="F2296" s="19" t="s">
        <v>4364</v>
      </c>
      <c r="G2296" s="19" t="s">
        <v>4365</v>
      </c>
      <c r="H2296" s="2" t="s">
        <v>694</v>
      </c>
      <c r="I2296" s="4">
        <v>0</v>
      </c>
      <c r="J2296" s="5">
        <v>710000000</v>
      </c>
      <c r="K2296" s="5" t="s">
        <v>89</v>
      </c>
      <c r="L2296" s="2" t="s">
        <v>754</v>
      </c>
      <c r="M2296" s="6" t="s">
        <v>91</v>
      </c>
      <c r="N2296" s="7" t="s">
        <v>92</v>
      </c>
      <c r="O2296" s="7" t="s">
        <v>93</v>
      </c>
      <c r="P2296" s="3" t="s">
        <v>673</v>
      </c>
      <c r="Q2296" s="8" t="s">
        <v>2439</v>
      </c>
      <c r="R2296" s="7" t="s">
        <v>2440</v>
      </c>
      <c r="S2296" s="9">
        <v>147</v>
      </c>
      <c r="T2296" s="9">
        <v>728</v>
      </c>
      <c r="U2296" s="9">
        <f t="shared" si="1695"/>
        <v>107016</v>
      </c>
      <c r="V2296" s="9">
        <f t="shared" si="1696"/>
        <v>119857.92000000001</v>
      </c>
      <c r="W2296" s="7"/>
      <c r="X2296" s="2">
        <v>2016</v>
      </c>
      <c r="Y2296" s="2"/>
    </row>
    <row r="2297" spans="1:25" s="11" customFormat="1" ht="89.25" customHeight="1" outlineLevel="1" x14ac:dyDescent="0.25">
      <c r="A2297" s="1"/>
      <c r="B2297" s="2" t="s">
        <v>6743</v>
      </c>
      <c r="C2297" s="3" t="s">
        <v>83</v>
      </c>
      <c r="D2297" s="19" t="s">
        <v>4366</v>
      </c>
      <c r="E2297" s="19" t="s">
        <v>4195</v>
      </c>
      <c r="F2297" s="19" t="s">
        <v>4367</v>
      </c>
      <c r="G2297" s="19" t="s">
        <v>4368</v>
      </c>
      <c r="H2297" s="2" t="s">
        <v>694</v>
      </c>
      <c r="I2297" s="4">
        <v>0</v>
      </c>
      <c r="J2297" s="5">
        <v>710000000</v>
      </c>
      <c r="K2297" s="5" t="s">
        <v>89</v>
      </c>
      <c r="L2297" s="2" t="s">
        <v>754</v>
      </c>
      <c r="M2297" s="6" t="s">
        <v>91</v>
      </c>
      <c r="N2297" s="7" t="s">
        <v>92</v>
      </c>
      <c r="O2297" s="7" t="s">
        <v>93</v>
      </c>
      <c r="P2297" s="3" t="s">
        <v>673</v>
      </c>
      <c r="Q2297" s="8" t="s">
        <v>2439</v>
      </c>
      <c r="R2297" s="7" t="s">
        <v>2440</v>
      </c>
      <c r="S2297" s="9">
        <v>30</v>
      </c>
      <c r="T2297" s="9">
        <v>580</v>
      </c>
      <c r="U2297" s="9">
        <f t="shared" si="1695"/>
        <v>17400</v>
      </c>
      <c r="V2297" s="9">
        <f t="shared" si="1696"/>
        <v>19488.000000000004</v>
      </c>
      <c r="W2297" s="7"/>
      <c r="X2297" s="2">
        <v>2016</v>
      </c>
      <c r="Y2297" s="2"/>
    </row>
    <row r="2298" spans="1:25" s="11" customFormat="1" ht="89.25" customHeight="1" outlineLevel="1" x14ac:dyDescent="0.25">
      <c r="A2298" s="1"/>
      <c r="B2298" s="2" t="s">
        <v>6744</v>
      </c>
      <c r="C2298" s="3" t="s">
        <v>83</v>
      </c>
      <c r="D2298" s="19" t="s">
        <v>4369</v>
      </c>
      <c r="E2298" s="19" t="s">
        <v>4370</v>
      </c>
      <c r="F2298" s="19" t="s">
        <v>4371</v>
      </c>
      <c r="G2298" s="19" t="s">
        <v>4372</v>
      </c>
      <c r="H2298" s="2" t="s">
        <v>694</v>
      </c>
      <c r="I2298" s="4">
        <v>0</v>
      </c>
      <c r="J2298" s="5">
        <v>710000000</v>
      </c>
      <c r="K2298" s="5" t="s">
        <v>89</v>
      </c>
      <c r="L2298" s="2" t="s">
        <v>754</v>
      </c>
      <c r="M2298" s="6" t="s">
        <v>91</v>
      </c>
      <c r="N2298" s="7" t="s">
        <v>92</v>
      </c>
      <c r="O2298" s="7" t="s">
        <v>93</v>
      </c>
      <c r="P2298" s="3" t="s">
        <v>673</v>
      </c>
      <c r="Q2298" s="8" t="s">
        <v>117</v>
      </c>
      <c r="R2298" s="7" t="s">
        <v>118</v>
      </c>
      <c r="S2298" s="9">
        <v>8</v>
      </c>
      <c r="T2298" s="9">
        <v>80</v>
      </c>
      <c r="U2298" s="9">
        <f t="shared" si="1695"/>
        <v>640</v>
      </c>
      <c r="V2298" s="9">
        <f t="shared" si="1696"/>
        <v>716.80000000000007</v>
      </c>
      <c r="W2298" s="7"/>
      <c r="X2298" s="2">
        <v>2016</v>
      </c>
      <c r="Y2298" s="2"/>
    </row>
    <row r="2299" spans="1:25" s="11" customFormat="1" ht="89.25" customHeight="1" outlineLevel="1" x14ac:dyDescent="0.25">
      <c r="A2299" s="1"/>
      <c r="B2299" s="2" t="s">
        <v>6745</v>
      </c>
      <c r="C2299" s="3" t="s">
        <v>83</v>
      </c>
      <c r="D2299" s="19" t="s">
        <v>4373</v>
      </c>
      <c r="E2299" s="19" t="s">
        <v>4370</v>
      </c>
      <c r="F2299" s="19" t="s">
        <v>4374</v>
      </c>
      <c r="G2299" s="19" t="s">
        <v>4375</v>
      </c>
      <c r="H2299" s="2" t="s">
        <v>694</v>
      </c>
      <c r="I2299" s="4">
        <v>0</v>
      </c>
      <c r="J2299" s="5">
        <v>710000000</v>
      </c>
      <c r="K2299" s="5" t="s">
        <v>89</v>
      </c>
      <c r="L2299" s="2" t="s">
        <v>754</v>
      </c>
      <c r="M2299" s="6" t="s">
        <v>91</v>
      </c>
      <c r="N2299" s="7" t="s">
        <v>92</v>
      </c>
      <c r="O2299" s="7" t="s">
        <v>93</v>
      </c>
      <c r="P2299" s="3" t="s">
        <v>673</v>
      </c>
      <c r="Q2299" s="8" t="s">
        <v>117</v>
      </c>
      <c r="R2299" s="7" t="s">
        <v>118</v>
      </c>
      <c r="S2299" s="9">
        <v>40</v>
      </c>
      <c r="T2299" s="9">
        <v>105</v>
      </c>
      <c r="U2299" s="9">
        <f t="shared" si="1695"/>
        <v>4200</v>
      </c>
      <c r="V2299" s="9">
        <f t="shared" si="1696"/>
        <v>4704</v>
      </c>
      <c r="W2299" s="7"/>
      <c r="X2299" s="2">
        <v>2016</v>
      </c>
      <c r="Y2299" s="2"/>
    </row>
    <row r="2300" spans="1:25" s="11" customFormat="1" ht="89.25" customHeight="1" outlineLevel="1" x14ac:dyDescent="0.25">
      <c r="A2300" s="1"/>
      <c r="B2300" s="2" t="s">
        <v>6746</v>
      </c>
      <c r="C2300" s="3" t="s">
        <v>83</v>
      </c>
      <c r="D2300" s="19" t="s">
        <v>4376</v>
      </c>
      <c r="E2300" s="19" t="s">
        <v>4370</v>
      </c>
      <c r="F2300" s="19" t="s">
        <v>4377</v>
      </c>
      <c r="G2300" s="19" t="s">
        <v>4378</v>
      </c>
      <c r="H2300" s="2" t="s">
        <v>694</v>
      </c>
      <c r="I2300" s="4">
        <v>0</v>
      </c>
      <c r="J2300" s="5">
        <v>710000000</v>
      </c>
      <c r="K2300" s="5" t="s">
        <v>89</v>
      </c>
      <c r="L2300" s="2" t="s">
        <v>754</v>
      </c>
      <c r="M2300" s="6" t="s">
        <v>91</v>
      </c>
      <c r="N2300" s="7" t="s">
        <v>92</v>
      </c>
      <c r="O2300" s="7" t="s">
        <v>93</v>
      </c>
      <c r="P2300" s="3" t="s">
        <v>673</v>
      </c>
      <c r="Q2300" s="8" t="s">
        <v>117</v>
      </c>
      <c r="R2300" s="7" t="s">
        <v>118</v>
      </c>
      <c r="S2300" s="9">
        <v>10</v>
      </c>
      <c r="T2300" s="9">
        <v>86</v>
      </c>
      <c r="U2300" s="9">
        <f t="shared" si="1695"/>
        <v>860</v>
      </c>
      <c r="V2300" s="9">
        <f t="shared" si="1696"/>
        <v>963.2</v>
      </c>
      <c r="W2300" s="7"/>
      <c r="X2300" s="2">
        <v>2016</v>
      </c>
      <c r="Y2300" s="2"/>
    </row>
    <row r="2301" spans="1:25" s="11" customFormat="1" ht="89.25" customHeight="1" outlineLevel="1" x14ac:dyDescent="0.25">
      <c r="A2301" s="1"/>
      <c r="B2301" s="2" t="s">
        <v>6747</v>
      </c>
      <c r="C2301" s="3" t="s">
        <v>83</v>
      </c>
      <c r="D2301" s="19" t="s">
        <v>4373</v>
      </c>
      <c r="E2301" s="19" t="s">
        <v>4370</v>
      </c>
      <c r="F2301" s="19" t="s">
        <v>4374</v>
      </c>
      <c r="G2301" s="19" t="s">
        <v>4379</v>
      </c>
      <c r="H2301" s="2" t="s">
        <v>694</v>
      </c>
      <c r="I2301" s="4">
        <v>0</v>
      </c>
      <c r="J2301" s="5">
        <v>710000000</v>
      </c>
      <c r="K2301" s="5" t="s">
        <v>89</v>
      </c>
      <c r="L2301" s="2" t="s">
        <v>754</v>
      </c>
      <c r="M2301" s="6" t="s">
        <v>91</v>
      </c>
      <c r="N2301" s="7" t="s">
        <v>92</v>
      </c>
      <c r="O2301" s="7" t="s">
        <v>93</v>
      </c>
      <c r="P2301" s="3" t="s">
        <v>673</v>
      </c>
      <c r="Q2301" s="8" t="s">
        <v>117</v>
      </c>
      <c r="R2301" s="7" t="s">
        <v>118</v>
      </c>
      <c r="S2301" s="9">
        <v>10</v>
      </c>
      <c r="T2301" s="9">
        <v>191</v>
      </c>
      <c r="U2301" s="9">
        <f t="shared" si="1695"/>
        <v>1910</v>
      </c>
      <c r="V2301" s="9">
        <f t="shared" si="1696"/>
        <v>2139.2000000000003</v>
      </c>
      <c r="W2301" s="7"/>
      <c r="X2301" s="2">
        <v>2016</v>
      </c>
      <c r="Y2301" s="2"/>
    </row>
    <row r="2302" spans="1:25" s="11" customFormat="1" ht="89.25" customHeight="1" outlineLevel="1" x14ac:dyDescent="0.25">
      <c r="A2302" s="1"/>
      <c r="B2302" s="2" t="s">
        <v>6748</v>
      </c>
      <c r="C2302" s="3" t="s">
        <v>83</v>
      </c>
      <c r="D2302" s="19" t="s">
        <v>4380</v>
      </c>
      <c r="E2302" s="19" t="s">
        <v>4370</v>
      </c>
      <c r="F2302" s="19" t="s">
        <v>4381</v>
      </c>
      <c r="G2302" s="19" t="s">
        <v>4382</v>
      </c>
      <c r="H2302" s="2" t="s">
        <v>694</v>
      </c>
      <c r="I2302" s="4">
        <v>0</v>
      </c>
      <c r="J2302" s="5">
        <v>710000000</v>
      </c>
      <c r="K2302" s="5" t="s">
        <v>89</v>
      </c>
      <c r="L2302" s="2" t="s">
        <v>754</v>
      </c>
      <c r="M2302" s="6" t="s">
        <v>91</v>
      </c>
      <c r="N2302" s="7" t="s">
        <v>92</v>
      </c>
      <c r="O2302" s="7" t="s">
        <v>93</v>
      </c>
      <c r="P2302" s="3" t="s">
        <v>673</v>
      </c>
      <c r="Q2302" s="8" t="s">
        <v>117</v>
      </c>
      <c r="R2302" s="7" t="s">
        <v>118</v>
      </c>
      <c r="S2302" s="9">
        <v>10</v>
      </c>
      <c r="T2302" s="9">
        <v>57</v>
      </c>
      <c r="U2302" s="9">
        <f t="shared" si="1695"/>
        <v>570</v>
      </c>
      <c r="V2302" s="9">
        <f t="shared" si="1696"/>
        <v>638.40000000000009</v>
      </c>
      <c r="W2302" s="7"/>
      <c r="X2302" s="2">
        <v>2016</v>
      </c>
      <c r="Y2302" s="2"/>
    </row>
    <row r="2303" spans="1:25" s="11" customFormat="1" ht="89.25" customHeight="1" outlineLevel="1" x14ac:dyDescent="0.25">
      <c r="A2303" s="1"/>
      <c r="B2303" s="2" t="s">
        <v>6749</v>
      </c>
      <c r="C2303" s="3" t="s">
        <v>83</v>
      </c>
      <c r="D2303" s="19" t="s">
        <v>4383</v>
      </c>
      <c r="E2303" s="19" t="s">
        <v>4384</v>
      </c>
      <c r="F2303" s="19" t="s">
        <v>4385</v>
      </c>
      <c r="G2303" s="19" t="s">
        <v>4386</v>
      </c>
      <c r="H2303" s="2" t="s">
        <v>694</v>
      </c>
      <c r="I2303" s="4">
        <v>0</v>
      </c>
      <c r="J2303" s="5">
        <v>710000000</v>
      </c>
      <c r="K2303" s="5" t="s">
        <v>89</v>
      </c>
      <c r="L2303" s="2" t="s">
        <v>754</v>
      </c>
      <c r="M2303" s="6" t="s">
        <v>91</v>
      </c>
      <c r="N2303" s="7" t="s">
        <v>92</v>
      </c>
      <c r="O2303" s="7" t="s">
        <v>93</v>
      </c>
      <c r="P2303" s="3" t="s">
        <v>673</v>
      </c>
      <c r="Q2303" s="8" t="s">
        <v>117</v>
      </c>
      <c r="R2303" s="7" t="s">
        <v>118</v>
      </c>
      <c r="S2303" s="9">
        <v>3</v>
      </c>
      <c r="T2303" s="9">
        <v>625</v>
      </c>
      <c r="U2303" s="9">
        <f t="shared" si="1695"/>
        <v>1875</v>
      </c>
      <c r="V2303" s="9">
        <f t="shared" si="1696"/>
        <v>2100</v>
      </c>
      <c r="W2303" s="7"/>
      <c r="X2303" s="2">
        <v>2016</v>
      </c>
      <c r="Y2303" s="2"/>
    </row>
    <row r="2304" spans="1:25" s="11" customFormat="1" ht="89.25" customHeight="1" outlineLevel="1" x14ac:dyDescent="0.25">
      <c r="A2304" s="1"/>
      <c r="B2304" s="2" t="s">
        <v>6750</v>
      </c>
      <c r="C2304" s="3" t="s">
        <v>83</v>
      </c>
      <c r="D2304" s="19" t="s">
        <v>4387</v>
      </c>
      <c r="E2304" s="19" t="s">
        <v>4388</v>
      </c>
      <c r="F2304" s="19" t="s">
        <v>4389</v>
      </c>
      <c r="G2304" s="19"/>
      <c r="H2304" s="2" t="s">
        <v>694</v>
      </c>
      <c r="I2304" s="4">
        <v>0</v>
      </c>
      <c r="J2304" s="5">
        <v>710000000</v>
      </c>
      <c r="K2304" s="5" t="s">
        <v>89</v>
      </c>
      <c r="L2304" s="2" t="s">
        <v>754</v>
      </c>
      <c r="M2304" s="6" t="s">
        <v>91</v>
      </c>
      <c r="N2304" s="7" t="s">
        <v>92</v>
      </c>
      <c r="O2304" s="7" t="s">
        <v>93</v>
      </c>
      <c r="P2304" s="3" t="s">
        <v>673</v>
      </c>
      <c r="Q2304" s="8" t="s">
        <v>117</v>
      </c>
      <c r="R2304" s="7" t="s">
        <v>118</v>
      </c>
      <c r="S2304" s="9">
        <v>16</v>
      </c>
      <c r="T2304" s="9">
        <v>313</v>
      </c>
      <c r="U2304" s="9">
        <f t="shared" si="1695"/>
        <v>5008</v>
      </c>
      <c r="V2304" s="9">
        <f t="shared" si="1696"/>
        <v>5608.9600000000009</v>
      </c>
      <c r="W2304" s="7"/>
      <c r="X2304" s="2">
        <v>2016</v>
      </c>
      <c r="Y2304" s="2"/>
    </row>
    <row r="2305" spans="1:25" s="11" customFormat="1" ht="89.25" customHeight="1" outlineLevel="1" x14ac:dyDescent="0.25">
      <c r="A2305" s="1"/>
      <c r="B2305" s="2" t="s">
        <v>6751</v>
      </c>
      <c r="C2305" s="3" t="s">
        <v>83</v>
      </c>
      <c r="D2305" s="19" t="s">
        <v>4257</v>
      </c>
      <c r="E2305" s="19" t="s">
        <v>4258</v>
      </c>
      <c r="F2305" s="19" t="s">
        <v>4259</v>
      </c>
      <c r="G2305" s="19" t="s">
        <v>4390</v>
      </c>
      <c r="H2305" s="2" t="s">
        <v>694</v>
      </c>
      <c r="I2305" s="4">
        <v>0</v>
      </c>
      <c r="J2305" s="5">
        <v>710000000</v>
      </c>
      <c r="K2305" s="5" t="s">
        <v>89</v>
      </c>
      <c r="L2305" s="2" t="s">
        <v>754</v>
      </c>
      <c r="M2305" s="6" t="s">
        <v>91</v>
      </c>
      <c r="N2305" s="7" t="s">
        <v>92</v>
      </c>
      <c r="O2305" s="7" t="s">
        <v>93</v>
      </c>
      <c r="P2305" s="3" t="s">
        <v>673</v>
      </c>
      <c r="Q2305" s="8" t="s">
        <v>117</v>
      </c>
      <c r="R2305" s="7" t="s">
        <v>118</v>
      </c>
      <c r="S2305" s="9">
        <f>21+2</f>
        <v>23</v>
      </c>
      <c r="T2305" s="9">
        <v>1339</v>
      </c>
      <c r="U2305" s="9">
        <f t="shared" si="1695"/>
        <v>30797</v>
      </c>
      <c r="V2305" s="9">
        <f t="shared" si="1696"/>
        <v>34492.640000000007</v>
      </c>
      <c r="W2305" s="7"/>
      <c r="X2305" s="2">
        <v>2016</v>
      </c>
      <c r="Y2305" s="2"/>
    </row>
    <row r="2306" spans="1:25" s="11" customFormat="1" ht="89.25" customHeight="1" outlineLevel="1" x14ac:dyDescent="0.25">
      <c r="A2306" s="1"/>
      <c r="B2306" s="2" t="s">
        <v>6752</v>
      </c>
      <c r="C2306" s="3" t="s">
        <v>83</v>
      </c>
      <c r="D2306" s="19" t="s">
        <v>4391</v>
      </c>
      <c r="E2306" s="19" t="s">
        <v>4392</v>
      </c>
      <c r="F2306" s="19" t="s">
        <v>2893</v>
      </c>
      <c r="G2306" s="19" t="s">
        <v>4393</v>
      </c>
      <c r="H2306" s="2" t="s">
        <v>694</v>
      </c>
      <c r="I2306" s="4">
        <v>0</v>
      </c>
      <c r="J2306" s="5">
        <v>710000000</v>
      </c>
      <c r="K2306" s="5" t="s">
        <v>89</v>
      </c>
      <c r="L2306" s="2" t="s">
        <v>754</v>
      </c>
      <c r="M2306" s="6" t="s">
        <v>91</v>
      </c>
      <c r="N2306" s="7" t="s">
        <v>92</v>
      </c>
      <c r="O2306" s="7" t="s">
        <v>93</v>
      </c>
      <c r="P2306" s="3" t="s">
        <v>673</v>
      </c>
      <c r="Q2306" s="8" t="s">
        <v>117</v>
      </c>
      <c r="R2306" s="7" t="s">
        <v>118</v>
      </c>
      <c r="S2306" s="9">
        <v>4</v>
      </c>
      <c r="T2306" s="9">
        <v>1336</v>
      </c>
      <c r="U2306" s="9">
        <f t="shared" si="1695"/>
        <v>5344</v>
      </c>
      <c r="V2306" s="9">
        <f t="shared" si="1696"/>
        <v>5985.2800000000007</v>
      </c>
      <c r="W2306" s="7"/>
      <c r="X2306" s="2">
        <v>2016</v>
      </c>
      <c r="Y2306" s="2"/>
    </row>
    <row r="2307" spans="1:25" s="11" customFormat="1" ht="89.25" customHeight="1" outlineLevel="1" x14ac:dyDescent="0.25">
      <c r="A2307" s="1"/>
      <c r="B2307" s="2" t="s">
        <v>6753</v>
      </c>
      <c r="C2307" s="3" t="s">
        <v>83</v>
      </c>
      <c r="D2307" s="19" t="s">
        <v>4394</v>
      </c>
      <c r="E2307" s="19" t="s">
        <v>4395</v>
      </c>
      <c r="F2307" s="19" t="s">
        <v>4396</v>
      </c>
      <c r="G2307" s="19" t="s">
        <v>4397</v>
      </c>
      <c r="H2307" s="2" t="s">
        <v>694</v>
      </c>
      <c r="I2307" s="4">
        <v>0</v>
      </c>
      <c r="J2307" s="5">
        <v>710000000</v>
      </c>
      <c r="K2307" s="5" t="s">
        <v>89</v>
      </c>
      <c r="L2307" s="2" t="s">
        <v>754</v>
      </c>
      <c r="M2307" s="6" t="s">
        <v>91</v>
      </c>
      <c r="N2307" s="7" t="s">
        <v>92</v>
      </c>
      <c r="O2307" s="7" t="s">
        <v>93</v>
      </c>
      <c r="P2307" s="3" t="s">
        <v>673</v>
      </c>
      <c r="Q2307" s="8" t="s">
        <v>117</v>
      </c>
      <c r="R2307" s="7" t="s">
        <v>118</v>
      </c>
      <c r="S2307" s="9">
        <v>3</v>
      </c>
      <c r="T2307" s="9">
        <v>893</v>
      </c>
      <c r="U2307" s="9">
        <f t="shared" si="1695"/>
        <v>2679</v>
      </c>
      <c r="V2307" s="9">
        <f t="shared" si="1696"/>
        <v>3000.4800000000005</v>
      </c>
      <c r="W2307" s="7"/>
      <c r="X2307" s="2">
        <v>2016</v>
      </c>
      <c r="Y2307" s="2"/>
    </row>
    <row r="2308" spans="1:25" s="11" customFormat="1" ht="89.25" customHeight="1" outlineLevel="1" x14ac:dyDescent="0.25">
      <c r="A2308" s="1"/>
      <c r="B2308" s="2" t="s">
        <v>6754</v>
      </c>
      <c r="C2308" s="3" t="s">
        <v>83</v>
      </c>
      <c r="D2308" s="19" t="s">
        <v>4398</v>
      </c>
      <c r="E2308" s="19" t="s">
        <v>887</v>
      </c>
      <c r="F2308" s="19" t="s">
        <v>4399</v>
      </c>
      <c r="G2308" s="19" t="s">
        <v>4400</v>
      </c>
      <c r="H2308" s="2" t="s">
        <v>694</v>
      </c>
      <c r="I2308" s="4">
        <v>0</v>
      </c>
      <c r="J2308" s="5">
        <v>710000000</v>
      </c>
      <c r="K2308" s="5" t="s">
        <v>89</v>
      </c>
      <c r="L2308" s="2" t="s">
        <v>754</v>
      </c>
      <c r="M2308" s="6" t="s">
        <v>91</v>
      </c>
      <c r="N2308" s="7" t="s">
        <v>92</v>
      </c>
      <c r="O2308" s="7" t="s">
        <v>93</v>
      </c>
      <c r="P2308" s="3" t="s">
        <v>673</v>
      </c>
      <c r="Q2308" s="8" t="s">
        <v>117</v>
      </c>
      <c r="R2308" s="7" t="s">
        <v>118</v>
      </c>
      <c r="S2308" s="9">
        <v>10</v>
      </c>
      <c r="T2308" s="9">
        <v>1094</v>
      </c>
      <c r="U2308" s="9">
        <f t="shared" si="1695"/>
        <v>10940</v>
      </c>
      <c r="V2308" s="9">
        <f t="shared" si="1696"/>
        <v>12252.800000000001</v>
      </c>
      <c r="W2308" s="7"/>
      <c r="X2308" s="2">
        <v>2016</v>
      </c>
      <c r="Y2308" s="2"/>
    </row>
    <row r="2309" spans="1:25" s="11" customFormat="1" ht="89.25" customHeight="1" outlineLevel="1" x14ac:dyDescent="0.25">
      <c r="A2309" s="1"/>
      <c r="B2309" s="2" t="s">
        <v>6755</v>
      </c>
      <c r="C2309" s="3" t="s">
        <v>83</v>
      </c>
      <c r="D2309" s="19" t="s">
        <v>4300</v>
      </c>
      <c r="E2309" s="19" t="s">
        <v>887</v>
      </c>
      <c r="F2309" s="19" t="s">
        <v>4301</v>
      </c>
      <c r="G2309" s="19" t="s">
        <v>4401</v>
      </c>
      <c r="H2309" s="2" t="s">
        <v>694</v>
      </c>
      <c r="I2309" s="4">
        <v>0</v>
      </c>
      <c r="J2309" s="5">
        <v>710000000</v>
      </c>
      <c r="K2309" s="5" t="s">
        <v>89</v>
      </c>
      <c r="L2309" s="2" t="s">
        <v>754</v>
      </c>
      <c r="M2309" s="6" t="s">
        <v>91</v>
      </c>
      <c r="N2309" s="7" t="s">
        <v>92</v>
      </c>
      <c r="O2309" s="7" t="s">
        <v>93</v>
      </c>
      <c r="P2309" s="3" t="s">
        <v>673</v>
      </c>
      <c r="Q2309" s="8" t="s">
        <v>117</v>
      </c>
      <c r="R2309" s="7" t="s">
        <v>118</v>
      </c>
      <c r="S2309" s="9">
        <v>28</v>
      </c>
      <c r="T2309" s="9">
        <v>161</v>
      </c>
      <c r="U2309" s="9">
        <f t="shared" si="1695"/>
        <v>4508</v>
      </c>
      <c r="V2309" s="9">
        <f t="shared" si="1696"/>
        <v>5048.96</v>
      </c>
      <c r="W2309" s="7"/>
      <c r="X2309" s="2">
        <v>2016</v>
      </c>
      <c r="Y2309" s="2"/>
    </row>
    <row r="2310" spans="1:25" s="11" customFormat="1" ht="89.25" customHeight="1" outlineLevel="1" x14ac:dyDescent="0.25">
      <c r="A2310" s="1"/>
      <c r="B2310" s="2" t="s">
        <v>6756</v>
      </c>
      <c r="C2310" s="3" t="s">
        <v>83</v>
      </c>
      <c r="D2310" s="19" t="s">
        <v>4402</v>
      </c>
      <c r="E2310" s="19" t="s">
        <v>887</v>
      </c>
      <c r="F2310" s="19" t="s">
        <v>4403</v>
      </c>
      <c r="G2310" s="19" t="s">
        <v>4404</v>
      </c>
      <c r="H2310" s="2" t="s">
        <v>694</v>
      </c>
      <c r="I2310" s="4">
        <v>0</v>
      </c>
      <c r="J2310" s="5">
        <v>710000000</v>
      </c>
      <c r="K2310" s="5" t="s">
        <v>89</v>
      </c>
      <c r="L2310" s="2" t="s">
        <v>754</v>
      </c>
      <c r="M2310" s="6" t="s">
        <v>91</v>
      </c>
      <c r="N2310" s="7" t="s">
        <v>92</v>
      </c>
      <c r="O2310" s="7" t="s">
        <v>93</v>
      </c>
      <c r="P2310" s="3" t="s">
        <v>673</v>
      </c>
      <c r="Q2310" s="8" t="s">
        <v>117</v>
      </c>
      <c r="R2310" s="7" t="s">
        <v>118</v>
      </c>
      <c r="S2310" s="9">
        <v>61</v>
      </c>
      <c r="T2310" s="9">
        <v>670</v>
      </c>
      <c r="U2310" s="9">
        <f t="shared" si="1695"/>
        <v>40870</v>
      </c>
      <c r="V2310" s="9">
        <f t="shared" si="1696"/>
        <v>45774.400000000001</v>
      </c>
      <c r="W2310" s="7"/>
      <c r="X2310" s="2">
        <v>2016</v>
      </c>
      <c r="Y2310" s="2"/>
    </row>
    <row r="2311" spans="1:25" s="11" customFormat="1" ht="89.25" customHeight="1" outlineLevel="1" x14ac:dyDescent="0.25">
      <c r="A2311" s="1"/>
      <c r="B2311" s="2" t="s">
        <v>6757</v>
      </c>
      <c r="C2311" s="3" t="s">
        <v>83</v>
      </c>
      <c r="D2311" s="19" t="s">
        <v>4405</v>
      </c>
      <c r="E2311" s="19" t="s">
        <v>4291</v>
      </c>
      <c r="F2311" s="19" t="s">
        <v>4406</v>
      </c>
      <c r="G2311" s="19" t="s">
        <v>4407</v>
      </c>
      <c r="H2311" s="2" t="s">
        <v>694</v>
      </c>
      <c r="I2311" s="4">
        <v>0</v>
      </c>
      <c r="J2311" s="5">
        <v>710000000</v>
      </c>
      <c r="K2311" s="5" t="s">
        <v>89</v>
      </c>
      <c r="L2311" s="2" t="s">
        <v>754</v>
      </c>
      <c r="M2311" s="6" t="s">
        <v>91</v>
      </c>
      <c r="N2311" s="7" t="s">
        <v>92</v>
      </c>
      <c r="O2311" s="7" t="s">
        <v>93</v>
      </c>
      <c r="P2311" s="3" t="s">
        <v>673</v>
      </c>
      <c r="Q2311" s="8" t="s">
        <v>117</v>
      </c>
      <c r="R2311" s="7" t="s">
        <v>118</v>
      </c>
      <c r="S2311" s="9">
        <v>2</v>
      </c>
      <c r="T2311" s="9">
        <v>5250</v>
      </c>
      <c r="U2311" s="9">
        <f t="shared" si="1695"/>
        <v>10500</v>
      </c>
      <c r="V2311" s="9">
        <f t="shared" si="1696"/>
        <v>11760.000000000002</v>
      </c>
      <c r="W2311" s="7"/>
      <c r="X2311" s="2">
        <v>2016</v>
      </c>
      <c r="Y2311" s="2"/>
    </row>
    <row r="2312" spans="1:25" s="11" customFormat="1" ht="89.25" customHeight="1" outlineLevel="1" x14ac:dyDescent="0.25">
      <c r="A2312" s="1"/>
      <c r="B2312" s="2" t="s">
        <v>6758</v>
      </c>
      <c r="C2312" s="3" t="s">
        <v>83</v>
      </c>
      <c r="D2312" s="19" t="s">
        <v>4408</v>
      </c>
      <c r="E2312" s="19" t="s">
        <v>4409</v>
      </c>
      <c r="F2312" s="19" t="s">
        <v>4410</v>
      </c>
      <c r="G2312" s="19" t="s">
        <v>4411</v>
      </c>
      <c r="H2312" s="2" t="s">
        <v>694</v>
      </c>
      <c r="I2312" s="4">
        <v>0</v>
      </c>
      <c r="J2312" s="5">
        <v>710000000</v>
      </c>
      <c r="K2312" s="5" t="s">
        <v>89</v>
      </c>
      <c r="L2312" s="2" t="s">
        <v>754</v>
      </c>
      <c r="M2312" s="6" t="s">
        <v>91</v>
      </c>
      <c r="N2312" s="7" t="s">
        <v>92</v>
      </c>
      <c r="O2312" s="7" t="s">
        <v>93</v>
      </c>
      <c r="P2312" s="3" t="s">
        <v>673</v>
      </c>
      <c r="Q2312" s="8" t="s">
        <v>3876</v>
      </c>
      <c r="R2312" s="7" t="s">
        <v>2605</v>
      </c>
      <c r="S2312" s="9">
        <v>10</v>
      </c>
      <c r="T2312" s="9">
        <v>8893</v>
      </c>
      <c r="U2312" s="9">
        <f t="shared" si="1695"/>
        <v>88930</v>
      </c>
      <c r="V2312" s="9">
        <f t="shared" si="1696"/>
        <v>99601.600000000006</v>
      </c>
      <c r="W2312" s="7"/>
      <c r="X2312" s="2">
        <v>2016</v>
      </c>
      <c r="Y2312" s="2"/>
    </row>
    <row r="2313" spans="1:25" s="11" customFormat="1" ht="89.25" customHeight="1" outlineLevel="1" x14ac:dyDescent="0.25">
      <c r="A2313" s="1"/>
      <c r="B2313" s="2" t="s">
        <v>6759</v>
      </c>
      <c r="C2313" s="3" t="s">
        <v>83</v>
      </c>
      <c r="D2313" s="19" t="s">
        <v>4391</v>
      </c>
      <c r="E2313" s="19" t="s">
        <v>4392</v>
      </c>
      <c r="F2313" s="19" t="s">
        <v>2893</v>
      </c>
      <c r="G2313" s="19" t="s">
        <v>4412</v>
      </c>
      <c r="H2313" s="2" t="s">
        <v>694</v>
      </c>
      <c r="I2313" s="4">
        <v>0</v>
      </c>
      <c r="J2313" s="5">
        <v>710000000</v>
      </c>
      <c r="K2313" s="5" t="s">
        <v>89</v>
      </c>
      <c r="L2313" s="2" t="s">
        <v>754</v>
      </c>
      <c r="M2313" s="6" t="s">
        <v>91</v>
      </c>
      <c r="N2313" s="7" t="s">
        <v>92</v>
      </c>
      <c r="O2313" s="7" t="s">
        <v>93</v>
      </c>
      <c r="P2313" s="3" t="s">
        <v>673</v>
      </c>
      <c r="Q2313" s="8" t="s">
        <v>117</v>
      </c>
      <c r="R2313" s="7" t="s">
        <v>118</v>
      </c>
      <c r="S2313" s="9">
        <v>2</v>
      </c>
      <c r="T2313" s="9">
        <v>4826</v>
      </c>
      <c r="U2313" s="9">
        <f t="shared" si="1695"/>
        <v>9652</v>
      </c>
      <c r="V2313" s="9">
        <f t="shared" si="1696"/>
        <v>10810.240000000002</v>
      </c>
      <c r="W2313" s="7"/>
      <c r="X2313" s="2">
        <v>2016</v>
      </c>
      <c r="Y2313" s="2"/>
    </row>
    <row r="2314" spans="1:25" s="11" customFormat="1" ht="89.25" customHeight="1" outlineLevel="1" x14ac:dyDescent="0.25">
      <c r="A2314" s="1"/>
      <c r="B2314" s="2" t="s">
        <v>6760</v>
      </c>
      <c r="C2314" s="3" t="s">
        <v>83</v>
      </c>
      <c r="D2314" s="19" t="s">
        <v>4413</v>
      </c>
      <c r="E2314" s="19" t="s">
        <v>4414</v>
      </c>
      <c r="F2314" s="19" t="s">
        <v>4415</v>
      </c>
      <c r="G2314" s="19" t="s">
        <v>4416</v>
      </c>
      <c r="H2314" s="2" t="s">
        <v>694</v>
      </c>
      <c r="I2314" s="4">
        <v>0</v>
      </c>
      <c r="J2314" s="5">
        <v>710000000</v>
      </c>
      <c r="K2314" s="5" t="s">
        <v>89</v>
      </c>
      <c r="L2314" s="2" t="s">
        <v>754</v>
      </c>
      <c r="M2314" s="6" t="s">
        <v>91</v>
      </c>
      <c r="N2314" s="7" t="s">
        <v>92</v>
      </c>
      <c r="O2314" s="7" t="s">
        <v>93</v>
      </c>
      <c r="P2314" s="3" t="s">
        <v>673</v>
      </c>
      <c r="Q2314" s="8" t="s">
        <v>117</v>
      </c>
      <c r="R2314" s="7" t="s">
        <v>118</v>
      </c>
      <c r="S2314" s="9">
        <v>4</v>
      </c>
      <c r="T2314" s="9">
        <v>5625</v>
      </c>
      <c r="U2314" s="9">
        <f t="shared" si="1695"/>
        <v>22500</v>
      </c>
      <c r="V2314" s="9">
        <f t="shared" si="1696"/>
        <v>25200.000000000004</v>
      </c>
      <c r="W2314" s="7"/>
      <c r="X2314" s="2">
        <v>2016</v>
      </c>
      <c r="Y2314" s="2"/>
    </row>
    <row r="2315" spans="1:25" s="11" customFormat="1" ht="89.25" customHeight="1" outlineLevel="1" x14ac:dyDescent="0.25">
      <c r="A2315" s="1"/>
      <c r="B2315" s="2" t="s">
        <v>6761</v>
      </c>
      <c r="C2315" s="3" t="s">
        <v>83</v>
      </c>
      <c r="D2315" s="19" t="s">
        <v>4413</v>
      </c>
      <c r="E2315" s="19" t="s">
        <v>4414</v>
      </c>
      <c r="F2315" s="19" t="s">
        <v>4415</v>
      </c>
      <c r="G2315" s="19" t="s">
        <v>4417</v>
      </c>
      <c r="H2315" s="2" t="s">
        <v>694</v>
      </c>
      <c r="I2315" s="4">
        <v>0</v>
      </c>
      <c r="J2315" s="5">
        <v>710000000</v>
      </c>
      <c r="K2315" s="5" t="s">
        <v>89</v>
      </c>
      <c r="L2315" s="2" t="s">
        <v>754</v>
      </c>
      <c r="M2315" s="6" t="s">
        <v>91</v>
      </c>
      <c r="N2315" s="7" t="s">
        <v>92</v>
      </c>
      <c r="O2315" s="7" t="s">
        <v>93</v>
      </c>
      <c r="P2315" s="3" t="s">
        <v>673</v>
      </c>
      <c r="Q2315" s="8" t="s">
        <v>117</v>
      </c>
      <c r="R2315" s="7" t="s">
        <v>118</v>
      </c>
      <c r="S2315" s="9">
        <v>2</v>
      </c>
      <c r="T2315" s="9">
        <v>11652</v>
      </c>
      <c r="U2315" s="9">
        <f t="shared" si="1695"/>
        <v>23304</v>
      </c>
      <c r="V2315" s="9">
        <f t="shared" si="1696"/>
        <v>26100.480000000003</v>
      </c>
      <c r="W2315" s="7"/>
      <c r="X2315" s="2">
        <v>2016</v>
      </c>
      <c r="Y2315" s="2"/>
    </row>
    <row r="2316" spans="1:25" s="11" customFormat="1" ht="89.25" customHeight="1" outlineLevel="1" x14ac:dyDescent="0.25">
      <c r="A2316" s="1"/>
      <c r="B2316" s="2" t="s">
        <v>6762</v>
      </c>
      <c r="C2316" s="3" t="s">
        <v>83</v>
      </c>
      <c r="D2316" s="3" t="s">
        <v>4418</v>
      </c>
      <c r="E2316" s="3" t="s">
        <v>4419</v>
      </c>
      <c r="F2316" s="3" t="s">
        <v>4420</v>
      </c>
      <c r="G2316" s="3" t="s">
        <v>4421</v>
      </c>
      <c r="H2316" s="2" t="s">
        <v>694</v>
      </c>
      <c r="I2316" s="21">
        <v>0</v>
      </c>
      <c r="J2316" s="5">
        <v>710000000</v>
      </c>
      <c r="K2316" s="3" t="s">
        <v>89</v>
      </c>
      <c r="L2316" s="2" t="s">
        <v>754</v>
      </c>
      <c r="M2316" s="3" t="s">
        <v>787</v>
      </c>
      <c r="N2316" s="7" t="s">
        <v>92</v>
      </c>
      <c r="O2316" s="7" t="s">
        <v>93</v>
      </c>
      <c r="P2316" s="3" t="s">
        <v>673</v>
      </c>
      <c r="Q2316" s="8">
        <v>796</v>
      </c>
      <c r="R2316" s="7" t="s">
        <v>118</v>
      </c>
      <c r="S2316" s="9">
        <f>10+40+8+1</f>
        <v>59</v>
      </c>
      <c r="T2316" s="9">
        <v>355.36</v>
      </c>
      <c r="U2316" s="9">
        <f>S2316*T2316</f>
        <v>20966.240000000002</v>
      </c>
      <c r="V2316" s="9">
        <f t="shared" si="1696"/>
        <v>23482.188800000004</v>
      </c>
      <c r="W2316" s="3"/>
      <c r="X2316" s="2">
        <v>2016</v>
      </c>
      <c r="Y2316" s="3"/>
    </row>
    <row r="2317" spans="1:25" s="11" customFormat="1" ht="89.25" customHeight="1" outlineLevel="1" x14ac:dyDescent="0.25">
      <c r="A2317" s="1"/>
      <c r="B2317" s="2" t="s">
        <v>6763</v>
      </c>
      <c r="C2317" s="3" t="s">
        <v>83</v>
      </c>
      <c r="D2317" s="3" t="s">
        <v>4422</v>
      </c>
      <c r="E2317" s="3" t="s">
        <v>4423</v>
      </c>
      <c r="F2317" s="3" t="s">
        <v>4424</v>
      </c>
      <c r="G2317" s="19" t="s">
        <v>4425</v>
      </c>
      <c r="H2317" s="2" t="s">
        <v>694</v>
      </c>
      <c r="I2317" s="4">
        <v>0</v>
      </c>
      <c r="J2317" s="5">
        <v>710000000</v>
      </c>
      <c r="K2317" s="5" t="s">
        <v>89</v>
      </c>
      <c r="L2317" s="2" t="s">
        <v>754</v>
      </c>
      <c r="M2317" s="6" t="s">
        <v>787</v>
      </c>
      <c r="N2317" s="7" t="s">
        <v>92</v>
      </c>
      <c r="O2317" s="7" t="s">
        <v>93</v>
      </c>
      <c r="P2317" s="3" t="s">
        <v>673</v>
      </c>
      <c r="Q2317" s="8" t="s">
        <v>2433</v>
      </c>
      <c r="R2317" s="7" t="s">
        <v>2434</v>
      </c>
      <c r="S2317" s="9">
        <f>7+20</f>
        <v>27</v>
      </c>
      <c r="T2317" s="9">
        <v>182.14</v>
      </c>
      <c r="U2317" s="9">
        <f>T2317*S2317</f>
        <v>4917.78</v>
      </c>
      <c r="V2317" s="9">
        <f t="shared" si="1696"/>
        <v>5507.9135999999999</v>
      </c>
      <c r="W2317" s="7"/>
      <c r="X2317" s="2">
        <v>2016</v>
      </c>
      <c r="Y2317" s="2"/>
    </row>
    <row r="2318" spans="1:25" s="20" customFormat="1" ht="89.25" customHeight="1" outlineLevel="1" x14ac:dyDescent="0.25">
      <c r="A2318" s="1"/>
      <c r="B2318" s="2" t="s">
        <v>6764</v>
      </c>
      <c r="C2318" s="3" t="s">
        <v>83</v>
      </c>
      <c r="D2318" s="3" t="s">
        <v>4426</v>
      </c>
      <c r="E2318" s="3" t="s">
        <v>3214</v>
      </c>
      <c r="F2318" s="3" t="s">
        <v>4427</v>
      </c>
      <c r="G2318" s="37">
        <v>0.7</v>
      </c>
      <c r="H2318" s="2" t="s">
        <v>694</v>
      </c>
      <c r="I2318" s="4">
        <v>0</v>
      </c>
      <c r="J2318" s="5">
        <v>710000000</v>
      </c>
      <c r="K2318" s="5" t="s">
        <v>89</v>
      </c>
      <c r="L2318" s="2" t="s">
        <v>754</v>
      </c>
      <c r="M2318" s="6" t="s">
        <v>787</v>
      </c>
      <c r="N2318" s="7" t="s">
        <v>92</v>
      </c>
      <c r="O2318" s="7" t="s">
        <v>93</v>
      </c>
      <c r="P2318" s="3" t="s">
        <v>673</v>
      </c>
      <c r="Q2318" s="8">
        <v>796</v>
      </c>
      <c r="R2318" s="7" t="s">
        <v>118</v>
      </c>
      <c r="S2318" s="9">
        <f>2+5</f>
        <v>7</v>
      </c>
      <c r="T2318" s="9">
        <v>3150.89</v>
      </c>
      <c r="U2318" s="9">
        <f>T2318*S2318</f>
        <v>22056.23</v>
      </c>
      <c r="V2318" s="9">
        <f t="shared" si="1696"/>
        <v>24702.977600000002</v>
      </c>
      <c r="W2318" s="7"/>
      <c r="X2318" s="2">
        <v>2016</v>
      </c>
      <c r="Y2318" s="2"/>
    </row>
    <row r="2319" spans="1:25" s="11" customFormat="1" ht="89.25" customHeight="1" outlineLevel="1" x14ac:dyDescent="0.25">
      <c r="A2319" s="1"/>
      <c r="B2319" s="2" t="s">
        <v>6765</v>
      </c>
      <c r="C2319" s="3" t="s">
        <v>83</v>
      </c>
      <c r="D2319" s="3" t="s">
        <v>4305</v>
      </c>
      <c r="E2319" s="3" t="s">
        <v>2976</v>
      </c>
      <c r="F2319" s="3" t="s">
        <v>4306</v>
      </c>
      <c r="G2319" s="19"/>
      <c r="H2319" s="2" t="s">
        <v>694</v>
      </c>
      <c r="I2319" s="4">
        <v>0</v>
      </c>
      <c r="J2319" s="5">
        <v>710000000</v>
      </c>
      <c r="K2319" s="5" t="s">
        <v>89</v>
      </c>
      <c r="L2319" s="2" t="s">
        <v>754</v>
      </c>
      <c r="M2319" s="6" t="s">
        <v>787</v>
      </c>
      <c r="N2319" s="7" t="s">
        <v>92</v>
      </c>
      <c r="O2319" s="7" t="s">
        <v>93</v>
      </c>
      <c r="P2319" s="3" t="s">
        <v>673</v>
      </c>
      <c r="Q2319" s="8">
        <v>796</v>
      </c>
      <c r="R2319" s="7" t="s">
        <v>118</v>
      </c>
      <c r="S2319" s="9">
        <v>20</v>
      </c>
      <c r="T2319" s="9">
        <v>2500</v>
      </c>
      <c r="U2319" s="9">
        <f>T2319*S2319</f>
        <v>50000</v>
      </c>
      <c r="V2319" s="9">
        <f t="shared" si="1696"/>
        <v>56000.000000000007</v>
      </c>
      <c r="W2319" s="7"/>
      <c r="X2319" s="2">
        <v>2016</v>
      </c>
      <c r="Y2319" s="2"/>
    </row>
    <row r="2320" spans="1:25" s="11" customFormat="1" ht="89.25" customHeight="1" outlineLevel="1" x14ac:dyDescent="0.25">
      <c r="A2320" s="1"/>
      <c r="B2320" s="2" t="s">
        <v>6766</v>
      </c>
      <c r="C2320" s="3" t="s">
        <v>83</v>
      </c>
      <c r="D2320" s="3" t="s">
        <v>4307</v>
      </c>
      <c r="E2320" s="3" t="s">
        <v>2976</v>
      </c>
      <c r="F2320" s="3" t="s">
        <v>4308</v>
      </c>
      <c r="G2320" s="19"/>
      <c r="H2320" s="2" t="s">
        <v>694</v>
      </c>
      <c r="I2320" s="4">
        <v>0</v>
      </c>
      <c r="J2320" s="5">
        <v>710000000</v>
      </c>
      <c r="K2320" s="5" t="s">
        <v>89</v>
      </c>
      <c r="L2320" s="2" t="s">
        <v>754</v>
      </c>
      <c r="M2320" s="6" t="s">
        <v>787</v>
      </c>
      <c r="N2320" s="7" t="s">
        <v>92</v>
      </c>
      <c r="O2320" s="7" t="s">
        <v>93</v>
      </c>
      <c r="P2320" s="3" t="s">
        <v>673</v>
      </c>
      <c r="Q2320" s="8">
        <v>796</v>
      </c>
      <c r="R2320" s="7" t="s">
        <v>118</v>
      </c>
      <c r="S2320" s="9">
        <v>1000</v>
      </c>
      <c r="T2320" s="9">
        <v>7.64</v>
      </c>
      <c r="U2320" s="9">
        <f>T2320*S2320</f>
        <v>7640</v>
      </c>
      <c r="V2320" s="9">
        <f t="shared" si="1696"/>
        <v>8556.8000000000011</v>
      </c>
      <c r="W2320" s="7"/>
      <c r="X2320" s="2">
        <v>2016</v>
      </c>
      <c r="Y2320" s="2"/>
    </row>
    <row r="2321" spans="1:25" s="11" customFormat="1" ht="89.25" customHeight="1" outlineLevel="1" x14ac:dyDescent="0.25">
      <c r="A2321" s="1"/>
      <c r="B2321" s="2" t="s">
        <v>6767</v>
      </c>
      <c r="C2321" s="3" t="s">
        <v>83</v>
      </c>
      <c r="D2321" s="3" t="s">
        <v>4428</v>
      </c>
      <c r="E2321" s="3" t="s">
        <v>3089</v>
      </c>
      <c r="F2321" s="3" t="s">
        <v>4429</v>
      </c>
      <c r="G2321" s="3" t="s">
        <v>4430</v>
      </c>
      <c r="H2321" s="2" t="s">
        <v>694</v>
      </c>
      <c r="I2321" s="21">
        <v>0</v>
      </c>
      <c r="J2321" s="5">
        <v>710000000</v>
      </c>
      <c r="K2321" s="3" t="s">
        <v>89</v>
      </c>
      <c r="L2321" s="2" t="s">
        <v>754</v>
      </c>
      <c r="M2321" s="3" t="s">
        <v>787</v>
      </c>
      <c r="N2321" s="7" t="s">
        <v>92</v>
      </c>
      <c r="O2321" s="7" t="s">
        <v>93</v>
      </c>
      <c r="P2321" s="3" t="s">
        <v>673</v>
      </c>
      <c r="Q2321" s="8">
        <v>796</v>
      </c>
      <c r="R2321" s="7" t="s">
        <v>118</v>
      </c>
      <c r="S2321" s="9">
        <f>1+1+2</f>
        <v>4</v>
      </c>
      <c r="T2321" s="9">
        <v>11875</v>
      </c>
      <c r="U2321" s="9">
        <f t="shared" ref="U2321:U2345" si="1697">S2321*T2321</f>
        <v>47500</v>
      </c>
      <c r="V2321" s="9">
        <f t="shared" si="1696"/>
        <v>53200.000000000007</v>
      </c>
      <c r="W2321" s="3"/>
      <c r="X2321" s="2">
        <v>2016</v>
      </c>
      <c r="Y2321" s="3"/>
    </row>
    <row r="2322" spans="1:25" s="11" customFormat="1" ht="89.25" customHeight="1" outlineLevel="1" x14ac:dyDescent="0.25">
      <c r="A2322" s="1"/>
      <c r="B2322" s="2" t="s">
        <v>6768</v>
      </c>
      <c r="C2322" s="3" t="s">
        <v>83</v>
      </c>
      <c r="D2322" s="3" t="s">
        <v>4431</v>
      </c>
      <c r="E2322" s="3" t="s">
        <v>4432</v>
      </c>
      <c r="F2322" s="3" t="s">
        <v>4433</v>
      </c>
      <c r="G2322" s="3"/>
      <c r="H2322" s="2" t="s">
        <v>694</v>
      </c>
      <c r="I2322" s="21">
        <v>0</v>
      </c>
      <c r="J2322" s="5">
        <v>710000000</v>
      </c>
      <c r="K2322" s="3" t="s">
        <v>89</v>
      </c>
      <c r="L2322" s="2" t="s">
        <v>754</v>
      </c>
      <c r="M2322" s="3" t="s">
        <v>787</v>
      </c>
      <c r="N2322" s="7" t="s">
        <v>92</v>
      </c>
      <c r="O2322" s="7" t="s">
        <v>93</v>
      </c>
      <c r="P2322" s="3" t="s">
        <v>673</v>
      </c>
      <c r="Q2322" s="8" t="s">
        <v>544</v>
      </c>
      <c r="R2322" s="7" t="s">
        <v>111</v>
      </c>
      <c r="S2322" s="9">
        <f>30+15+5+48+10+2+5+10</f>
        <v>125</v>
      </c>
      <c r="T2322" s="9">
        <v>766.07</v>
      </c>
      <c r="U2322" s="9">
        <f t="shared" si="1697"/>
        <v>95758.75</v>
      </c>
      <c r="V2322" s="9">
        <f t="shared" si="1696"/>
        <v>107249.80000000002</v>
      </c>
      <c r="W2322" s="3"/>
      <c r="X2322" s="2">
        <v>2016</v>
      </c>
      <c r="Y2322" s="3"/>
    </row>
    <row r="2323" spans="1:25" s="20" customFormat="1" ht="89.25" customHeight="1" outlineLevel="1" x14ac:dyDescent="0.25">
      <c r="A2323" s="1"/>
      <c r="B2323" s="2" t="s">
        <v>6769</v>
      </c>
      <c r="C2323" s="3" t="s">
        <v>83</v>
      </c>
      <c r="D2323" s="3" t="s">
        <v>4434</v>
      </c>
      <c r="E2323" s="3" t="s">
        <v>4435</v>
      </c>
      <c r="F2323" s="3" t="s">
        <v>4436</v>
      </c>
      <c r="G2323" s="3"/>
      <c r="H2323" s="2" t="s">
        <v>694</v>
      </c>
      <c r="I2323" s="21">
        <v>0</v>
      </c>
      <c r="J2323" s="5">
        <v>710000000</v>
      </c>
      <c r="K2323" s="3" t="s">
        <v>89</v>
      </c>
      <c r="L2323" s="2" t="s">
        <v>754</v>
      </c>
      <c r="M2323" s="3" t="s">
        <v>787</v>
      </c>
      <c r="N2323" s="7" t="s">
        <v>92</v>
      </c>
      <c r="O2323" s="7" t="s">
        <v>93</v>
      </c>
      <c r="P2323" s="3" t="s">
        <v>673</v>
      </c>
      <c r="Q2323" s="8" t="s">
        <v>544</v>
      </c>
      <c r="R2323" s="7" t="s">
        <v>111</v>
      </c>
      <c r="S2323" s="9">
        <f>1+1+2</f>
        <v>4</v>
      </c>
      <c r="T2323" s="9">
        <v>1785.71</v>
      </c>
      <c r="U2323" s="9">
        <f t="shared" si="1697"/>
        <v>7142.84</v>
      </c>
      <c r="V2323" s="9">
        <f t="shared" si="1696"/>
        <v>7999.9808000000012</v>
      </c>
      <c r="W2323" s="3"/>
      <c r="X2323" s="2">
        <v>2016</v>
      </c>
      <c r="Y2323" s="3"/>
    </row>
    <row r="2324" spans="1:25" s="20" customFormat="1" ht="89.25" customHeight="1" outlineLevel="1" x14ac:dyDescent="0.25">
      <c r="A2324" s="1"/>
      <c r="B2324" s="2" t="s">
        <v>6770</v>
      </c>
      <c r="C2324" s="3" t="s">
        <v>83</v>
      </c>
      <c r="D2324" s="3" t="s">
        <v>4437</v>
      </c>
      <c r="E2324" s="3" t="s">
        <v>4438</v>
      </c>
      <c r="F2324" s="3" t="s">
        <v>4439</v>
      </c>
      <c r="G2324" s="3"/>
      <c r="H2324" s="2" t="s">
        <v>694</v>
      </c>
      <c r="I2324" s="21">
        <v>0</v>
      </c>
      <c r="J2324" s="5">
        <v>710000000</v>
      </c>
      <c r="K2324" s="3" t="s">
        <v>89</v>
      </c>
      <c r="L2324" s="2" t="s">
        <v>754</v>
      </c>
      <c r="M2324" s="3" t="s">
        <v>787</v>
      </c>
      <c r="N2324" s="7" t="s">
        <v>92</v>
      </c>
      <c r="O2324" s="7" t="s">
        <v>93</v>
      </c>
      <c r="P2324" s="3" t="s">
        <v>673</v>
      </c>
      <c r="Q2324" s="8" t="s">
        <v>544</v>
      </c>
      <c r="R2324" s="7" t="s">
        <v>111</v>
      </c>
      <c r="S2324" s="9">
        <v>4</v>
      </c>
      <c r="T2324" s="9">
        <v>1607.14</v>
      </c>
      <c r="U2324" s="9">
        <f t="shared" si="1697"/>
        <v>6428.56</v>
      </c>
      <c r="V2324" s="9">
        <f t="shared" si="1696"/>
        <v>7199.9872000000014</v>
      </c>
      <c r="W2324" s="3"/>
      <c r="X2324" s="2">
        <v>2016</v>
      </c>
      <c r="Y2324" s="3"/>
    </row>
    <row r="2325" spans="1:25" s="20" customFormat="1" ht="89.25" customHeight="1" outlineLevel="1" x14ac:dyDescent="0.25">
      <c r="A2325" s="1"/>
      <c r="B2325" s="2" t="s">
        <v>6771</v>
      </c>
      <c r="C2325" s="3" t="s">
        <v>83</v>
      </c>
      <c r="D2325" s="3" t="s">
        <v>4440</v>
      </c>
      <c r="E2325" s="3" t="s">
        <v>4441</v>
      </c>
      <c r="F2325" s="3" t="s">
        <v>4442</v>
      </c>
      <c r="G2325" s="3"/>
      <c r="H2325" s="2" t="s">
        <v>694</v>
      </c>
      <c r="I2325" s="21">
        <v>0</v>
      </c>
      <c r="J2325" s="5">
        <v>710000000</v>
      </c>
      <c r="K2325" s="3" t="s">
        <v>89</v>
      </c>
      <c r="L2325" s="2" t="s">
        <v>754</v>
      </c>
      <c r="M2325" s="3" t="s">
        <v>787</v>
      </c>
      <c r="N2325" s="7" t="s">
        <v>92</v>
      </c>
      <c r="O2325" s="7" t="s">
        <v>93</v>
      </c>
      <c r="P2325" s="3" t="s">
        <v>673</v>
      </c>
      <c r="Q2325" s="8" t="s">
        <v>3085</v>
      </c>
      <c r="R2325" s="7" t="s">
        <v>3086</v>
      </c>
      <c r="S2325" s="9">
        <f>10+0.5</f>
        <v>10.5</v>
      </c>
      <c r="T2325" s="9">
        <v>642.86</v>
      </c>
      <c r="U2325" s="9">
        <f t="shared" si="1697"/>
        <v>6750.03</v>
      </c>
      <c r="V2325" s="9">
        <f t="shared" si="1696"/>
        <v>7560.0336000000007</v>
      </c>
      <c r="W2325" s="3"/>
      <c r="X2325" s="2">
        <v>2016</v>
      </c>
      <c r="Y2325" s="3"/>
    </row>
    <row r="2326" spans="1:25" s="20" customFormat="1" ht="89.25" customHeight="1" outlineLevel="1" x14ac:dyDescent="0.25">
      <c r="A2326" s="1"/>
      <c r="B2326" s="2" t="s">
        <v>6772</v>
      </c>
      <c r="C2326" s="3" t="s">
        <v>83</v>
      </c>
      <c r="D2326" s="3" t="s">
        <v>4443</v>
      </c>
      <c r="E2326" s="3" t="s">
        <v>4441</v>
      </c>
      <c r="F2326" s="3" t="s">
        <v>4444</v>
      </c>
      <c r="G2326" s="3"/>
      <c r="H2326" s="2" t="s">
        <v>694</v>
      </c>
      <c r="I2326" s="21">
        <v>0</v>
      </c>
      <c r="J2326" s="5">
        <v>710000000</v>
      </c>
      <c r="K2326" s="3" t="s">
        <v>89</v>
      </c>
      <c r="L2326" s="2" t="s">
        <v>754</v>
      </c>
      <c r="M2326" s="3" t="s">
        <v>787</v>
      </c>
      <c r="N2326" s="7" t="s">
        <v>92</v>
      </c>
      <c r="O2326" s="7" t="s">
        <v>93</v>
      </c>
      <c r="P2326" s="3" t="s">
        <v>673</v>
      </c>
      <c r="Q2326" s="8" t="s">
        <v>3085</v>
      </c>
      <c r="R2326" s="7" t="s">
        <v>3086</v>
      </c>
      <c r="S2326" s="9">
        <f>0.5+8+2+1+0.5</f>
        <v>12</v>
      </c>
      <c r="T2326" s="9">
        <v>8412.86</v>
      </c>
      <c r="U2326" s="9">
        <f t="shared" si="1697"/>
        <v>100954.32</v>
      </c>
      <c r="V2326" s="9">
        <f t="shared" si="1696"/>
        <v>113068.83840000002</v>
      </c>
      <c r="W2326" s="3"/>
      <c r="X2326" s="2">
        <v>2016</v>
      </c>
      <c r="Y2326" s="3"/>
    </row>
    <row r="2327" spans="1:25" s="20" customFormat="1" ht="89.25" customHeight="1" outlineLevel="1" x14ac:dyDescent="0.25">
      <c r="A2327" s="1"/>
      <c r="B2327" s="2" t="s">
        <v>6773</v>
      </c>
      <c r="C2327" s="3" t="s">
        <v>83</v>
      </c>
      <c r="D2327" s="3" t="s">
        <v>4445</v>
      </c>
      <c r="E2327" s="3" t="s">
        <v>4446</v>
      </c>
      <c r="F2327" s="3" t="s">
        <v>4447</v>
      </c>
      <c r="G2327" s="3" t="s">
        <v>4448</v>
      </c>
      <c r="H2327" s="2" t="s">
        <v>694</v>
      </c>
      <c r="I2327" s="21">
        <v>0</v>
      </c>
      <c r="J2327" s="5">
        <v>710000000</v>
      </c>
      <c r="K2327" s="3" t="s">
        <v>89</v>
      </c>
      <c r="L2327" s="2" t="s">
        <v>754</v>
      </c>
      <c r="M2327" s="3" t="s">
        <v>787</v>
      </c>
      <c r="N2327" s="7" t="s">
        <v>92</v>
      </c>
      <c r="O2327" s="7" t="s">
        <v>93</v>
      </c>
      <c r="P2327" s="3" t="s">
        <v>673</v>
      </c>
      <c r="Q2327" s="8">
        <v>796</v>
      </c>
      <c r="R2327" s="7" t="s">
        <v>118</v>
      </c>
      <c r="S2327" s="9">
        <f>2+5</f>
        <v>7</v>
      </c>
      <c r="T2327" s="9">
        <v>10792.77</v>
      </c>
      <c r="U2327" s="9">
        <v>0</v>
      </c>
      <c r="V2327" s="9">
        <f t="shared" si="1696"/>
        <v>0</v>
      </c>
      <c r="W2327" s="3"/>
      <c r="X2327" s="2">
        <v>2016</v>
      </c>
      <c r="Y2327" s="2" t="s">
        <v>9709</v>
      </c>
    </row>
    <row r="2328" spans="1:25" s="20" customFormat="1" ht="89.25" customHeight="1" outlineLevel="1" x14ac:dyDescent="0.25">
      <c r="A2328" s="1"/>
      <c r="B2328" s="2" t="s">
        <v>9734</v>
      </c>
      <c r="C2328" s="3" t="s">
        <v>83</v>
      </c>
      <c r="D2328" s="3" t="s">
        <v>4445</v>
      </c>
      <c r="E2328" s="3" t="s">
        <v>4446</v>
      </c>
      <c r="F2328" s="3" t="s">
        <v>4447</v>
      </c>
      <c r="G2328" s="3" t="s">
        <v>4448</v>
      </c>
      <c r="H2328" s="2" t="s">
        <v>694</v>
      </c>
      <c r="I2328" s="21">
        <v>0</v>
      </c>
      <c r="J2328" s="5">
        <v>710000000</v>
      </c>
      <c r="K2328" s="3" t="s">
        <v>89</v>
      </c>
      <c r="L2328" s="6" t="s">
        <v>9737</v>
      </c>
      <c r="M2328" s="6" t="s">
        <v>9720</v>
      </c>
      <c r="N2328" s="7" t="s">
        <v>92</v>
      </c>
      <c r="O2328" s="7" t="s">
        <v>93</v>
      </c>
      <c r="P2328" s="3" t="s">
        <v>673</v>
      </c>
      <c r="Q2328" s="8">
        <v>796</v>
      </c>
      <c r="R2328" s="7" t="s">
        <v>118</v>
      </c>
      <c r="S2328" s="9">
        <f>2+5+7</f>
        <v>14</v>
      </c>
      <c r="T2328" s="9">
        <v>10792.77</v>
      </c>
      <c r="U2328" s="9">
        <f t="shared" ref="U2328" si="1698">S2328*T2328</f>
        <v>151098.78</v>
      </c>
      <c r="V2328" s="9">
        <f t="shared" ref="V2328" si="1699">U2328*1.12</f>
        <v>169230.6336</v>
      </c>
      <c r="W2328" s="3"/>
      <c r="X2328" s="2">
        <v>2016</v>
      </c>
      <c r="Y2328" s="3"/>
    </row>
    <row r="2329" spans="1:25" s="20" customFormat="1" ht="89.25" customHeight="1" outlineLevel="1" x14ac:dyDescent="0.25">
      <c r="A2329" s="1"/>
      <c r="B2329" s="2" t="s">
        <v>6774</v>
      </c>
      <c r="C2329" s="3" t="s">
        <v>83</v>
      </c>
      <c r="D2329" s="3" t="s">
        <v>4449</v>
      </c>
      <c r="E2329" s="3" t="s">
        <v>1014</v>
      </c>
      <c r="F2329" s="3" t="s">
        <v>4450</v>
      </c>
      <c r="G2329" s="3" t="s">
        <v>4451</v>
      </c>
      <c r="H2329" s="2" t="s">
        <v>694</v>
      </c>
      <c r="I2329" s="21">
        <v>0</v>
      </c>
      <c r="J2329" s="5">
        <v>710000000</v>
      </c>
      <c r="K2329" s="3" t="s">
        <v>89</v>
      </c>
      <c r="L2329" s="2" t="s">
        <v>754</v>
      </c>
      <c r="M2329" s="3" t="s">
        <v>787</v>
      </c>
      <c r="N2329" s="7" t="s">
        <v>92</v>
      </c>
      <c r="O2329" s="7" t="s">
        <v>93</v>
      </c>
      <c r="P2329" s="3" t="s">
        <v>673</v>
      </c>
      <c r="Q2329" s="8">
        <v>796</v>
      </c>
      <c r="R2329" s="7" t="s">
        <v>118</v>
      </c>
      <c r="S2329" s="9">
        <f>3+4</f>
        <v>7</v>
      </c>
      <c r="T2329" s="9">
        <v>5396.38</v>
      </c>
      <c r="U2329" s="9">
        <v>0</v>
      </c>
      <c r="V2329" s="9">
        <f t="shared" si="1696"/>
        <v>0</v>
      </c>
      <c r="W2329" s="3"/>
      <c r="X2329" s="2">
        <v>2016</v>
      </c>
      <c r="Y2329" s="2" t="s">
        <v>9709</v>
      </c>
    </row>
    <row r="2330" spans="1:25" s="20" customFormat="1" ht="89.25" customHeight="1" outlineLevel="1" x14ac:dyDescent="0.25">
      <c r="A2330" s="1"/>
      <c r="B2330" s="2" t="s">
        <v>9735</v>
      </c>
      <c r="C2330" s="3" t="s">
        <v>83</v>
      </c>
      <c r="D2330" s="3" t="s">
        <v>4449</v>
      </c>
      <c r="E2330" s="3" t="s">
        <v>1014</v>
      </c>
      <c r="F2330" s="3" t="s">
        <v>4450</v>
      </c>
      <c r="G2330" s="3" t="s">
        <v>4451</v>
      </c>
      <c r="H2330" s="2" t="s">
        <v>694</v>
      </c>
      <c r="I2330" s="21">
        <v>0</v>
      </c>
      <c r="J2330" s="5">
        <v>710000000</v>
      </c>
      <c r="K2330" s="3" t="s">
        <v>89</v>
      </c>
      <c r="L2330" s="6" t="s">
        <v>9737</v>
      </c>
      <c r="M2330" s="6" t="s">
        <v>9720</v>
      </c>
      <c r="N2330" s="7" t="s">
        <v>92</v>
      </c>
      <c r="O2330" s="7" t="s">
        <v>93</v>
      </c>
      <c r="P2330" s="3" t="s">
        <v>673</v>
      </c>
      <c r="Q2330" s="8">
        <v>796</v>
      </c>
      <c r="R2330" s="7" t="s">
        <v>118</v>
      </c>
      <c r="S2330" s="9">
        <f>3+4+7</f>
        <v>14</v>
      </c>
      <c r="T2330" s="9">
        <v>5396.38</v>
      </c>
      <c r="U2330" s="9">
        <f t="shared" ref="U2330" si="1700">S2330*T2330</f>
        <v>75549.320000000007</v>
      </c>
      <c r="V2330" s="9">
        <f t="shared" ref="V2330" si="1701">U2330*1.12</f>
        <v>84615.238400000017</v>
      </c>
      <c r="W2330" s="3"/>
      <c r="X2330" s="2">
        <v>2016</v>
      </c>
      <c r="Y2330" s="3"/>
    </row>
    <row r="2331" spans="1:25" s="20" customFormat="1" ht="89.25" customHeight="1" outlineLevel="1" x14ac:dyDescent="0.25">
      <c r="A2331" s="1"/>
      <c r="B2331" s="2" t="s">
        <v>6775</v>
      </c>
      <c r="C2331" s="3" t="s">
        <v>83</v>
      </c>
      <c r="D2331" s="3" t="s">
        <v>4452</v>
      </c>
      <c r="E2331" s="3" t="s">
        <v>1014</v>
      </c>
      <c r="F2331" s="3" t="s">
        <v>4453</v>
      </c>
      <c r="G2331" s="3"/>
      <c r="H2331" s="2" t="s">
        <v>694</v>
      </c>
      <c r="I2331" s="21">
        <v>0</v>
      </c>
      <c r="J2331" s="5">
        <v>710000000</v>
      </c>
      <c r="K2331" s="3" t="s">
        <v>89</v>
      </c>
      <c r="L2331" s="2" t="s">
        <v>754</v>
      </c>
      <c r="M2331" s="3" t="s">
        <v>787</v>
      </c>
      <c r="N2331" s="7" t="s">
        <v>92</v>
      </c>
      <c r="O2331" s="7" t="s">
        <v>93</v>
      </c>
      <c r="P2331" s="3" t="s">
        <v>673</v>
      </c>
      <c r="Q2331" s="8">
        <v>796</v>
      </c>
      <c r="R2331" s="7" t="s">
        <v>118</v>
      </c>
      <c r="S2331" s="9">
        <f>150+8+105+3</f>
        <v>266</v>
      </c>
      <c r="T2331" s="9">
        <v>38.99</v>
      </c>
      <c r="U2331" s="9">
        <f t="shared" si="1697"/>
        <v>10371.34</v>
      </c>
      <c r="V2331" s="9">
        <f t="shared" si="1696"/>
        <v>11615.900800000001</v>
      </c>
      <c r="W2331" s="3"/>
      <c r="X2331" s="2">
        <v>2016</v>
      </c>
      <c r="Y2331" s="3"/>
    </row>
    <row r="2332" spans="1:25" s="20" customFormat="1" ht="89.25" customHeight="1" outlineLevel="1" x14ac:dyDescent="0.25">
      <c r="A2332" s="1"/>
      <c r="B2332" s="2" t="s">
        <v>6776</v>
      </c>
      <c r="C2332" s="3" t="s">
        <v>83</v>
      </c>
      <c r="D2332" s="3" t="s">
        <v>4454</v>
      </c>
      <c r="E2332" s="3" t="s">
        <v>2255</v>
      </c>
      <c r="F2332" s="3" t="s">
        <v>4455</v>
      </c>
      <c r="G2332" s="3" t="s">
        <v>4456</v>
      </c>
      <c r="H2332" s="2" t="s">
        <v>694</v>
      </c>
      <c r="I2332" s="21">
        <v>0</v>
      </c>
      <c r="J2332" s="5">
        <v>710000000</v>
      </c>
      <c r="K2332" s="3" t="s">
        <v>89</v>
      </c>
      <c r="L2332" s="2" t="s">
        <v>754</v>
      </c>
      <c r="M2332" s="3" t="s">
        <v>787</v>
      </c>
      <c r="N2332" s="7" t="s">
        <v>92</v>
      </c>
      <c r="O2332" s="7" t="s">
        <v>93</v>
      </c>
      <c r="P2332" s="3" t="s">
        <v>673</v>
      </c>
      <c r="Q2332" s="8">
        <v>796</v>
      </c>
      <c r="R2332" s="7" t="s">
        <v>118</v>
      </c>
      <c r="S2332" s="9">
        <f>6+2</f>
        <v>8</v>
      </c>
      <c r="T2332" s="9">
        <v>20089.29</v>
      </c>
      <c r="U2332" s="9">
        <v>0</v>
      </c>
      <c r="V2332" s="9">
        <f t="shared" si="1696"/>
        <v>0</v>
      </c>
      <c r="W2332" s="3"/>
      <c r="X2332" s="2">
        <v>2016</v>
      </c>
      <c r="Y2332" s="2" t="s">
        <v>9709</v>
      </c>
    </row>
    <row r="2333" spans="1:25" s="20" customFormat="1" ht="89.25" customHeight="1" outlineLevel="1" x14ac:dyDescent="0.25">
      <c r="A2333" s="1"/>
      <c r="B2333" s="2" t="s">
        <v>9783</v>
      </c>
      <c r="C2333" s="3" t="s">
        <v>83</v>
      </c>
      <c r="D2333" s="3" t="s">
        <v>4454</v>
      </c>
      <c r="E2333" s="3" t="s">
        <v>2255</v>
      </c>
      <c r="F2333" s="3" t="s">
        <v>4455</v>
      </c>
      <c r="G2333" s="3" t="s">
        <v>4456</v>
      </c>
      <c r="H2333" s="2" t="s">
        <v>694</v>
      </c>
      <c r="I2333" s="21">
        <v>0</v>
      </c>
      <c r="J2333" s="5">
        <v>710000000</v>
      </c>
      <c r="K2333" s="3" t="s">
        <v>89</v>
      </c>
      <c r="L2333" s="6" t="s">
        <v>9737</v>
      </c>
      <c r="M2333" s="6" t="s">
        <v>9720</v>
      </c>
      <c r="N2333" s="7" t="s">
        <v>92</v>
      </c>
      <c r="O2333" s="7" t="s">
        <v>93</v>
      </c>
      <c r="P2333" s="3" t="s">
        <v>673</v>
      </c>
      <c r="Q2333" s="8">
        <v>796</v>
      </c>
      <c r="R2333" s="7" t="s">
        <v>118</v>
      </c>
      <c r="S2333" s="9">
        <f>6+2+4</f>
        <v>12</v>
      </c>
      <c r="T2333" s="9">
        <v>20089.29</v>
      </c>
      <c r="U2333" s="9">
        <f t="shared" ref="U2333" si="1702">S2333*T2333</f>
        <v>241071.48</v>
      </c>
      <c r="V2333" s="9">
        <f t="shared" ref="V2333" si="1703">U2333*1.12</f>
        <v>270000.05760000006</v>
      </c>
      <c r="W2333" s="3"/>
      <c r="X2333" s="2">
        <v>2016</v>
      </c>
      <c r="Y2333" s="3"/>
    </row>
    <row r="2334" spans="1:25" s="20" customFormat="1" ht="89.25" customHeight="1" outlineLevel="1" x14ac:dyDescent="0.25">
      <c r="A2334" s="1"/>
      <c r="B2334" s="2" t="s">
        <v>6777</v>
      </c>
      <c r="C2334" s="3" t="s">
        <v>83</v>
      </c>
      <c r="D2334" s="3" t="s">
        <v>4457</v>
      </c>
      <c r="E2334" s="3" t="s">
        <v>4458</v>
      </c>
      <c r="F2334" s="3" t="s">
        <v>4459</v>
      </c>
      <c r="G2334" s="3" t="s">
        <v>4460</v>
      </c>
      <c r="H2334" s="2" t="s">
        <v>694</v>
      </c>
      <c r="I2334" s="21">
        <v>0</v>
      </c>
      <c r="J2334" s="5">
        <v>710000000</v>
      </c>
      <c r="K2334" s="3" t="s">
        <v>89</v>
      </c>
      <c r="L2334" s="2" t="s">
        <v>754</v>
      </c>
      <c r="M2334" s="3" t="s">
        <v>787</v>
      </c>
      <c r="N2334" s="7" t="s">
        <v>92</v>
      </c>
      <c r="O2334" s="7" t="s">
        <v>93</v>
      </c>
      <c r="P2334" s="3" t="s">
        <v>673</v>
      </c>
      <c r="Q2334" s="8" t="s">
        <v>95</v>
      </c>
      <c r="R2334" s="7" t="s">
        <v>96</v>
      </c>
      <c r="S2334" s="9">
        <v>20</v>
      </c>
      <c r="T2334" s="9">
        <v>3348.2</v>
      </c>
      <c r="U2334" s="9">
        <f t="shared" si="1697"/>
        <v>66964</v>
      </c>
      <c r="V2334" s="9">
        <f t="shared" si="1696"/>
        <v>74999.680000000008</v>
      </c>
      <c r="W2334" s="3"/>
      <c r="X2334" s="2">
        <v>2016</v>
      </c>
      <c r="Y2334" s="3"/>
    </row>
    <row r="2335" spans="1:25" s="20" customFormat="1" ht="89.25" customHeight="1" outlineLevel="1" x14ac:dyDescent="0.25">
      <c r="A2335" s="1"/>
      <c r="B2335" s="2" t="s">
        <v>6778</v>
      </c>
      <c r="C2335" s="3" t="s">
        <v>83</v>
      </c>
      <c r="D2335" s="3" t="s">
        <v>4461</v>
      </c>
      <c r="E2335" s="3" t="s">
        <v>4462</v>
      </c>
      <c r="F2335" s="3" t="s">
        <v>4463</v>
      </c>
      <c r="G2335" s="3" t="s">
        <v>4464</v>
      </c>
      <c r="H2335" s="2" t="s">
        <v>694</v>
      </c>
      <c r="I2335" s="21">
        <v>0</v>
      </c>
      <c r="J2335" s="5">
        <v>710000000</v>
      </c>
      <c r="K2335" s="3" t="s">
        <v>89</v>
      </c>
      <c r="L2335" s="2" t="s">
        <v>754</v>
      </c>
      <c r="M2335" s="3" t="s">
        <v>787</v>
      </c>
      <c r="N2335" s="7" t="s">
        <v>92</v>
      </c>
      <c r="O2335" s="7" t="s">
        <v>93</v>
      </c>
      <c r="P2335" s="3" t="s">
        <v>673</v>
      </c>
      <c r="Q2335" s="8" t="s">
        <v>544</v>
      </c>
      <c r="R2335" s="7" t="s">
        <v>111</v>
      </c>
      <c r="S2335" s="9">
        <f>2+1+9+2+1+3+4</f>
        <v>22</v>
      </c>
      <c r="T2335" s="9">
        <v>2297.19</v>
      </c>
      <c r="U2335" s="9">
        <f t="shared" si="1697"/>
        <v>50538.18</v>
      </c>
      <c r="V2335" s="9">
        <f t="shared" si="1696"/>
        <v>56602.761600000005</v>
      </c>
      <c r="W2335" s="3"/>
      <c r="X2335" s="2">
        <v>2016</v>
      </c>
      <c r="Y2335" s="3"/>
    </row>
    <row r="2336" spans="1:25" s="20" customFormat="1" ht="89.25" customHeight="1" outlineLevel="1" x14ac:dyDescent="0.25">
      <c r="A2336" s="1"/>
      <c r="B2336" s="2" t="s">
        <v>6779</v>
      </c>
      <c r="C2336" s="3" t="s">
        <v>83</v>
      </c>
      <c r="D2336" s="3" t="s">
        <v>4461</v>
      </c>
      <c r="E2336" s="3" t="s">
        <v>4462</v>
      </c>
      <c r="F2336" s="3" t="s">
        <v>4463</v>
      </c>
      <c r="G2336" s="3" t="s">
        <v>4465</v>
      </c>
      <c r="H2336" s="2" t="s">
        <v>694</v>
      </c>
      <c r="I2336" s="21">
        <v>0</v>
      </c>
      <c r="J2336" s="5">
        <v>710000000</v>
      </c>
      <c r="K2336" s="3" t="s">
        <v>89</v>
      </c>
      <c r="L2336" s="2" t="s">
        <v>754</v>
      </c>
      <c r="M2336" s="3" t="s">
        <v>787</v>
      </c>
      <c r="N2336" s="7" t="s">
        <v>92</v>
      </c>
      <c r="O2336" s="7" t="s">
        <v>93</v>
      </c>
      <c r="P2336" s="3" t="s">
        <v>673</v>
      </c>
      <c r="Q2336" s="8" t="s">
        <v>544</v>
      </c>
      <c r="R2336" s="7" t="s">
        <v>111</v>
      </c>
      <c r="S2336" s="9">
        <f>2+6</f>
        <v>8</v>
      </c>
      <c r="T2336" s="9">
        <v>3827.81</v>
      </c>
      <c r="U2336" s="9">
        <v>0</v>
      </c>
      <c r="V2336" s="9">
        <f t="shared" si="1696"/>
        <v>0</v>
      </c>
      <c r="W2336" s="3"/>
      <c r="X2336" s="2">
        <v>2016</v>
      </c>
      <c r="Y2336" s="2" t="s">
        <v>9709</v>
      </c>
    </row>
    <row r="2337" spans="1:25" s="20" customFormat="1" ht="89.25" customHeight="1" outlineLevel="1" x14ac:dyDescent="0.25">
      <c r="A2337" s="1"/>
      <c r="B2337" s="2" t="s">
        <v>9736</v>
      </c>
      <c r="C2337" s="3" t="s">
        <v>83</v>
      </c>
      <c r="D2337" s="3" t="s">
        <v>4461</v>
      </c>
      <c r="E2337" s="3" t="s">
        <v>4462</v>
      </c>
      <c r="F2337" s="3" t="s">
        <v>4463</v>
      </c>
      <c r="G2337" s="3" t="s">
        <v>4465</v>
      </c>
      <c r="H2337" s="2" t="s">
        <v>694</v>
      </c>
      <c r="I2337" s="21">
        <v>0</v>
      </c>
      <c r="J2337" s="5">
        <v>710000000</v>
      </c>
      <c r="K2337" s="3" t="s">
        <v>89</v>
      </c>
      <c r="L2337" s="6" t="s">
        <v>9737</v>
      </c>
      <c r="M2337" s="6" t="s">
        <v>9720</v>
      </c>
      <c r="N2337" s="7" t="s">
        <v>92</v>
      </c>
      <c r="O2337" s="7" t="s">
        <v>93</v>
      </c>
      <c r="P2337" s="3" t="s">
        <v>673</v>
      </c>
      <c r="Q2337" s="8" t="s">
        <v>544</v>
      </c>
      <c r="R2337" s="7" t="s">
        <v>111</v>
      </c>
      <c r="S2337" s="9">
        <f>2+6+8</f>
        <v>16</v>
      </c>
      <c r="T2337" s="9">
        <v>3827.81</v>
      </c>
      <c r="U2337" s="9">
        <f t="shared" ref="U2337" si="1704">S2337*T2337</f>
        <v>61244.959999999999</v>
      </c>
      <c r="V2337" s="9">
        <f t="shared" ref="V2337" si="1705">U2337*1.12</f>
        <v>68594.355200000005</v>
      </c>
      <c r="W2337" s="3"/>
      <c r="X2337" s="2">
        <v>2016</v>
      </c>
      <c r="Y2337" s="3"/>
    </row>
    <row r="2338" spans="1:25" s="20" customFormat="1" ht="89.25" customHeight="1" outlineLevel="1" x14ac:dyDescent="0.25">
      <c r="A2338" s="1"/>
      <c r="B2338" s="2" t="s">
        <v>6780</v>
      </c>
      <c r="C2338" s="3" t="s">
        <v>83</v>
      </c>
      <c r="D2338" s="3" t="s">
        <v>4466</v>
      </c>
      <c r="E2338" s="3" t="s">
        <v>4467</v>
      </c>
      <c r="F2338" s="3" t="s">
        <v>4468</v>
      </c>
      <c r="G2338" s="3"/>
      <c r="H2338" s="2" t="s">
        <v>694</v>
      </c>
      <c r="I2338" s="21">
        <v>0</v>
      </c>
      <c r="J2338" s="5">
        <v>710000000</v>
      </c>
      <c r="K2338" s="3" t="s">
        <v>89</v>
      </c>
      <c r="L2338" s="2" t="s">
        <v>754</v>
      </c>
      <c r="M2338" s="3" t="s">
        <v>787</v>
      </c>
      <c r="N2338" s="7" t="s">
        <v>92</v>
      </c>
      <c r="O2338" s="7" t="s">
        <v>93</v>
      </c>
      <c r="P2338" s="3" t="s">
        <v>673</v>
      </c>
      <c r="Q2338" s="8">
        <v>796</v>
      </c>
      <c r="R2338" s="7" t="s">
        <v>118</v>
      </c>
      <c r="S2338" s="9">
        <f>1+2+1</f>
        <v>4</v>
      </c>
      <c r="T2338" s="9">
        <v>49107.14</v>
      </c>
      <c r="U2338" s="9">
        <v>0</v>
      </c>
      <c r="V2338" s="9">
        <f t="shared" si="1696"/>
        <v>0</v>
      </c>
      <c r="W2338" s="3"/>
      <c r="X2338" s="2">
        <v>2016</v>
      </c>
      <c r="Y2338" s="2" t="s">
        <v>9709</v>
      </c>
    </row>
    <row r="2339" spans="1:25" s="20" customFormat="1" ht="89.25" customHeight="1" outlineLevel="1" x14ac:dyDescent="0.25">
      <c r="A2339" s="1"/>
      <c r="B2339" s="2" t="s">
        <v>9784</v>
      </c>
      <c r="C2339" s="3" t="s">
        <v>83</v>
      </c>
      <c r="D2339" s="3" t="s">
        <v>4466</v>
      </c>
      <c r="E2339" s="3" t="s">
        <v>4467</v>
      </c>
      <c r="F2339" s="3" t="s">
        <v>4468</v>
      </c>
      <c r="G2339" s="3"/>
      <c r="H2339" s="2" t="s">
        <v>694</v>
      </c>
      <c r="I2339" s="21">
        <v>0</v>
      </c>
      <c r="J2339" s="5">
        <v>710000000</v>
      </c>
      <c r="K2339" s="3" t="s">
        <v>89</v>
      </c>
      <c r="L2339" s="6" t="s">
        <v>9737</v>
      </c>
      <c r="M2339" s="6" t="s">
        <v>9720</v>
      </c>
      <c r="N2339" s="7" t="s">
        <v>92</v>
      </c>
      <c r="O2339" s="7" t="s">
        <v>93</v>
      </c>
      <c r="P2339" s="3" t="s">
        <v>673</v>
      </c>
      <c r="Q2339" s="8">
        <v>796</v>
      </c>
      <c r="R2339" s="7" t="s">
        <v>118</v>
      </c>
      <c r="S2339" s="9">
        <f>1+2+1+2</f>
        <v>6</v>
      </c>
      <c r="T2339" s="9">
        <v>49107.14</v>
      </c>
      <c r="U2339" s="9">
        <f t="shared" ref="U2339" si="1706">S2339*T2339</f>
        <v>294642.83999999997</v>
      </c>
      <c r="V2339" s="9">
        <f t="shared" ref="V2339" si="1707">U2339*1.12</f>
        <v>329999.98080000002</v>
      </c>
      <c r="W2339" s="3"/>
      <c r="X2339" s="2">
        <v>2016</v>
      </c>
      <c r="Y2339" s="3"/>
    </row>
    <row r="2340" spans="1:25" s="20" customFormat="1" ht="89.25" customHeight="1" outlineLevel="1" x14ac:dyDescent="0.25">
      <c r="A2340" s="1"/>
      <c r="B2340" s="2" t="s">
        <v>6781</v>
      </c>
      <c r="C2340" s="3" t="s">
        <v>83</v>
      </c>
      <c r="D2340" s="3" t="s">
        <v>4469</v>
      </c>
      <c r="E2340" s="3" t="s">
        <v>4470</v>
      </c>
      <c r="F2340" s="3" t="s">
        <v>4471</v>
      </c>
      <c r="G2340" s="3" t="s">
        <v>4472</v>
      </c>
      <c r="H2340" s="2" t="s">
        <v>694</v>
      </c>
      <c r="I2340" s="21">
        <v>0</v>
      </c>
      <c r="J2340" s="5">
        <v>710000000</v>
      </c>
      <c r="K2340" s="3" t="s">
        <v>89</v>
      </c>
      <c r="L2340" s="2" t="s">
        <v>754</v>
      </c>
      <c r="M2340" s="3" t="s">
        <v>787</v>
      </c>
      <c r="N2340" s="7" t="s">
        <v>92</v>
      </c>
      <c r="O2340" s="7" t="s">
        <v>93</v>
      </c>
      <c r="P2340" s="3" t="s">
        <v>673</v>
      </c>
      <c r="Q2340" s="8" t="s">
        <v>2439</v>
      </c>
      <c r="R2340" s="7" t="s">
        <v>2440</v>
      </c>
      <c r="S2340" s="9">
        <f>20+15+15+20+5</f>
        <v>75</v>
      </c>
      <c r="T2340" s="9">
        <v>102.23</v>
      </c>
      <c r="U2340" s="9">
        <f t="shared" si="1697"/>
        <v>7667.25</v>
      </c>
      <c r="V2340" s="9">
        <f t="shared" si="1696"/>
        <v>8587.3200000000015</v>
      </c>
      <c r="W2340" s="3"/>
      <c r="X2340" s="2">
        <v>2016</v>
      </c>
      <c r="Y2340" s="3"/>
    </row>
    <row r="2341" spans="1:25" s="20" customFormat="1" ht="89.25" customHeight="1" outlineLevel="1" x14ac:dyDescent="0.25">
      <c r="A2341" s="1"/>
      <c r="B2341" s="2" t="s">
        <v>6782</v>
      </c>
      <c r="C2341" s="3" t="s">
        <v>83</v>
      </c>
      <c r="D2341" s="3" t="s">
        <v>4473</v>
      </c>
      <c r="E2341" s="3" t="s">
        <v>4474</v>
      </c>
      <c r="F2341" s="3" t="s">
        <v>4475</v>
      </c>
      <c r="G2341" s="3"/>
      <c r="H2341" s="2" t="s">
        <v>694</v>
      </c>
      <c r="I2341" s="21">
        <v>0</v>
      </c>
      <c r="J2341" s="5">
        <v>710000000</v>
      </c>
      <c r="K2341" s="3" t="s">
        <v>89</v>
      </c>
      <c r="L2341" s="2" t="s">
        <v>754</v>
      </c>
      <c r="M2341" s="3" t="s">
        <v>787</v>
      </c>
      <c r="N2341" s="7" t="s">
        <v>92</v>
      </c>
      <c r="O2341" s="7" t="s">
        <v>93</v>
      </c>
      <c r="P2341" s="3" t="s">
        <v>673</v>
      </c>
      <c r="Q2341" s="8" t="s">
        <v>544</v>
      </c>
      <c r="R2341" s="7" t="s">
        <v>111</v>
      </c>
      <c r="S2341" s="9">
        <f>2.8+1+3+0.3+0.3+0.3</f>
        <v>7.6999999999999993</v>
      </c>
      <c r="T2341" s="9">
        <v>995.89</v>
      </c>
      <c r="U2341" s="9">
        <f t="shared" si="1697"/>
        <v>7668.3529999999992</v>
      </c>
      <c r="V2341" s="9">
        <f t="shared" si="1696"/>
        <v>8588.5553600000003</v>
      </c>
      <c r="W2341" s="3"/>
      <c r="X2341" s="2">
        <v>2016</v>
      </c>
      <c r="Y2341" s="3"/>
    </row>
    <row r="2342" spans="1:25" s="20" customFormat="1" ht="89.25" customHeight="1" outlineLevel="1" x14ac:dyDescent="0.25">
      <c r="A2342" s="1"/>
      <c r="B2342" s="2" t="s">
        <v>6783</v>
      </c>
      <c r="C2342" s="3" t="s">
        <v>83</v>
      </c>
      <c r="D2342" s="3" t="s">
        <v>4476</v>
      </c>
      <c r="E2342" s="3" t="s">
        <v>3089</v>
      </c>
      <c r="F2342" s="3" t="s">
        <v>4477</v>
      </c>
      <c r="G2342" s="3" t="s">
        <v>4478</v>
      </c>
      <c r="H2342" s="2" t="s">
        <v>694</v>
      </c>
      <c r="I2342" s="21">
        <v>0</v>
      </c>
      <c r="J2342" s="5">
        <v>710000000</v>
      </c>
      <c r="K2342" s="3" t="s">
        <v>89</v>
      </c>
      <c r="L2342" s="2" t="s">
        <v>754</v>
      </c>
      <c r="M2342" s="3" t="s">
        <v>787</v>
      </c>
      <c r="N2342" s="7" t="s">
        <v>92</v>
      </c>
      <c r="O2342" s="7" t="s">
        <v>93</v>
      </c>
      <c r="P2342" s="3" t="s">
        <v>673</v>
      </c>
      <c r="Q2342" s="8">
        <v>796</v>
      </c>
      <c r="R2342" s="7" t="s">
        <v>118</v>
      </c>
      <c r="S2342" s="9">
        <f>16+17+1</f>
        <v>34</v>
      </c>
      <c r="T2342" s="9">
        <v>6360.54</v>
      </c>
      <c r="U2342" s="9">
        <f t="shared" si="1697"/>
        <v>216258.36</v>
      </c>
      <c r="V2342" s="9">
        <f t="shared" ref="V2342:V2413" si="1708">U2342*1.12</f>
        <v>242209.36320000002</v>
      </c>
      <c r="W2342" s="3"/>
      <c r="X2342" s="2">
        <v>2016</v>
      </c>
      <c r="Y2342" s="3"/>
    </row>
    <row r="2343" spans="1:25" s="20" customFormat="1" ht="127.5" customHeight="1" outlineLevel="1" x14ac:dyDescent="0.25">
      <c r="A2343" s="1"/>
      <c r="B2343" s="2" t="s">
        <v>6784</v>
      </c>
      <c r="C2343" s="3" t="s">
        <v>83</v>
      </c>
      <c r="D2343" s="3" t="s">
        <v>4479</v>
      </c>
      <c r="E2343" s="3" t="s">
        <v>4480</v>
      </c>
      <c r="F2343" s="3" t="s">
        <v>4481</v>
      </c>
      <c r="G2343" s="3" t="s">
        <v>4482</v>
      </c>
      <c r="H2343" s="2" t="s">
        <v>694</v>
      </c>
      <c r="I2343" s="21">
        <v>0</v>
      </c>
      <c r="J2343" s="5">
        <v>710000000</v>
      </c>
      <c r="K2343" s="3" t="s">
        <v>89</v>
      </c>
      <c r="L2343" s="2" t="s">
        <v>754</v>
      </c>
      <c r="M2343" s="3" t="s">
        <v>787</v>
      </c>
      <c r="N2343" s="7" t="s">
        <v>92</v>
      </c>
      <c r="O2343" s="7" t="s">
        <v>93</v>
      </c>
      <c r="P2343" s="3" t="s">
        <v>673</v>
      </c>
      <c r="Q2343" s="8">
        <v>796</v>
      </c>
      <c r="R2343" s="7" t="s">
        <v>118</v>
      </c>
      <c r="S2343" s="9">
        <v>4</v>
      </c>
      <c r="T2343" s="9">
        <v>76116.070000000007</v>
      </c>
      <c r="U2343" s="9">
        <f t="shared" si="1697"/>
        <v>304464.28000000003</v>
      </c>
      <c r="V2343" s="9">
        <f t="shared" si="1708"/>
        <v>340999.99360000005</v>
      </c>
      <c r="W2343" s="3"/>
      <c r="X2343" s="2">
        <v>2016</v>
      </c>
      <c r="Y2343" s="3"/>
    </row>
    <row r="2344" spans="1:25" s="20" customFormat="1" ht="89.25" customHeight="1" outlineLevel="1" x14ac:dyDescent="0.25">
      <c r="A2344" s="1"/>
      <c r="B2344" s="2" t="s">
        <v>6785</v>
      </c>
      <c r="C2344" s="3" t="s">
        <v>83</v>
      </c>
      <c r="D2344" s="3" t="s">
        <v>4483</v>
      </c>
      <c r="E2344" s="3" t="s">
        <v>4480</v>
      </c>
      <c r="F2344" s="3" t="s">
        <v>4484</v>
      </c>
      <c r="G2344" s="3" t="s">
        <v>4485</v>
      </c>
      <c r="H2344" s="2" t="s">
        <v>694</v>
      </c>
      <c r="I2344" s="21">
        <v>0</v>
      </c>
      <c r="J2344" s="5">
        <v>710000000</v>
      </c>
      <c r="K2344" s="3" t="s">
        <v>89</v>
      </c>
      <c r="L2344" s="2" t="s">
        <v>754</v>
      </c>
      <c r="M2344" s="3" t="s">
        <v>787</v>
      </c>
      <c r="N2344" s="7" t="s">
        <v>92</v>
      </c>
      <c r="O2344" s="7" t="s">
        <v>93</v>
      </c>
      <c r="P2344" s="3" t="s">
        <v>673</v>
      </c>
      <c r="Q2344" s="8">
        <v>796</v>
      </c>
      <c r="R2344" s="7" t="s">
        <v>118</v>
      </c>
      <c r="S2344" s="9">
        <v>2</v>
      </c>
      <c r="T2344" s="9">
        <v>10125.89</v>
      </c>
      <c r="U2344" s="9">
        <f t="shared" si="1697"/>
        <v>20251.78</v>
      </c>
      <c r="V2344" s="9">
        <f t="shared" si="1708"/>
        <v>22681.993600000002</v>
      </c>
      <c r="W2344" s="3"/>
      <c r="X2344" s="2">
        <v>2016</v>
      </c>
      <c r="Y2344" s="3"/>
    </row>
    <row r="2345" spans="1:25" s="20" customFormat="1" ht="89.25" customHeight="1" outlineLevel="1" x14ac:dyDescent="0.25">
      <c r="A2345" s="1"/>
      <c r="B2345" s="2" t="s">
        <v>6786</v>
      </c>
      <c r="C2345" s="3" t="s">
        <v>83</v>
      </c>
      <c r="D2345" s="3" t="s">
        <v>4486</v>
      </c>
      <c r="E2345" s="3" t="s">
        <v>4487</v>
      </c>
      <c r="F2345" s="3" t="s">
        <v>4488</v>
      </c>
      <c r="G2345" s="3" t="s">
        <v>4489</v>
      </c>
      <c r="H2345" s="2" t="s">
        <v>694</v>
      </c>
      <c r="I2345" s="21">
        <v>0</v>
      </c>
      <c r="J2345" s="5">
        <v>710000000</v>
      </c>
      <c r="K2345" s="3" t="s">
        <v>89</v>
      </c>
      <c r="L2345" s="2" t="s">
        <v>754</v>
      </c>
      <c r="M2345" s="3" t="s">
        <v>787</v>
      </c>
      <c r="N2345" s="7" t="s">
        <v>92</v>
      </c>
      <c r="O2345" s="7" t="s">
        <v>93</v>
      </c>
      <c r="P2345" s="3" t="s">
        <v>673</v>
      </c>
      <c r="Q2345" s="8">
        <v>796</v>
      </c>
      <c r="R2345" s="7" t="s">
        <v>118</v>
      </c>
      <c r="S2345" s="9">
        <v>1</v>
      </c>
      <c r="T2345" s="9">
        <v>94794</v>
      </c>
      <c r="U2345" s="9">
        <f t="shared" si="1697"/>
        <v>94794</v>
      </c>
      <c r="V2345" s="9">
        <f t="shared" si="1708"/>
        <v>106169.28000000001</v>
      </c>
      <c r="W2345" s="3"/>
      <c r="X2345" s="2">
        <v>2016</v>
      </c>
      <c r="Y2345" s="3"/>
    </row>
    <row r="2346" spans="1:25" s="20" customFormat="1" ht="89.25" customHeight="1" outlineLevel="1" x14ac:dyDescent="0.25">
      <c r="A2346" s="1"/>
      <c r="B2346" s="2" t="s">
        <v>6787</v>
      </c>
      <c r="C2346" s="3" t="s">
        <v>83</v>
      </c>
      <c r="D2346" s="3" t="s">
        <v>4490</v>
      </c>
      <c r="E2346" s="3" t="s">
        <v>4491</v>
      </c>
      <c r="F2346" s="3" t="s">
        <v>4492</v>
      </c>
      <c r="G2346" s="19" t="s">
        <v>4493</v>
      </c>
      <c r="H2346" s="2" t="s">
        <v>694</v>
      </c>
      <c r="I2346" s="4">
        <v>0</v>
      </c>
      <c r="J2346" s="5">
        <v>710000000</v>
      </c>
      <c r="K2346" s="5" t="s">
        <v>89</v>
      </c>
      <c r="L2346" s="2" t="s">
        <v>754</v>
      </c>
      <c r="M2346" s="6" t="s">
        <v>787</v>
      </c>
      <c r="N2346" s="7" t="s">
        <v>92</v>
      </c>
      <c r="O2346" s="7" t="s">
        <v>93</v>
      </c>
      <c r="P2346" s="3" t="s">
        <v>673</v>
      </c>
      <c r="Q2346" s="8">
        <v>796</v>
      </c>
      <c r="R2346" s="7" t="s">
        <v>118</v>
      </c>
      <c r="S2346" s="9">
        <f>5+7+1</f>
        <v>13</v>
      </c>
      <c r="T2346" s="9">
        <v>15537.99</v>
      </c>
      <c r="U2346" s="9">
        <f t="shared" ref="U2346:U2351" si="1709">T2346*S2346</f>
        <v>201993.87</v>
      </c>
      <c r="V2346" s="9">
        <f t="shared" si="1708"/>
        <v>226233.13440000001</v>
      </c>
      <c r="W2346" s="7"/>
      <c r="X2346" s="2">
        <v>2016</v>
      </c>
      <c r="Y2346" s="2"/>
    </row>
    <row r="2347" spans="1:25" s="20" customFormat="1" ht="89.25" customHeight="1" outlineLevel="1" x14ac:dyDescent="0.25">
      <c r="A2347" s="1"/>
      <c r="B2347" s="2" t="s">
        <v>6788</v>
      </c>
      <c r="C2347" s="3" t="s">
        <v>83</v>
      </c>
      <c r="D2347" s="3" t="s">
        <v>4494</v>
      </c>
      <c r="E2347" s="3" t="s">
        <v>4495</v>
      </c>
      <c r="F2347" s="3" t="s">
        <v>4496</v>
      </c>
      <c r="G2347" s="19" t="s">
        <v>4497</v>
      </c>
      <c r="H2347" s="2" t="s">
        <v>694</v>
      </c>
      <c r="I2347" s="4">
        <v>0</v>
      </c>
      <c r="J2347" s="5">
        <v>710000000</v>
      </c>
      <c r="K2347" s="5" t="s">
        <v>89</v>
      </c>
      <c r="L2347" s="2" t="s">
        <v>754</v>
      </c>
      <c r="M2347" s="6" t="s">
        <v>787</v>
      </c>
      <c r="N2347" s="7" t="s">
        <v>92</v>
      </c>
      <c r="O2347" s="7" t="s">
        <v>93</v>
      </c>
      <c r="P2347" s="3" t="s">
        <v>673</v>
      </c>
      <c r="Q2347" s="8">
        <v>796</v>
      </c>
      <c r="R2347" s="7" t="s">
        <v>118</v>
      </c>
      <c r="S2347" s="9">
        <f>1+2</f>
        <v>3</v>
      </c>
      <c r="T2347" s="9">
        <v>7767.2</v>
      </c>
      <c r="U2347" s="9">
        <f t="shared" si="1709"/>
        <v>23301.599999999999</v>
      </c>
      <c r="V2347" s="9">
        <f t="shared" si="1708"/>
        <v>26097.792000000001</v>
      </c>
      <c r="W2347" s="7"/>
      <c r="X2347" s="2">
        <v>2016</v>
      </c>
      <c r="Y2347" s="2"/>
    </row>
    <row r="2348" spans="1:25" s="11" customFormat="1" ht="89.25" customHeight="1" outlineLevel="1" x14ac:dyDescent="0.25">
      <c r="A2348" s="1"/>
      <c r="B2348" s="2" t="s">
        <v>6789</v>
      </c>
      <c r="C2348" s="3" t="s">
        <v>83</v>
      </c>
      <c r="D2348" s="3" t="s">
        <v>4498</v>
      </c>
      <c r="E2348" s="3" t="s">
        <v>1014</v>
      </c>
      <c r="F2348" s="3" t="s">
        <v>4499</v>
      </c>
      <c r="G2348" s="19" t="s">
        <v>4500</v>
      </c>
      <c r="H2348" s="2" t="s">
        <v>694</v>
      </c>
      <c r="I2348" s="21">
        <v>0</v>
      </c>
      <c r="J2348" s="5">
        <v>710000000</v>
      </c>
      <c r="K2348" s="3" t="s">
        <v>89</v>
      </c>
      <c r="L2348" s="2" t="s">
        <v>754</v>
      </c>
      <c r="M2348" s="3" t="s">
        <v>787</v>
      </c>
      <c r="N2348" s="7" t="s">
        <v>92</v>
      </c>
      <c r="O2348" s="7" t="s">
        <v>93</v>
      </c>
      <c r="P2348" s="3" t="s">
        <v>673</v>
      </c>
      <c r="Q2348" s="8">
        <v>796</v>
      </c>
      <c r="R2348" s="7" t="s">
        <v>118</v>
      </c>
      <c r="S2348" s="9">
        <f>66+5+35+4+8+4</f>
        <v>122</v>
      </c>
      <c r="T2348" s="9">
        <v>133.93</v>
      </c>
      <c r="U2348" s="9">
        <f t="shared" si="1709"/>
        <v>16339.460000000001</v>
      </c>
      <c r="V2348" s="9">
        <f t="shared" si="1708"/>
        <v>18300.195200000002</v>
      </c>
      <c r="W2348" s="3"/>
      <c r="X2348" s="2">
        <v>2016</v>
      </c>
      <c r="Y2348" s="3"/>
    </row>
    <row r="2349" spans="1:25" s="11" customFormat="1" ht="89.25" customHeight="1" outlineLevel="1" x14ac:dyDescent="0.25">
      <c r="A2349" s="1"/>
      <c r="B2349" s="2" t="s">
        <v>6790</v>
      </c>
      <c r="C2349" s="3" t="s">
        <v>83</v>
      </c>
      <c r="D2349" s="3" t="s">
        <v>4501</v>
      </c>
      <c r="E2349" s="3" t="s">
        <v>4502</v>
      </c>
      <c r="F2349" s="3" t="s">
        <v>4503</v>
      </c>
      <c r="G2349" s="19" t="s">
        <v>4504</v>
      </c>
      <c r="H2349" s="2" t="s">
        <v>694</v>
      </c>
      <c r="I2349" s="21">
        <v>0</v>
      </c>
      <c r="J2349" s="5">
        <v>710000000</v>
      </c>
      <c r="K2349" s="3" t="s">
        <v>89</v>
      </c>
      <c r="L2349" s="2" t="s">
        <v>754</v>
      </c>
      <c r="M2349" s="3" t="s">
        <v>787</v>
      </c>
      <c r="N2349" s="7" t="s">
        <v>92</v>
      </c>
      <c r="O2349" s="7" t="s">
        <v>93</v>
      </c>
      <c r="P2349" s="3" t="s">
        <v>673</v>
      </c>
      <c r="Q2349" s="8">
        <v>796</v>
      </c>
      <c r="R2349" s="7" t="s">
        <v>118</v>
      </c>
      <c r="S2349" s="9">
        <f>1+1</f>
        <v>2</v>
      </c>
      <c r="T2349" s="9">
        <v>6468.47</v>
      </c>
      <c r="U2349" s="9">
        <f t="shared" si="1709"/>
        <v>12936.94</v>
      </c>
      <c r="V2349" s="9">
        <f t="shared" si="1708"/>
        <v>14489.372800000003</v>
      </c>
      <c r="W2349" s="3"/>
      <c r="X2349" s="2">
        <v>2016</v>
      </c>
      <c r="Y2349" s="3"/>
    </row>
    <row r="2350" spans="1:25" s="11" customFormat="1" ht="89.25" customHeight="1" outlineLevel="1" x14ac:dyDescent="0.25">
      <c r="A2350" s="1"/>
      <c r="B2350" s="2" t="s">
        <v>6791</v>
      </c>
      <c r="C2350" s="3" t="s">
        <v>83</v>
      </c>
      <c r="D2350" s="3" t="s">
        <v>4505</v>
      </c>
      <c r="E2350" s="3" t="s">
        <v>4506</v>
      </c>
      <c r="F2350" s="3" t="s">
        <v>4507</v>
      </c>
      <c r="G2350" s="19" t="s">
        <v>4508</v>
      </c>
      <c r="H2350" s="2" t="s">
        <v>694</v>
      </c>
      <c r="I2350" s="21">
        <v>0</v>
      </c>
      <c r="J2350" s="5">
        <v>710000000</v>
      </c>
      <c r="K2350" s="3" t="s">
        <v>89</v>
      </c>
      <c r="L2350" s="2" t="s">
        <v>754</v>
      </c>
      <c r="M2350" s="3" t="s">
        <v>787</v>
      </c>
      <c r="N2350" s="7" t="s">
        <v>92</v>
      </c>
      <c r="O2350" s="7" t="s">
        <v>93</v>
      </c>
      <c r="P2350" s="3" t="s">
        <v>673</v>
      </c>
      <c r="Q2350" s="8">
        <v>796</v>
      </c>
      <c r="R2350" s="7" t="s">
        <v>118</v>
      </c>
      <c r="S2350" s="9">
        <f>1+1</f>
        <v>2</v>
      </c>
      <c r="T2350" s="9">
        <v>9674.18</v>
      </c>
      <c r="U2350" s="9">
        <f t="shared" si="1709"/>
        <v>19348.36</v>
      </c>
      <c r="V2350" s="9">
        <f t="shared" si="1708"/>
        <v>21670.163200000003</v>
      </c>
      <c r="W2350" s="3"/>
      <c r="X2350" s="2">
        <v>2016</v>
      </c>
      <c r="Y2350" s="3"/>
    </row>
    <row r="2351" spans="1:25" s="11" customFormat="1" ht="89.25" customHeight="1" outlineLevel="1" x14ac:dyDescent="0.25">
      <c r="A2351" s="1"/>
      <c r="B2351" s="2" t="s">
        <v>6792</v>
      </c>
      <c r="C2351" s="3" t="s">
        <v>83</v>
      </c>
      <c r="D2351" s="3" t="s">
        <v>4509</v>
      </c>
      <c r="E2351" s="3" t="s">
        <v>4510</v>
      </c>
      <c r="F2351" s="3" t="s">
        <v>4511</v>
      </c>
      <c r="G2351" s="19" t="s">
        <v>4512</v>
      </c>
      <c r="H2351" s="2" t="s">
        <v>694</v>
      </c>
      <c r="I2351" s="4">
        <v>0</v>
      </c>
      <c r="J2351" s="5">
        <v>710000000</v>
      </c>
      <c r="K2351" s="5" t="s">
        <v>89</v>
      </c>
      <c r="L2351" s="2" t="s">
        <v>754</v>
      </c>
      <c r="M2351" s="6" t="s">
        <v>787</v>
      </c>
      <c r="N2351" s="7" t="s">
        <v>92</v>
      </c>
      <c r="O2351" s="7" t="s">
        <v>93</v>
      </c>
      <c r="P2351" s="3" t="s">
        <v>673</v>
      </c>
      <c r="Q2351" s="8" t="s">
        <v>544</v>
      </c>
      <c r="R2351" s="7" t="s">
        <v>111</v>
      </c>
      <c r="S2351" s="9">
        <f>50+15+185+5+25</f>
        <v>280</v>
      </c>
      <c r="T2351" s="9">
        <v>258.93</v>
      </c>
      <c r="U2351" s="9">
        <f t="shared" si="1709"/>
        <v>72500.400000000009</v>
      </c>
      <c r="V2351" s="9">
        <f t="shared" si="1708"/>
        <v>81200.448000000019</v>
      </c>
      <c r="W2351" s="7"/>
      <c r="X2351" s="2">
        <v>2016</v>
      </c>
      <c r="Y2351" s="2"/>
    </row>
    <row r="2352" spans="1:25" s="11" customFormat="1" ht="89.25" customHeight="1" outlineLevel="1" x14ac:dyDescent="0.25">
      <c r="A2352" s="1"/>
      <c r="B2352" s="2" t="s">
        <v>6793</v>
      </c>
      <c r="C2352" s="3" t="s">
        <v>83</v>
      </c>
      <c r="D2352" s="3" t="s">
        <v>4466</v>
      </c>
      <c r="E2352" s="3" t="s">
        <v>4467</v>
      </c>
      <c r="F2352" s="3" t="s">
        <v>4468</v>
      </c>
      <c r="G2352" s="3"/>
      <c r="H2352" s="2" t="s">
        <v>694</v>
      </c>
      <c r="I2352" s="21">
        <v>0</v>
      </c>
      <c r="J2352" s="5">
        <v>710000000</v>
      </c>
      <c r="K2352" s="3" t="s">
        <v>89</v>
      </c>
      <c r="L2352" s="2" t="s">
        <v>754</v>
      </c>
      <c r="M2352" s="3" t="s">
        <v>787</v>
      </c>
      <c r="N2352" s="7" t="s">
        <v>92</v>
      </c>
      <c r="O2352" s="7" t="s">
        <v>93</v>
      </c>
      <c r="P2352" s="3" t="s">
        <v>673</v>
      </c>
      <c r="Q2352" s="8">
        <v>796</v>
      </c>
      <c r="R2352" s="7" t="s">
        <v>118</v>
      </c>
      <c r="S2352" s="9">
        <v>1</v>
      </c>
      <c r="T2352" s="9">
        <v>49107.14</v>
      </c>
      <c r="U2352" s="9">
        <f t="shared" ref="U2352:U2396" si="1710">S2352*T2352</f>
        <v>49107.14</v>
      </c>
      <c r="V2352" s="9">
        <f t="shared" si="1708"/>
        <v>54999.996800000008</v>
      </c>
      <c r="W2352" s="3"/>
      <c r="X2352" s="2">
        <v>2016</v>
      </c>
      <c r="Y2352" s="3"/>
    </row>
    <row r="2353" spans="1:25" s="20" customFormat="1" ht="89.25" customHeight="1" outlineLevel="1" x14ac:dyDescent="0.25">
      <c r="A2353" s="1"/>
      <c r="B2353" s="2" t="s">
        <v>6794</v>
      </c>
      <c r="C2353" s="3" t="s">
        <v>83</v>
      </c>
      <c r="D2353" s="3" t="s">
        <v>4513</v>
      </c>
      <c r="E2353" s="3" t="s">
        <v>4514</v>
      </c>
      <c r="F2353" s="3" t="s">
        <v>4515</v>
      </c>
      <c r="G2353" s="3"/>
      <c r="H2353" s="2" t="s">
        <v>694</v>
      </c>
      <c r="I2353" s="21">
        <v>0</v>
      </c>
      <c r="J2353" s="5">
        <v>710000000</v>
      </c>
      <c r="K2353" s="3" t="s">
        <v>89</v>
      </c>
      <c r="L2353" s="2" t="s">
        <v>754</v>
      </c>
      <c r="M2353" s="3" t="s">
        <v>787</v>
      </c>
      <c r="N2353" s="7" t="s">
        <v>92</v>
      </c>
      <c r="O2353" s="7" t="s">
        <v>93</v>
      </c>
      <c r="P2353" s="3" t="s">
        <v>673</v>
      </c>
      <c r="Q2353" s="8" t="s">
        <v>3208</v>
      </c>
      <c r="R2353" s="7" t="s">
        <v>3209</v>
      </c>
      <c r="S2353" s="9">
        <f>3+4</f>
        <v>7</v>
      </c>
      <c r="T2353" s="9">
        <v>5357.14</v>
      </c>
      <c r="U2353" s="9">
        <v>0</v>
      </c>
      <c r="V2353" s="9">
        <f t="shared" si="1708"/>
        <v>0</v>
      </c>
      <c r="W2353" s="3"/>
      <c r="X2353" s="2">
        <v>2016</v>
      </c>
      <c r="Y2353" s="3" t="s">
        <v>2339</v>
      </c>
    </row>
    <row r="2354" spans="1:25" s="20" customFormat="1" ht="89.25" customHeight="1" outlineLevel="1" x14ac:dyDescent="0.25">
      <c r="A2354" s="1"/>
      <c r="B2354" s="2" t="s">
        <v>8691</v>
      </c>
      <c r="C2354" s="3" t="s">
        <v>83</v>
      </c>
      <c r="D2354" s="3" t="s">
        <v>4513</v>
      </c>
      <c r="E2354" s="3" t="s">
        <v>4514</v>
      </c>
      <c r="F2354" s="3" t="s">
        <v>4515</v>
      </c>
      <c r="G2354" s="3"/>
      <c r="H2354" s="2" t="s">
        <v>694</v>
      </c>
      <c r="I2354" s="21">
        <v>0</v>
      </c>
      <c r="J2354" s="5">
        <v>710000000</v>
      </c>
      <c r="K2354" s="3" t="s">
        <v>89</v>
      </c>
      <c r="L2354" s="2" t="s">
        <v>1735</v>
      </c>
      <c r="M2354" s="3" t="s">
        <v>787</v>
      </c>
      <c r="N2354" s="7" t="s">
        <v>92</v>
      </c>
      <c r="O2354" s="7" t="s">
        <v>93</v>
      </c>
      <c r="P2354" s="3" t="s">
        <v>673</v>
      </c>
      <c r="Q2354" s="8" t="s">
        <v>3208</v>
      </c>
      <c r="R2354" s="7" t="s">
        <v>3209</v>
      </c>
      <c r="S2354" s="9">
        <f>3+4+1</f>
        <v>8</v>
      </c>
      <c r="T2354" s="9">
        <v>6408.07</v>
      </c>
      <c r="U2354" s="9">
        <v>0</v>
      </c>
      <c r="V2354" s="9">
        <f t="shared" ref="V2354" si="1711">U2354*1.12</f>
        <v>0</v>
      </c>
      <c r="W2354" s="3"/>
      <c r="X2354" s="2">
        <v>2016</v>
      </c>
      <c r="Y2354" s="3" t="s">
        <v>8944</v>
      </c>
    </row>
    <row r="2355" spans="1:25" s="20" customFormat="1" ht="89.25" customHeight="1" outlineLevel="1" x14ac:dyDescent="0.25">
      <c r="A2355" s="1"/>
      <c r="B2355" s="2" t="s">
        <v>8863</v>
      </c>
      <c r="C2355" s="3" t="s">
        <v>83</v>
      </c>
      <c r="D2355" s="3" t="s">
        <v>4513</v>
      </c>
      <c r="E2355" s="3" t="s">
        <v>4514</v>
      </c>
      <c r="F2355" s="3" t="s">
        <v>4515</v>
      </c>
      <c r="G2355" s="3"/>
      <c r="H2355" s="2" t="s">
        <v>765</v>
      </c>
      <c r="I2355" s="21">
        <v>0</v>
      </c>
      <c r="J2355" s="5">
        <v>710000000</v>
      </c>
      <c r="K2355" s="3" t="s">
        <v>89</v>
      </c>
      <c r="L2355" s="2" t="s">
        <v>8864</v>
      </c>
      <c r="M2355" s="3" t="s">
        <v>1481</v>
      </c>
      <c r="N2355" s="7" t="s">
        <v>92</v>
      </c>
      <c r="O2355" s="7" t="s">
        <v>93</v>
      </c>
      <c r="P2355" s="3" t="s">
        <v>673</v>
      </c>
      <c r="Q2355" s="8" t="s">
        <v>3208</v>
      </c>
      <c r="R2355" s="7" t="s">
        <v>3209</v>
      </c>
      <c r="S2355" s="9">
        <f>3+4+1</f>
        <v>8</v>
      </c>
      <c r="T2355" s="9">
        <v>6408.07</v>
      </c>
      <c r="U2355" s="9">
        <f t="shared" ref="U2355" si="1712">S2355*T2355</f>
        <v>51264.56</v>
      </c>
      <c r="V2355" s="9">
        <f t="shared" ref="V2355" si="1713">U2355*1.12</f>
        <v>57416.307200000003</v>
      </c>
      <c r="W2355" s="3"/>
      <c r="X2355" s="2">
        <v>2016</v>
      </c>
      <c r="Y2355" s="3"/>
    </row>
    <row r="2356" spans="1:25" s="20" customFormat="1" ht="89.25" customHeight="1" outlineLevel="1" x14ac:dyDescent="0.25">
      <c r="A2356" s="1"/>
      <c r="B2356" s="2" t="s">
        <v>6795</v>
      </c>
      <c r="C2356" s="3" t="s">
        <v>83</v>
      </c>
      <c r="D2356" s="3" t="s">
        <v>4516</v>
      </c>
      <c r="E2356" s="3" t="s">
        <v>4517</v>
      </c>
      <c r="F2356" s="3" t="s">
        <v>4518</v>
      </c>
      <c r="G2356" s="3"/>
      <c r="H2356" s="2" t="s">
        <v>694</v>
      </c>
      <c r="I2356" s="21">
        <v>0</v>
      </c>
      <c r="J2356" s="5">
        <v>710000000</v>
      </c>
      <c r="K2356" s="3" t="s">
        <v>89</v>
      </c>
      <c r="L2356" s="2" t="s">
        <v>754</v>
      </c>
      <c r="M2356" s="3" t="s">
        <v>787</v>
      </c>
      <c r="N2356" s="7" t="s">
        <v>92</v>
      </c>
      <c r="O2356" s="7" t="s">
        <v>93</v>
      </c>
      <c r="P2356" s="3" t="s">
        <v>673</v>
      </c>
      <c r="Q2356" s="8" t="s">
        <v>3208</v>
      </c>
      <c r="R2356" s="7" t="s">
        <v>3209</v>
      </c>
      <c r="S2356" s="9">
        <f>3+6+5+3</f>
        <v>17</v>
      </c>
      <c r="T2356" s="9">
        <v>1339.29</v>
      </c>
      <c r="U2356" s="9">
        <f t="shared" si="1710"/>
        <v>22767.93</v>
      </c>
      <c r="V2356" s="9">
        <f t="shared" si="1708"/>
        <v>25500.081600000001</v>
      </c>
      <c r="W2356" s="3"/>
      <c r="X2356" s="2">
        <v>2016</v>
      </c>
      <c r="Y2356" s="3"/>
    </row>
    <row r="2357" spans="1:25" s="20" customFormat="1" ht="89.25" customHeight="1" outlineLevel="1" x14ac:dyDescent="0.25">
      <c r="A2357" s="1"/>
      <c r="B2357" s="2" t="s">
        <v>6796</v>
      </c>
      <c r="C2357" s="3" t="s">
        <v>83</v>
      </c>
      <c r="D2357" s="3" t="s">
        <v>4519</v>
      </c>
      <c r="E2357" s="3" t="s">
        <v>121</v>
      </c>
      <c r="F2357" s="3" t="s">
        <v>4520</v>
      </c>
      <c r="G2357" s="3"/>
      <c r="H2357" s="2" t="s">
        <v>694</v>
      </c>
      <c r="I2357" s="21">
        <v>0</v>
      </c>
      <c r="J2357" s="5">
        <v>710000000</v>
      </c>
      <c r="K2357" s="3" t="s">
        <v>89</v>
      </c>
      <c r="L2357" s="2" t="s">
        <v>754</v>
      </c>
      <c r="M2357" s="3" t="s">
        <v>787</v>
      </c>
      <c r="N2357" s="7" t="s">
        <v>92</v>
      </c>
      <c r="O2357" s="7" t="s">
        <v>93</v>
      </c>
      <c r="P2357" s="3" t="s">
        <v>673</v>
      </c>
      <c r="Q2357" s="8" t="s">
        <v>544</v>
      </c>
      <c r="R2357" s="7" t="s">
        <v>111</v>
      </c>
      <c r="S2357" s="9">
        <f>11+90+22</f>
        <v>123</v>
      </c>
      <c r="T2357" s="9">
        <v>5357.14</v>
      </c>
      <c r="U2357" s="9">
        <f t="shared" si="1710"/>
        <v>658928.22000000009</v>
      </c>
      <c r="V2357" s="9">
        <f t="shared" si="1708"/>
        <v>737999.60640000016</v>
      </c>
      <c r="W2357" s="3"/>
      <c r="X2357" s="2">
        <v>2016</v>
      </c>
      <c r="Y2357" s="3"/>
    </row>
    <row r="2358" spans="1:25" s="20" customFormat="1" ht="89.25" customHeight="1" outlineLevel="1" x14ac:dyDescent="0.25">
      <c r="A2358" s="1"/>
      <c r="B2358" s="2" t="s">
        <v>6797</v>
      </c>
      <c r="C2358" s="3" t="s">
        <v>83</v>
      </c>
      <c r="D2358" s="3" t="s">
        <v>4521</v>
      </c>
      <c r="E2358" s="3" t="s">
        <v>121</v>
      </c>
      <c r="F2358" s="3" t="s">
        <v>4522</v>
      </c>
      <c r="G2358" s="3" t="s">
        <v>4523</v>
      </c>
      <c r="H2358" s="2" t="s">
        <v>694</v>
      </c>
      <c r="I2358" s="21">
        <v>0</v>
      </c>
      <c r="J2358" s="5">
        <v>710000000</v>
      </c>
      <c r="K2358" s="3" t="s">
        <v>89</v>
      </c>
      <c r="L2358" s="2" t="s">
        <v>754</v>
      </c>
      <c r="M2358" s="3" t="s">
        <v>787</v>
      </c>
      <c r="N2358" s="7" t="s">
        <v>92</v>
      </c>
      <c r="O2358" s="7" t="s">
        <v>93</v>
      </c>
      <c r="P2358" s="3" t="s">
        <v>673</v>
      </c>
      <c r="Q2358" s="8" t="s">
        <v>95</v>
      </c>
      <c r="R2358" s="7" t="s">
        <v>96</v>
      </c>
      <c r="S2358" s="9">
        <v>1</v>
      </c>
      <c r="T2358" s="9">
        <v>5357.14</v>
      </c>
      <c r="U2358" s="9">
        <f t="shared" si="1710"/>
        <v>5357.14</v>
      </c>
      <c r="V2358" s="9">
        <f t="shared" si="1708"/>
        <v>5999.9968000000008</v>
      </c>
      <c r="W2358" s="3"/>
      <c r="X2358" s="2">
        <v>2016</v>
      </c>
      <c r="Y2358" s="3"/>
    </row>
    <row r="2359" spans="1:25" s="20" customFormat="1" ht="89.25" customHeight="1" outlineLevel="1" x14ac:dyDescent="0.25">
      <c r="A2359" s="1"/>
      <c r="B2359" s="2" t="s">
        <v>6798</v>
      </c>
      <c r="C2359" s="3" t="s">
        <v>83</v>
      </c>
      <c r="D2359" s="3" t="s">
        <v>4524</v>
      </c>
      <c r="E2359" s="3" t="s">
        <v>4525</v>
      </c>
      <c r="F2359" s="3" t="s">
        <v>4526</v>
      </c>
      <c r="G2359" s="3"/>
      <c r="H2359" s="2" t="s">
        <v>694</v>
      </c>
      <c r="I2359" s="21">
        <v>0</v>
      </c>
      <c r="J2359" s="5">
        <v>710000000</v>
      </c>
      <c r="K2359" s="3" t="s">
        <v>89</v>
      </c>
      <c r="L2359" s="2" t="s">
        <v>754</v>
      </c>
      <c r="M2359" s="3" t="s">
        <v>787</v>
      </c>
      <c r="N2359" s="7" t="s">
        <v>92</v>
      </c>
      <c r="O2359" s="7" t="s">
        <v>93</v>
      </c>
      <c r="P2359" s="3" t="s">
        <v>673</v>
      </c>
      <c r="Q2359" s="8" t="s">
        <v>544</v>
      </c>
      <c r="R2359" s="7" t="s">
        <v>111</v>
      </c>
      <c r="S2359" s="9">
        <f>1+0.5</f>
        <v>1.5</v>
      </c>
      <c r="T2359" s="9">
        <v>21750</v>
      </c>
      <c r="U2359" s="9">
        <f t="shared" si="1710"/>
        <v>32625</v>
      </c>
      <c r="V2359" s="9">
        <f t="shared" si="1708"/>
        <v>36540</v>
      </c>
      <c r="W2359" s="3"/>
      <c r="X2359" s="2">
        <v>2016</v>
      </c>
      <c r="Y2359" s="3"/>
    </row>
    <row r="2360" spans="1:25" s="20" customFormat="1" ht="89.25" customHeight="1" outlineLevel="1" x14ac:dyDescent="0.25">
      <c r="A2360" s="1"/>
      <c r="B2360" s="2" t="s">
        <v>6799</v>
      </c>
      <c r="C2360" s="3" t="s">
        <v>83</v>
      </c>
      <c r="D2360" s="3" t="s">
        <v>4527</v>
      </c>
      <c r="E2360" s="3" t="s">
        <v>790</v>
      </c>
      <c r="F2360" s="3" t="s">
        <v>4528</v>
      </c>
      <c r="G2360" s="3" t="s">
        <v>4529</v>
      </c>
      <c r="H2360" s="2" t="s">
        <v>694</v>
      </c>
      <c r="I2360" s="21">
        <v>0</v>
      </c>
      <c r="J2360" s="5">
        <v>710000000</v>
      </c>
      <c r="K2360" s="3" t="s">
        <v>89</v>
      </c>
      <c r="L2360" s="2" t="s">
        <v>754</v>
      </c>
      <c r="M2360" s="3" t="s">
        <v>787</v>
      </c>
      <c r="N2360" s="7" t="s">
        <v>92</v>
      </c>
      <c r="O2360" s="7" t="s">
        <v>93</v>
      </c>
      <c r="P2360" s="3" t="s">
        <v>673</v>
      </c>
      <c r="Q2360" s="8">
        <v>796</v>
      </c>
      <c r="R2360" s="7" t="s">
        <v>118</v>
      </c>
      <c r="S2360" s="9">
        <v>11</v>
      </c>
      <c r="T2360" s="9">
        <v>36788.39</v>
      </c>
      <c r="U2360" s="9">
        <f t="shared" si="1710"/>
        <v>404672.29</v>
      </c>
      <c r="V2360" s="9">
        <f t="shared" si="1708"/>
        <v>453232.96480000002</v>
      </c>
      <c r="W2360" s="3"/>
      <c r="X2360" s="2">
        <v>2016</v>
      </c>
      <c r="Y2360" s="3"/>
    </row>
    <row r="2361" spans="1:25" s="20" customFormat="1" ht="89.25" customHeight="1" outlineLevel="1" x14ac:dyDescent="0.25">
      <c r="A2361" s="16"/>
      <c r="B2361" s="2" t="s">
        <v>6800</v>
      </c>
      <c r="C2361" s="3" t="s">
        <v>83</v>
      </c>
      <c r="D2361" s="3" t="s">
        <v>798</v>
      </c>
      <c r="E2361" s="3" t="s">
        <v>790</v>
      </c>
      <c r="F2361" s="3" t="s">
        <v>799</v>
      </c>
      <c r="G2361" s="3"/>
      <c r="H2361" s="2" t="s">
        <v>694</v>
      </c>
      <c r="I2361" s="21">
        <v>0</v>
      </c>
      <c r="J2361" s="5">
        <v>710000000</v>
      </c>
      <c r="K2361" s="3" t="s">
        <v>89</v>
      </c>
      <c r="L2361" s="2" t="s">
        <v>754</v>
      </c>
      <c r="M2361" s="3" t="s">
        <v>787</v>
      </c>
      <c r="N2361" s="7" t="s">
        <v>92</v>
      </c>
      <c r="O2361" s="7" t="s">
        <v>93</v>
      </c>
      <c r="P2361" s="3" t="s">
        <v>673</v>
      </c>
      <c r="Q2361" s="8">
        <v>796</v>
      </c>
      <c r="R2361" s="7" t="s">
        <v>118</v>
      </c>
      <c r="S2361" s="9">
        <f>8+1+16+2</f>
        <v>27</v>
      </c>
      <c r="T2361" s="9">
        <v>7142.86</v>
      </c>
      <c r="U2361" s="9">
        <v>0</v>
      </c>
      <c r="V2361" s="9">
        <f t="shared" si="1708"/>
        <v>0</v>
      </c>
      <c r="W2361" s="3"/>
      <c r="X2361" s="2">
        <v>2016</v>
      </c>
      <c r="Y2361" s="3" t="s">
        <v>9785</v>
      </c>
    </row>
    <row r="2362" spans="1:25" s="20" customFormat="1" ht="89.25" customHeight="1" outlineLevel="1" x14ac:dyDescent="0.25">
      <c r="A2362" s="16"/>
      <c r="B2362" s="2" t="s">
        <v>8865</v>
      </c>
      <c r="C2362" s="3" t="s">
        <v>83</v>
      </c>
      <c r="D2362" s="3" t="s">
        <v>798</v>
      </c>
      <c r="E2362" s="3" t="s">
        <v>790</v>
      </c>
      <c r="F2362" s="3" t="s">
        <v>799</v>
      </c>
      <c r="G2362" s="3"/>
      <c r="H2362" s="2" t="s">
        <v>765</v>
      </c>
      <c r="I2362" s="21">
        <v>0</v>
      </c>
      <c r="J2362" s="5">
        <v>710000000</v>
      </c>
      <c r="K2362" s="3" t="s">
        <v>89</v>
      </c>
      <c r="L2362" s="2" t="s">
        <v>8710</v>
      </c>
      <c r="M2362" s="3" t="s">
        <v>1481</v>
      </c>
      <c r="N2362" s="7" t="s">
        <v>92</v>
      </c>
      <c r="O2362" s="7" t="s">
        <v>93</v>
      </c>
      <c r="P2362" s="3" t="s">
        <v>673</v>
      </c>
      <c r="Q2362" s="8">
        <v>796</v>
      </c>
      <c r="R2362" s="7" t="s">
        <v>118</v>
      </c>
      <c r="S2362" s="9">
        <f>8+1+16+2</f>
        <v>27</v>
      </c>
      <c r="T2362" s="9">
        <v>9197.5400000000009</v>
      </c>
      <c r="U2362" s="9">
        <f t="shared" ref="U2362" si="1714">S2362*T2362</f>
        <v>248333.58000000002</v>
      </c>
      <c r="V2362" s="9">
        <f t="shared" ref="V2362" si="1715">U2362*1.12</f>
        <v>278133.60960000003</v>
      </c>
      <c r="W2362" s="3"/>
      <c r="X2362" s="2">
        <v>2016</v>
      </c>
      <c r="Y2362" s="3"/>
    </row>
    <row r="2363" spans="1:25" s="20" customFormat="1" ht="89.25" customHeight="1" outlineLevel="1" x14ac:dyDescent="0.25">
      <c r="A2363" s="1"/>
      <c r="B2363" s="2" t="s">
        <v>6801</v>
      </c>
      <c r="C2363" s="3" t="s">
        <v>83</v>
      </c>
      <c r="D2363" s="3" t="s">
        <v>4530</v>
      </c>
      <c r="E2363" s="3" t="s">
        <v>790</v>
      </c>
      <c r="F2363" s="3" t="s">
        <v>4531</v>
      </c>
      <c r="G2363" s="3" t="s">
        <v>4532</v>
      </c>
      <c r="H2363" s="2" t="s">
        <v>694</v>
      </c>
      <c r="I2363" s="21">
        <v>0</v>
      </c>
      <c r="J2363" s="5">
        <v>710000000</v>
      </c>
      <c r="K2363" s="3" t="s">
        <v>89</v>
      </c>
      <c r="L2363" s="2" t="s">
        <v>754</v>
      </c>
      <c r="M2363" s="3" t="s">
        <v>787</v>
      </c>
      <c r="N2363" s="7" t="s">
        <v>92</v>
      </c>
      <c r="O2363" s="7" t="s">
        <v>93</v>
      </c>
      <c r="P2363" s="3" t="s">
        <v>673</v>
      </c>
      <c r="Q2363" s="8" t="s">
        <v>861</v>
      </c>
      <c r="R2363" s="7" t="s">
        <v>812</v>
      </c>
      <c r="S2363" s="9">
        <v>2</v>
      </c>
      <c r="T2363" s="9">
        <v>6553</v>
      </c>
      <c r="U2363" s="9">
        <f t="shared" si="1710"/>
        <v>13106</v>
      </c>
      <c r="V2363" s="9">
        <f t="shared" si="1708"/>
        <v>14678.720000000001</v>
      </c>
      <c r="W2363" s="3"/>
      <c r="X2363" s="2">
        <v>2016</v>
      </c>
      <c r="Y2363" s="3"/>
    </row>
    <row r="2364" spans="1:25" s="20" customFormat="1" ht="89.25" customHeight="1" outlineLevel="1" x14ac:dyDescent="0.25">
      <c r="A2364" s="16"/>
      <c r="B2364" s="2" t="s">
        <v>6802</v>
      </c>
      <c r="C2364" s="3" t="s">
        <v>83</v>
      </c>
      <c r="D2364" s="3" t="s">
        <v>1331</v>
      </c>
      <c r="E2364" s="3" t="s">
        <v>1332</v>
      </c>
      <c r="F2364" s="3" t="s">
        <v>1333</v>
      </c>
      <c r="G2364" s="3" t="s">
        <v>4533</v>
      </c>
      <c r="H2364" s="2" t="s">
        <v>694</v>
      </c>
      <c r="I2364" s="21">
        <v>0</v>
      </c>
      <c r="J2364" s="5">
        <v>710000000</v>
      </c>
      <c r="K2364" s="3" t="s">
        <v>89</v>
      </c>
      <c r="L2364" s="2" t="s">
        <v>754</v>
      </c>
      <c r="M2364" s="3" t="s">
        <v>787</v>
      </c>
      <c r="N2364" s="7" t="s">
        <v>92</v>
      </c>
      <c r="O2364" s="7" t="s">
        <v>93</v>
      </c>
      <c r="P2364" s="3" t="s">
        <v>673</v>
      </c>
      <c r="Q2364" s="8">
        <v>796</v>
      </c>
      <c r="R2364" s="7" t="s">
        <v>118</v>
      </c>
      <c r="S2364" s="9">
        <f>8+1</f>
        <v>9</v>
      </c>
      <c r="T2364" s="9">
        <v>71428.570000000007</v>
      </c>
      <c r="U2364" s="9">
        <v>0</v>
      </c>
      <c r="V2364" s="9">
        <f t="shared" si="1708"/>
        <v>0</v>
      </c>
      <c r="W2364" s="3"/>
      <c r="X2364" s="2">
        <v>2016</v>
      </c>
      <c r="Y2364" s="3" t="s">
        <v>9785</v>
      </c>
    </row>
    <row r="2365" spans="1:25" s="20" customFormat="1" ht="89.25" customHeight="1" outlineLevel="1" x14ac:dyDescent="0.25">
      <c r="A2365" s="16"/>
      <c r="B2365" s="2" t="s">
        <v>8866</v>
      </c>
      <c r="C2365" s="3" t="s">
        <v>83</v>
      </c>
      <c r="D2365" s="3" t="s">
        <v>1331</v>
      </c>
      <c r="E2365" s="3" t="s">
        <v>1332</v>
      </c>
      <c r="F2365" s="3" t="s">
        <v>1333</v>
      </c>
      <c r="G2365" s="3" t="s">
        <v>4533</v>
      </c>
      <c r="H2365" s="2" t="s">
        <v>765</v>
      </c>
      <c r="I2365" s="21">
        <v>0</v>
      </c>
      <c r="J2365" s="5">
        <v>710000000</v>
      </c>
      <c r="K2365" s="3" t="s">
        <v>89</v>
      </c>
      <c r="L2365" s="2" t="s">
        <v>8710</v>
      </c>
      <c r="M2365" s="3" t="s">
        <v>1481</v>
      </c>
      <c r="N2365" s="7" t="s">
        <v>92</v>
      </c>
      <c r="O2365" s="7" t="s">
        <v>93</v>
      </c>
      <c r="P2365" s="3" t="s">
        <v>673</v>
      </c>
      <c r="Q2365" s="8">
        <v>796</v>
      </c>
      <c r="R2365" s="7" t="s">
        <v>118</v>
      </c>
      <c r="S2365" s="9">
        <f>8+1</f>
        <v>9</v>
      </c>
      <c r="T2365" s="9">
        <v>75107.350000000006</v>
      </c>
      <c r="U2365" s="9">
        <f t="shared" ref="U2365" si="1716">S2365*T2365</f>
        <v>675966.15</v>
      </c>
      <c r="V2365" s="9">
        <f t="shared" ref="V2365" si="1717">U2365*1.12</f>
        <v>757082.08800000011</v>
      </c>
      <c r="W2365" s="3"/>
      <c r="X2365" s="2">
        <v>2016</v>
      </c>
      <c r="Y2365" s="3"/>
    </row>
    <row r="2366" spans="1:25" s="20" customFormat="1" ht="89.25" customHeight="1" outlineLevel="1" x14ac:dyDescent="0.25">
      <c r="A2366" s="1"/>
      <c r="B2366" s="2" t="s">
        <v>6803</v>
      </c>
      <c r="C2366" s="3" t="s">
        <v>83</v>
      </c>
      <c r="D2366" s="3" t="s">
        <v>4534</v>
      </c>
      <c r="E2366" s="3" t="s">
        <v>4535</v>
      </c>
      <c r="F2366" s="3" t="s">
        <v>4536</v>
      </c>
      <c r="G2366" s="3" t="s">
        <v>4537</v>
      </c>
      <c r="H2366" s="2" t="s">
        <v>694</v>
      </c>
      <c r="I2366" s="21">
        <v>0</v>
      </c>
      <c r="J2366" s="5">
        <v>710000000</v>
      </c>
      <c r="K2366" s="3" t="s">
        <v>89</v>
      </c>
      <c r="L2366" s="2" t="s">
        <v>754</v>
      </c>
      <c r="M2366" s="3" t="s">
        <v>787</v>
      </c>
      <c r="N2366" s="7" t="s">
        <v>92</v>
      </c>
      <c r="O2366" s="7" t="s">
        <v>93</v>
      </c>
      <c r="P2366" s="3" t="s">
        <v>673</v>
      </c>
      <c r="Q2366" s="8" t="s">
        <v>522</v>
      </c>
      <c r="R2366" s="7" t="s">
        <v>523</v>
      </c>
      <c r="S2366" s="9">
        <f>1+2</f>
        <v>3</v>
      </c>
      <c r="T2366" s="9">
        <v>4821.43</v>
      </c>
      <c r="U2366" s="9">
        <f t="shared" si="1710"/>
        <v>14464.29</v>
      </c>
      <c r="V2366" s="9">
        <f t="shared" si="1708"/>
        <v>16200.004800000002</v>
      </c>
      <c r="W2366" s="3"/>
      <c r="X2366" s="2">
        <v>2016</v>
      </c>
      <c r="Y2366" s="3"/>
    </row>
    <row r="2367" spans="1:25" s="20" customFormat="1" ht="89.25" customHeight="1" outlineLevel="1" x14ac:dyDescent="0.25">
      <c r="A2367" s="1"/>
      <c r="B2367" s="2" t="s">
        <v>6804</v>
      </c>
      <c r="C2367" s="3" t="s">
        <v>83</v>
      </c>
      <c r="D2367" s="3" t="s">
        <v>4538</v>
      </c>
      <c r="E2367" s="3" t="s">
        <v>4539</v>
      </c>
      <c r="F2367" s="3" t="s">
        <v>4540</v>
      </c>
      <c r="G2367" s="3" t="s">
        <v>4541</v>
      </c>
      <c r="H2367" s="2" t="s">
        <v>694</v>
      </c>
      <c r="I2367" s="21">
        <v>0</v>
      </c>
      <c r="J2367" s="5">
        <v>710000000</v>
      </c>
      <c r="K2367" s="3" t="s">
        <v>89</v>
      </c>
      <c r="L2367" s="2" t="s">
        <v>754</v>
      </c>
      <c r="M2367" s="3" t="s">
        <v>787</v>
      </c>
      <c r="N2367" s="7" t="s">
        <v>92</v>
      </c>
      <c r="O2367" s="7" t="s">
        <v>93</v>
      </c>
      <c r="P2367" s="3" t="s">
        <v>673</v>
      </c>
      <c r="Q2367" s="8">
        <v>796</v>
      </c>
      <c r="R2367" s="7" t="s">
        <v>118</v>
      </c>
      <c r="S2367" s="9">
        <v>1</v>
      </c>
      <c r="T2367" s="9">
        <v>158000</v>
      </c>
      <c r="U2367" s="9">
        <f t="shared" si="1710"/>
        <v>158000</v>
      </c>
      <c r="V2367" s="9">
        <f t="shared" si="1708"/>
        <v>176960.00000000003</v>
      </c>
      <c r="W2367" s="3"/>
      <c r="X2367" s="2">
        <v>2016</v>
      </c>
      <c r="Y2367" s="3"/>
    </row>
    <row r="2368" spans="1:25" s="20" customFormat="1" ht="89.25" customHeight="1" outlineLevel="1" x14ac:dyDescent="0.25">
      <c r="A2368" s="1"/>
      <c r="B2368" s="2" t="s">
        <v>6805</v>
      </c>
      <c r="C2368" s="3" t="s">
        <v>83</v>
      </c>
      <c r="D2368" s="3" t="s">
        <v>4542</v>
      </c>
      <c r="E2368" s="3" t="s">
        <v>4543</v>
      </c>
      <c r="F2368" s="3" t="s">
        <v>4544</v>
      </c>
      <c r="G2368" s="3" t="s">
        <v>4545</v>
      </c>
      <c r="H2368" s="2" t="s">
        <v>694</v>
      </c>
      <c r="I2368" s="21">
        <v>0</v>
      </c>
      <c r="J2368" s="5">
        <v>710000000</v>
      </c>
      <c r="K2368" s="3" t="s">
        <v>89</v>
      </c>
      <c r="L2368" s="2" t="s">
        <v>754</v>
      </c>
      <c r="M2368" s="3" t="s">
        <v>787</v>
      </c>
      <c r="N2368" s="7" t="s">
        <v>92</v>
      </c>
      <c r="O2368" s="7" t="s">
        <v>93</v>
      </c>
      <c r="P2368" s="3" t="s">
        <v>673</v>
      </c>
      <c r="Q2368" s="8" t="s">
        <v>544</v>
      </c>
      <c r="R2368" s="7" t="s">
        <v>111</v>
      </c>
      <c r="S2368" s="9">
        <v>2</v>
      </c>
      <c r="T2368" s="9">
        <v>1936</v>
      </c>
      <c r="U2368" s="9">
        <f t="shared" si="1710"/>
        <v>3872</v>
      </c>
      <c r="V2368" s="9">
        <f t="shared" si="1708"/>
        <v>4336.6400000000003</v>
      </c>
      <c r="W2368" s="3"/>
      <c r="X2368" s="2">
        <v>2016</v>
      </c>
      <c r="Y2368" s="3"/>
    </row>
    <row r="2369" spans="1:25" s="20" customFormat="1" ht="89.25" customHeight="1" outlineLevel="1" x14ac:dyDescent="0.25">
      <c r="A2369" s="1"/>
      <c r="B2369" s="2" t="s">
        <v>6806</v>
      </c>
      <c r="C2369" s="3" t="s">
        <v>83</v>
      </c>
      <c r="D2369" s="3" t="s">
        <v>4546</v>
      </c>
      <c r="E2369" s="3" t="s">
        <v>4547</v>
      </c>
      <c r="F2369" s="3" t="s">
        <v>4548</v>
      </c>
      <c r="G2369" s="3"/>
      <c r="H2369" s="2" t="s">
        <v>694</v>
      </c>
      <c r="I2369" s="21">
        <v>0</v>
      </c>
      <c r="J2369" s="5">
        <v>710000000</v>
      </c>
      <c r="K2369" s="3" t="s">
        <v>89</v>
      </c>
      <c r="L2369" s="2" t="s">
        <v>754</v>
      </c>
      <c r="M2369" s="3" t="s">
        <v>787</v>
      </c>
      <c r="N2369" s="7" t="s">
        <v>92</v>
      </c>
      <c r="O2369" s="7" t="s">
        <v>93</v>
      </c>
      <c r="P2369" s="3" t="s">
        <v>673</v>
      </c>
      <c r="Q2369" s="8" t="s">
        <v>544</v>
      </c>
      <c r="R2369" s="7" t="s">
        <v>111</v>
      </c>
      <c r="S2369" s="9">
        <f>40.8+468+13</f>
        <v>521.79999999999995</v>
      </c>
      <c r="T2369" s="9">
        <v>2205.89</v>
      </c>
      <c r="U2369" s="9">
        <v>0</v>
      </c>
      <c r="V2369" s="9">
        <f t="shared" si="1708"/>
        <v>0</v>
      </c>
      <c r="W2369" s="3"/>
      <c r="X2369" s="2">
        <v>2016</v>
      </c>
      <c r="Y2369" s="3">
        <v>11</v>
      </c>
    </row>
    <row r="2370" spans="1:25" s="20" customFormat="1" ht="89.25" customHeight="1" outlineLevel="1" x14ac:dyDescent="0.25">
      <c r="A2370" s="1"/>
      <c r="B2370" s="2" t="s">
        <v>8692</v>
      </c>
      <c r="C2370" s="3" t="s">
        <v>83</v>
      </c>
      <c r="D2370" s="3" t="s">
        <v>4546</v>
      </c>
      <c r="E2370" s="3" t="s">
        <v>4547</v>
      </c>
      <c r="F2370" s="3" t="s">
        <v>4548</v>
      </c>
      <c r="G2370" s="3"/>
      <c r="H2370" s="2" t="s">
        <v>694</v>
      </c>
      <c r="I2370" s="21">
        <v>0</v>
      </c>
      <c r="J2370" s="5">
        <v>710000000</v>
      </c>
      <c r="K2370" s="3" t="s">
        <v>89</v>
      </c>
      <c r="L2370" s="2" t="s">
        <v>1735</v>
      </c>
      <c r="M2370" s="3" t="s">
        <v>787</v>
      </c>
      <c r="N2370" s="7" t="s">
        <v>92</v>
      </c>
      <c r="O2370" s="7" t="s">
        <v>93</v>
      </c>
      <c r="P2370" s="3" t="s">
        <v>673</v>
      </c>
      <c r="Q2370" s="8" t="s">
        <v>544</v>
      </c>
      <c r="R2370" s="7" t="s">
        <v>111</v>
      </c>
      <c r="S2370" s="9">
        <f>40.8+468+13</f>
        <v>521.79999999999995</v>
      </c>
      <c r="T2370" s="9">
        <v>2205.89</v>
      </c>
      <c r="U2370" s="9">
        <v>0</v>
      </c>
      <c r="V2370" s="9">
        <f t="shared" ref="V2370" si="1718">U2370*1.12</f>
        <v>0</v>
      </c>
      <c r="W2370" s="3"/>
      <c r="X2370" s="2">
        <v>2016</v>
      </c>
      <c r="Y2370" s="3" t="s">
        <v>8944</v>
      </c>
    </row>
    <row r="2371" spans="1:25" s="20" customFormat="1" ht="89.25" customHeight="1" outlineLevel="1" x14ac:dyDescent="0.25">
      <c r="A2371" s="1"/>
      <c r="B2371" s="2" t="s">
        <v>8873</v>
      </c>
      <c r="C2371" s="3" t="s">
        <v>83</v>
      </c>
      <c r="D2371" s="3" t="s">
        <v>4546</v>
      </c>
      <c r="E2371" s="3" t="s">
        <v>4547</v>
      </c>
      <c r="F2371" s="3" t="s">
        <v>4548</v>
      </c>
      <c r="G2371" s="3"/>
      <c r="H2371" s="2" t="s">
        <v>765</v>
      </c>
      <c r="I2371" s="21">
        <v>0</v>
      </c>
      <c r="J2371" s="5">
        <v>710000000</v>
      </c>
      <c r="K2371" s="3" t="s">
        <v>89</v>
      </c>
      <c r="L2371" s="2" t="s">
        <v>8710</v>
      </c>
      <c r="M2371" s="3" t="s">
        <v>1481</v>
      </c>
      <c r="N2371" s="7" t="s">
        <v>92</v>
      </c>
      <c r="O2371" s="7" t="s">
        <v>93</v>
      </c>
      <c r="P2371" s="3" t="s">
        <v>673</v>
      </c>
      <c r="Q2371" s="8" t="s">
        <v>544</v>
      </c>
      <c r="R2371" s="7" t="s">
        <v>111</v>
      </c>
      <c r="S2371" s="9">
        <f>40.8+468+13</f>
        <v>521.79999999999995</v>
      </c>
      <c r="T2371" s="9">
        <v>2205.89</v>
      </c>
      <c r="U2371" s="9">
        <f t="shared" ref="U2371" si="1719">S2371*T2371</f>
        <v>1151033.4019999998</v>
      </c>
      <c r="V2371" s="9">
        <f t="shared" ref="V2371" si="1720">U2371*1.12</f>
        <v>1289157.4102399999</v>
      </c>
      <c r="W2371" s="3"/>
      <c r="X2371" s="2">
        <v>2016</v>
      </c>
      <c r="Y2371" s="3"/>
    </row>
    <row r="2372" spans="1:25" s="20" customFormat="1" ht="89.25" customHeight="1" outlineLevel="1" x14ac:dyDescent="0.25">
      <c r="A2372" s="1"/>
      <c r="B2372" s="2" t="s">
        <v>6807</v>
      </c>
      <c r="C2372" s="3" t="s">
        <v>83</v>
      </c>
      <c r="D2372" s="3" t="s">
        <v>4549</v>
      </c>
      <c r="E2372" s="3" t="s">
        <v>4547</v>
      </c>
      <c r="F2372" s="3" t="s">
        <v>4550</v>
      </c>
      <c r="G2372" s="3"/>
      <c r="H2372" s="2" t="s">
        <v>694</v>
      </c>
      <c r="I2372" s="21">
        <v>0</v>
      </c>
      <c r="J2372" s="5">
        <v>710000000</v>
      </c>
      <c r="K2372" s="3" t="s">
        <v>89</v>
      </c>
      <c r="L2372" s="2" t="s">
        <v>754</v>
      </c>
      <c r="M2372" s="3" t="s">
        <v>787</v>
      </c>
      <c r="N2372" s="7" t="s">
        <v>92</v>
      </c>
      <c r="O2372" s="7" t="s">
        <v>93</v>
      </c>
      <c r="P2372" s="3" t="s">
        <v>673</v>
      </c>
      <c r="Q2372" s="8" t="s">
        <v>544</v>
      </c>
      <c r="R2372" s="7" t="s">
        <v>111</v>
      </c>
      <c r="S2372" s="9">
        <v>26</v>
      </c>
      <c r="T2372" s="9">
        <v>3274</v>
      </c>
      <c r="U2372" s="9">
        <f t="shared" si="1710"/>
        <v>85124</v>
      </c>
      <c r="V2372" s="9">
        <f t="shared" si="1708"/>
        <v>95338.880000000005</v>
      </c>
      <c r="W2372" s="3"/>
      <c r="X2372" s="2">
        <v>2016</v>
      </c>
      <c r="Y2372" s="3"/>
    </row>
    <row r="2373" spans="1:25" s="20" customFormat="1" ht="89.25" customHeight="1" outlineLevel="1" x14ac:dyDescent="0.25">
      <c r="A2373" s="1"/>
      <c r="B2373" s="2" t="s">
        <v>6808</v>
      </c>
      <c r="C2373" s="3" t="s">
        <v>83</v>
      </c>
      <c r="D2373" s="3" t="s">
        <v>4551</v>
      </c>
      <c r="E2373" s="3" t="s">
        <v>4552</v>
      </c>
      <c r="F2373" s="3" t="s">
        <v>4553</v>
      </c>
      <c r="G2373" s="3"/>
      <c r="H2373" s="2" t="s">
        <v>694</v>
      </c>
      <c r="I2373" s="21">
        <v>0</v>
      </c>
      <c r="J2373" s="5">
        <v>710000000</v>
      </c>
      <c r="K2373" s="3" t="s">
        <v>89</v>
      </c>
      <c r="L2373" s="2" t="s">
        <v>754</v>
      </c>
      <c r="M2373" s="3" t="s">
        <v>787</v>
      </c>
      <c r="N2373" s="7" t="s">
        <v>92</v>
      </c>
      <c r="O2373" s="7" t="s">
        <v>93</v>
      </c>
      <c r="P2373" s="3" t="s">
        <v>673</v>
      </c>
      <c r="Q2373" s="8" t="s">
        <v>3208</v>
      </c>
      <c r="R2373" s="7" t="s">
        <v>3209</v>
      </c>
      <c r="S2373" s="9">
        <v>2</v>
      </c>
      <c r="T2373" s="9">
        <v>37000</v>
      </c>
      <c r="U2373" s="9">
        <f t="shared" si="1710"/>
        <v>74000</v>
      </c>
      <c r="V2373" s="9">
        <f t="shared" si="1708"/>
        <v>82880.000000000015</v>
      </c>
      <c r="W2373" s="3"/>
      <c r="X2373" s="2">
        <v>2016</v>
      </c>
      <c r="Y2373" s="3"/>
    </row>
    <row r="2374" spans="1:25" s="20" customFormat="1" ht="89.25" customHeight="1" outlineLevel="1" x14ac:dyDescent="0.25">
      <c r="A2374" s="1"/>
      <c r="B2374" s="2" t="s">
        <v>6809</v>
      </c>
      <c r="C2374" s="3" t="s">
        <v>83</v>
      </c>
      <c r="D2374" s="3" t="s">
        <v>4554</v>
      </c>
      <c r="E2374" s="3" t="s">
        <v>4555</v>
      </c>
      <c r="F2374" s="3" t="s">
        <v>4556</v>
      </c>
      <c r="G2374" s="3"/>
      <c r="H2374" s="2" t="s">
        <v>694</v>
      </c>
      <c r="I2374" s="21">
        <v>0</v>
      </c>
      <c r="J2374" s="5">
        <v>710000000</v>
      </c>
      <c r="K2374" s="3" t="s">
        <v>89</v>
      </c>
      <c r="L2374" s="2" t="s">
        <v>754</v>
      </c>
      <c r="M2374" s="3" t="s">
        <v>787</v>
      </c>
      <c r="N2374" s="7" t="s">
        <v>92</v>
      </c>
      <c r="O2374" s="7" t="s">
        <v>93</v>
      </c>
      <c r="P2374" s="3" t="s">
        <v>673</v>
      </c>
      <c r="Q2374" s="8" t="s">
        <v>544</v>
      </c>
      <c r="R2374" s="7" t="s">
        <v>111</v>
      </c>
      <c r="S2374" s="9">
        <v>100</v>
      </c>
      <c r="T2374" s="9">
        <v>375</v>
      </c>
      <c r="U2374" s="9">
        <f t="shared" si="1710"/>
        <v>37500</v>
      </c>
      <c r="V2374" s="9">
        <f t="shared" si="1708"/>
        <v>42000.000000000007</v>
      </c>
      <c r="W2374" s="3"/>
      <c r="X2374" s="2">
        <v>2016</v>
      </c>
      <c r="Y2374" s="3"/>
    </row>
    <row r="2375" spans="1:25" s="20" customFormat="1" ht="89.25" customHeight="1" outlineLevel="1" x14ac:dyDescent="0.25">
      <c r="A2375" s="1"/>
      <c r="B2375" s="2" t="s">
        <v>6810</v>
      </c>
      <c r="C2375" s="3" t="s">
        <v>83</v>
      </c>
      <c r="D2375" s="3" t="s">
        <v>4557</v>
      </c>
      <c r="E2375" s="3" t="s">
        <v>4558</v>
      </c>
      <c r="F2375" s="3" t="s">
        <v>4559</v>
      </c>
      <c r="G2375" s="3" t="s">
        <v>4560</v>
      </c>
      <c r="H2375" s="2" t="s">
        <v>694</v>
      </c>
      <c r="I2375" s="21">
        <v>0</v>
      </c>
      <c r="J2375" s="5">
        <v>710000000</v>
      </c>
      <c r="K2375" s="3" t="s">
        <v>89</v>
      </c>
      <c r="L2375" s="2" t="s">
        <v>754</v>
      </c>
      <c r="M2375" s="3" t="s">
        <v>787</v>
      </c>
      <c r="N2375" s="7" t="s">
        <v>92</v>
      </c>
      <c r="O2375" s="7" t="s">
        <v>93</v>
      </c>
      <c r="P2375" s="3" t="s">
        <v>673</v>
      </c>
      <c r="Q2375" s="8">
        <v>796</v>
      </c>
      <c r="R2375" s="7" t="s">
        <v>118</v>
      </c>
      <c r="S2375" s="9">
        <v>3</v>
      </c>
      <c r="T2375" s="9">
        <v>5968.98</v>
      </c>
      <c r="U2375" s="9">
        <f t="shared" si="1710"/>
        <v>17906.939999999999</v>
      </c>
      <c r="V2375" s="9">
        <f t="shared" si="1708"/>
        <v>20055.772799999999</v>
      </c>
      <c r="W2375" s="3"/>
      <c r="X2375" s="2">
        <v>2016</v>
      </c>
      <c r="Y2375" s="3"/>
    </row>
    <row r="2376" spans="1:25" s="20" customFormat="1" ht="89.25" customHeight="1" outlineLevel="1" x14ac:dyDescent="0.25">
      <c r="A2376" s="1"/>
      <c r="B2376" s="2" t="s">
        <v>6811</v>
      </c>
      <c r="C2376" s="3" t="s">
        <v>83</v>
      </c>
      <c r="D2376" s="3" t="s">
        <v>4561</v>
      </c>
      <c r="E2376" s="3" t="s">
        <v>4562</v>
      </c>
      <c r="F2376" s="3" t="s">
        <v>4563</v>
      </c>
      <c r="G2376" s="3"/>
      <c r="H2376" s="2" t="s">
        <v>694</v>
      </c>
      <c r="I2376" s="21">
        <v>0</v>
      </c>
      <c r="J2376" s="5">
        <v>710000000</v>
      </c>
      <c r="K2376" s="3" t="s">
        <v>89</v>
      </c>
      <c r="L2376" s="2" t="s">
        <v>754</v>
      </c>
      <c r="M2376" s="3" t="s">
        <v>787</v>
      </c>
      <c r="N2376" s="7" t="s">
        <v>92</v>
      </c>
      <c r="O2376" s="7" t="s">
        <v>93</v>
      </c>
      <c r="P2376" s="3" t="s">
        <v>673</v>
      </c>
      <c r="Q2376" s="8" t="s">
        <v>4564</v>
      </c>
      <c r="R2376" s="7" t="s">
        <v>4565</v>
      </c>
      <c r="S2376" s="9">
        <f>10+10+10</f>
        <v>30</v>
      </c>
      <c r="T2376" s="9">
        <v>1700.8920000000001</v>
      </c>
      <c r="U2376" s="9">
        <f t="shared" si="1710"/>
        <v>51026.76</v>
      </c>
      <c r="V2376" s="9">
        <f t="shared" si="1708"/>
        <v>57149.971200000007</v>
      </c>
      <c r="W2376" s="3"/>
      <c r="X2376" s="2">
        <v>2016</v>
      </c>
      <c r="Y2376" s="3"/>
    </row>
    <row r="2377" spans="1:25" s="20" customFormat="1" ht="89.25" customHeight="1" outlineLevel="1" x14ac:dyDescent="0.25">
      <c r="A2377" s="1"/>
      <c r="B2377" s="2" t="s">
        <v>6812</v>
      </c>
      <c r="C2377" s="3" t="s">
        <v>83</v>
      </c>
      <c r="D2377" s="3" t="s">
        <v>4566</v>
      </c>
      <c r="E2377" s="3" t="s">
        <v>4567</v>
      </c>
      <c r="F2377" s="3" t="s">
        <v>4568</v>
      </c>
      <c r="G2377" s="3" t="s">
        <v>4569</v>
      </c>
      <c r="H2377" s="2" t="s">
        <v>694</v>
      </c>
      <c r="I2377" s="21">
        <v>0</v>
      </c>
      <c r="J2377" s="5">
        <v>710000000</v>
      </c>
      <c r="K2377" s="3" t="s">
        <v>89</v>
      </c>
      <c r="L2377" s="2" t="s">
        <v>754</v>
      </c>
      <c r="M2377" s="3" t="s">
        <v>787</v>
      </c>
      <c r="N2377" s="7" t="s">
        <v>92</v>
      </c>
      <c r="O2377" s="7" t="s">
        <v>93</v>
      </c>
      <c r="P2377" s="3" t="s">
        <v>673</v>
      </c>
      <c r="Q2377" s="8">
        <v>796</v>
      </c>
      <c r="R2377" s="7" t="s">
        <v>118</v>
      </c>
      <c r="S2377" s="9">
        <f>4+1+8</f>
        <v>13</v>
      </c>
      <c r="T2377" s="9">
        <v>5178.57</v>
      </c>
      <c r="U2377" s="9">
        <f t="shared" si="1710"/>
        <v>67321.41</v>
      </c>
      <c r="V2377" s="9">
        <f t="shared" si="1708"/>
        <v>75399.979200000016</v>
      </c>
      <c r="W2377" s="3"/>
      <c r="X2377" s="2">
        <v>2016</v>
      </c>
      <c r="Y2377" s="3"/>
    </row>
    <row r="2378" spans="1:25" s="20" customFormat="1" ht="89.25" customHeight="1" outlineLevel="1" x14ac:dyDescent="0.25">
      <c r="A2378" s="1"/>
      <c r="B2378" s="2" t="s">
        <v>6813</v>
      </c>
      <c r="C2378" s="3" t="s">
        <v>83</v>
      </c>
      <c r="D2378" s="3" t="s">
        <v>4566</v>
      </c>
      <c r="E2378" s="3" t="s">
        <v>4567</v>
      </c>
      <c r="F2378" s="3" t="s">
        <v>4568</v>
      </c>
      <c r="G2378" s="3" t="s">
        <v>4570</v>
      </c>
      <c r="H2378" s="2" t="s">
        <v>694</v>
      </c>
      <c r="I2378" s="21">
        <v>0</v>
      </c>
      <c r="J2378" s="5">
        <v>710000000</v>
      </c>
      <c r="K2378" s="3" t="s">
        <v>89</v>
      </c>
      <c r="L2378" s="2" t="s">
        <v>754</v>
      </c>
      <c r="M2378" s="3" t="s">
        <v>787</v>
      </c>
      <c r="N2378" s="7" t="s">
        <v>92</v>
      </c>
      <c r="O2378" s="7" t="s">
        <v>93</v>
      </c>
      <c r="P2378" s="3" t="s">
        <v>673</v>
      </c>
      <c r="Q2378" s="8">
        <v>796</v>
      </c>
      <c r="R2378" s="7" t="s">
        <v>118</v>
      </c>
      <c r="S2378" s="9">
        <v>1</v>
      </c>
      <c r="T2378" s="9">
        <v>4000</v>
      </c>
      <c r="U2378" s="9">
        <f t="shared" si="1710"/>
        <v>4000</v>
      </c>
      <c r="V2378" s="9">
        <f t="shared" si="1708"/>
        <v>4480</v>
      </c>
      <c r="W2378" s="3"/>
      <c r="X2378" s="2">
        <v>2016</v>
      </c>
      <c r="Y2378" s="3"/>
    </row>
    <row r="2379" spans="1:25" s="20" customFormat="1" ht="89.25" customHeight="1" outlineLevel="1" x14ac:dyDescent="0.25">
      <c r="A2379" s="1"/>
      <c r="B2379" s="2" t="s">
        <v>6814</v>
      </c>
      <c r="C2379" s="3" t="s">
        <v>83</v>
      </c>
      <c r="D2379" s="3" t="s">
        <v>4571</v>
      </c>
      <c r="E2379" s="3" t="s">
        <v>858</v>
      </c>
      <c r="F2379" s="3" t="s">
        <v>3807</v>
      </c>
      <c r="G2379" s="3" t="s">
        <v>4572</v>
      </c>
      <c r="H2379" s="2" t="s">
        <v>694</v>
      </c>
      <c r="I2379" s="21">
        <v>0</v>
      </c>
      <c r="J2379" s="5">
        <v>710000000</v>
      </c>
      <c r="K2379" s="3" t="s">
        <v>89</v>
      </c>
      <c r="L2379" s="2" t="s">
        <v>754</v>
      </c>
      <c r="M2379" s="3" t="s">
        <v>787</v>
      </c>
      <c r="N2379" s="7" t="s">
        <v>92</v>
      </c>
      <c r="O2379" s="7" t="s">
        <v>93</v>
      </c>
      <c r="P2379" s="3" t="s">
        <v>673</v>
      </c>
      <c r="Q2379" s="8">
        <v>796</v>
      </c>
      <c r="R2379" s="7" t="s">
        <v>118</v>
      </c>
      <c r="S2379" s="9">
        <v>40</v>
      </c>
      <c r="T2379" s="9">
        <v>8800</v>
      </c>
      <c r="U2379" s="9">
        <f t="shared" si="1710"/>
        <v>352000</v>
      </c>
      <c r="V2379" s="9">
        <f t="shared" si="1708"/>
        <v>394240.00000000006</v>
      </c>
      <c r="W2379" s="3"/>
      <c r="X2379" s="2">
        <v>2016</v>
      </c>
      <c r="Y2379" s="3"/>
    </row>
    <row r="2380" spans="1:25" s="20" customFormat="1" ht="89.25" customHeight="1" outlineLevel="1" x14ac:dyDescent="0.25">
      <c r="A2380" s="1"/>
      <c r="B2380" s="2" t="s">
        <v>6815</v>
      </c>
      <c r="C2380" s="3" t="s">
        <v>83</v>
      </c>
      <c r="D2380" s="3" t="s">
        <v>4573</v>
      </c>
      <c r="E2380" s="3" t="s">
        <v>4574</v>
      </c>
      <c r="F2380" s="3" t="s">
        <v>4575</v>
      </c>
      <c r="G2380" s="3"/>
      <c r="H2380" s="2" t="s">
        <v>694</v>
      </c>
      <c r="I2380" s="21">
        <v>0</v>
      </c>
      <c r="J2380" s="5">
        <v>710000000</v>
      </c>
      <c r="K2380" s="3" t="s">
        <v>89</v>
      </c>
      <c r="L2380" s="2" t="s">
        <v>754</v>
      </c>
      <c r="M2380" s="3" t="s">
        <v>787</v>
      </c>
      <c r="N2380" s="7" t="s">
        <v>92</v>
      </c>
      <c r="O2380" s="7" t="s">
        <v>93</v>
      </c>
      <c r="P2380" s="3" t="s">
        <v>673</v>
      </c>
      <c r="Q2380" s="8">
        <v>796</v>
      </c>
      <c r="R2380" s="7" t="s">
        <v>118</v>
      </c>
      <c r="S2380" s="9">
        <v>30</v>
      </c>
      <c r="T2380" s="9">
        <v>6500</v>
      </c>
      <c r="U2380" s="9">
        <f t="shared" si="1710"/>
        <v>195000</v>
      </c>
      <c r="V2380" s="9">
        <f t="shared" si="1708"/>
        <v>218400.00000000003</v>
      </c>
      <c r="W2380" s="3"/>
      <c r="X2380" s="2">
        <v>2016</v>
      </c>
      <c r="Y2380" s="3"/>
    </row>
    <row r="2381" spans="1:25" s="20" customFormat="1" ht="89.25" customHeight="1" outlineLevel="1" x14ac:dyDescent="0.25">
      <c r="A2381" s="1"/>
      <c r="B2381" s="2" t="s">
        <v>6816</v>
      </c>
      <c r="C2381" s="3" t="s">
        <v>83</v>
      </c>
      <c r="D2381" s="3" t="s">
        <v>4576</v>
      </c>
      <c r="E2381" s="3" t="s">
        <v>4577</v>
      </c>
      <c r="F2381" s="3" t="s">
        <v>4578</v>
      </c>
      <c r="G2381" s="3" t="s">
        <v>4579</v>
      </c>
      <c r="H2381" s="2" t="s">
        <v>694</v>
      </c>
      <c r="I2381" s="21">
        <v>0</v>
      </c>
      <c r="J2381" s="5">
        <v>710000000</v>
      </c>
      <c r="K2381" s="3" t="s">
        <v>89</v>
      </c>
      <c r="L2381" s="2" t="s">
        <v>754</v>
      </c>
      <c r="M2381" s="3" t="s">
        <v>787</v>
      </c>
      <c r="N2381" s="7" t="s">
        <v>92</v>
      </c>
      <c r="O2381" s="7" t="s">
        <v>93</v>
      </c>
      <c r="P2381" s="3" t="s">
        <v>673</v>
      </c>
      <c r="Q2381" s="8">
        <v>796</v>
      </c>
      <c r="R2381" s="7" t="s">
        <v>118</v>
      </c>
      <c r="S2381" s="9">
        <v>1</v>
      </c>
      <c r="T2381" s="9">
        <v>54378</v>
      </c>
      <c r="U2381" s="9">
        <f t="shared" si="1710"/>
        <v>54378</v>
      </c>
      <c r="V2381" s="9">
        <f t="shared" si="1708"/>
        <v>60903.360000000008</v>
      </c>
      <c r="W2381" s="3"/>
      <c r="X2381" s="2">
        <v>2016</v>
      </c>
      <c r="Y2381" s="3"/>
    </row>
    <row r="2382" spans="1:25" s="20" customFormat="1" ht="89.25" customHeight="1" outlineLevel="1" x14ac:dyDescent="0.25">
      <c r="A2382" s="1"/>
      <c r="B2382" s="2" t="s">
        <v>6817</v>
      </c>
      <c r="C2382" s="3" t="s">
        <v>83</v>
      </c>
      <c r="D2382" s="3" t="s">
        <v>4576</v>
      </c>
      <c r="E2382" s="3" t="s">
        <v>4577</v>
      </c>
      <c r="F2382" s="3" t="s">
        <v>4578</v>
      </c>
      <c r="G2382" s="3" t="s">
        <v>4580</v>
      </c>
      <c r="H2382" s="2" t="s">
        <v>694</v>
      </c>
      <c r="I2382" s="21">
        <v>0</v>
      </c>
      <c r="J2382" s="5">
        <v>710000000</v>
      </c>
      <c r="K2382" s="3" t="s">
        <v>89</v>
      </c>
      <c r="L2382" s="2" t="s">
        <v>754</v>
      </c>
      <c r="M2382" s="3" t="s">
        <v>787</v>
      </c>
      <c r="N2382" s="7" t="s">
        <v>92</v>
      </c>
      <c r="O2382" s="7" t="s">
        <v>93</v>
      </c>
      <c r="P2382" s="3" t="s">
        <v>673</v>
      </c>
      <c r="Q2382" s="8">
        <v>796</v>
      </c>
      <c r="R2382" s="7" t="s">
        <v>118</v>
      </c>
      <c r="S2382" s="9">
        <v>1</v>
      </c>
      <c r="T2382" s="9">
        <v>183380</v>
      </c>
      <c r="U2382" s="9">
        <f t="shared" si="1710"/>
        <v>183380</v>
      </c>
      <c r="V2382" s="9">
        <f t="shared" si="1708"/>
        <v>205385.60000000001</v>
      </c>
      <c r="W2382" s="3"/>
      <c r="X2382" s="2">
        <v>2016</v>
      </c>
      <c r="Y2382" s="3"/>
    </row>
    <row r="2383" spans="1:25" s="20" customFormat="1" ht="89.25" customHeight="1" outlineLevel="1" x14ac:dyDescent="0.25">
      <c r="A2383" s="1"/>
      <c r="B2383" s="2" t="s">
        <v>6818</v>
      </c>
      <c r="C2383" s="3" t="s">
        <v>83</v>
      </c>
      <c r="D2383" s="3" t="s">
        <v>4498</v>
      </c>
      <c r="E2383" s="3" t="s">
        <v>1014</v>
      </c>
      <c r="F2383" s="3" t="s">
        <v>4499</v>
      </c>
      <c r="G2383" s="3" t="s">
        <v>4581</v>
      </c>
      <c r="H2383" s="2" t="s">
        <v>694</v>
      </c>
      <c r="I2383" s="21">
        <v>0</v>
      </c>
      <c r="J2383" s="5">
        <v>710000000</v>
      </c>
      <c r="K2383" s="3" t="s">
        <v>89</v>
      </c>
      <c r="L2383" s="2" t="s">
        <v>754</v>
      </c>
      <c r="M2383" s="3" t="s">
        <v>787</v>
      </c>
      <c r="N2383" s="7" t="s">
        <v>92</v>
      </c>
      <c r="O2383" s="7" t="s">
        <v>93</v>
      </c>
      <c r="P2383" s="3" t="s">
        <v>673</v>
      </c>
      <c r="Q2383" s="8">
        <v>796</v>
      </c>
      <c r="R2383" s="7" t="s">
        <v>118</v>
      </c>
      <c r="S2383" s="9">
        <v>42</v>
      </c>
      <c r="T2383" s="9">
        <v>1000</v>
      </c>
      <c r="U2383" s="9">
        <f t="shared" si="1710"/>
        <v>42000</v>
      </c>
      <c r="V2383" s="9">
        <f t="shared" si="1708"/>
        <v>47040.000000000007</v>
      </c>
      <c r="W2383" s="3"/>
      <c r="X2383" s="2">
        <v>2016</v>
      </c>
      <c r="Y2383" s="3"/>
    </row>
    <row r="2384" spans="1:25" s="20" customFormat="1" ht="89.25" customHeight="1" outlineLevel="1" x14ac:dyDescent="0.2">
      <c r="A2384" s="25"/>
      <c r="B2384" s="2" t="s">
        <v>6819</v>
      </c>
      <c r="C2384" s="3" t="s">
        <v>83</v>
      </c>
      <c r="D2384" s="3" t="s">
        <v>4530</v>
      </c>
      <c r="E2384" s="3" t="s">
        <v>790</v>
      </c>
      <c r="F2384" s="3" t="s">
        <v>4531</v>
      </c>
      <c r="G2384" s="3" t="s">
        <v>4582</v>
      </c>
      <c r="H2384" s="2" t="s">
        <v>694</v>
      </c>
      <c r="I2384" s="21">
        <v>0</v>
      </c>
      <c r="J2384" s="5">
        <v>710000000</v>
      </c>
      <c r="K2384" s="3" t="s">
        <v>89</v>
      </c>
      <c r="L2384" s="2" t="s">
        <v>754</v>
      </c>
      <c r="M2384" s="3" t="s">
        <v>787</v>
      </c>
      <c r="N2384" s="7" t="s">
        <v>92</v>
      </c>
      <c r="O2384" s="7" t="s">
        <v>93</v>
      </c>
      <c r="P2384" s="3" t="s">
        <v>673</v>
      </c>
      <c r="Q2384" s="8" t="s">
        <v>861</v>
      </c>
      <c r="R2384" s="7" t="s">
        <v>812</v>
      </c>
      <c r="S2384" s="9">
        <f>17+30+5+2</f>
        <v>54</v>
      </c>
      <c r="T2384" s="9">
        <v>4340.1899999999996</v>
      </c>
      <c r="U2384" s="9">
        <v>0</v>
      </c>
      <c r="V2384" s="9">
        <f t="shared" si="1708"/>
        <v>0</v>
      </c>
      <c r="W2384" s="3"/>
      <c r="X2384" s="2">
        <v>2016</v>
      </c>
      <c r="Y2384" s="3">
        <v>11</v>
      </c>
    </row>
    <row r="2385" spans="1:25" s="20" customFormat="1" ht="89.25" customHeight="1" outlineLevel="1" x14ac:dyDescent="0.25">
      <c r="A2385" s="1"/>
      <c r="B2385" s="2" t="s">
        <v>9254</v>
      </c>
      <c r="C2385" s="3" t="s">
        <v>83</v>
      </c>
      <c r="D2385" s="3" t="s">
        <v>4530</v>
      </c>
      <c r="E2385" s="3" t="s">
        <v>790</v>
      </c>
      <c r="F2385" s="3" t="s">
        <v>4531</v>
      </c>
      <c r="G2385" s="3" t="s">
        <v>4582</v>
      </c>
      <c r="H2385" s="2" t="s">
        <v>694</v>
      </c>
      <c r="I2385" s="21">
        <v>0</v>
      </c>
      <c r="J2385" s="5">
        <v>710000000</v>
      </c>
      <c r="K2385" s="3" t="s">
        <v>89</v>
      </c>
      <c r="L2385" s="5" t="s">
        <v>9096</v>
      </c>
      <c r="M2385" s="3" t="s">
        <v>787</v>
      </c>
      <c r="N2385" s="7" t="s">
        <v>92</v>
      </c>
      <c r="O2385" s="7" t="s">
        <v>93</v>
      </c>
      <c r="P2385" s="3" t="s">
        <v>673</v>
      </c>
      <c r="Q2385" s="8" t="s">
        <v>861</v>
      </c>
      <c r="R2385" s="7" t="s">
        <v>812</v>
      </c>
      <c r="S2385" s="9">
        <f>17+30+5+2</f>
        <v>54</v>
      </c>
      <c r="T2385" s="9">
        <v>4340.1899999999996</v>
      </c>
      <c r="U2385" s="9">
        <f t="shared" ref="U2385" si="1721">S2385*T2385</f>
        <v>234370.25999999998</v>
      </c>
      <c r="V2385" s="9">
        <f t="shared" ref="V2385" si="1722">U2385*1.12</f>
        <v>262494.6912</v>
      </c>
      <c r="W2385" s="3"/>
      <c r="X2385" s="2">
        <v>2016</v>
      </c>
      <c r="Y2385" s="3"/>
    </row>
    <row r="2386" spans="1:25" s="20" customFormat="1" ht="89.25" customHeight="1" outlineLevel="1" x14ac:dyDescent="0.2">
      <c r="A2386" s="25"/>
      <c r="B2386" s="2" t="s">
        <v>6820</v>
      </c>
      <c r="C2386" s="3" t="s">
        <v>83</v>
      </c>
      <c r="D2386" s="3" t="s">
        <v>4583</v>
      </c>
      <c r="E2386" s="3" t="s">
        <v>790</v>
      </c>
      <c r="F2386" s="3" t="s">
        <v>4584</v>
      </c>
      <c r="G2386" s="3" t="s">
        <v>4585</v>
      </c>
      <c r="H2386" s="2" t="s">
        <v>694</v>
      </c>
      <c r="I2386" s="21">
        <v>0</v>
      </c>
      <c r="J2386" s="5">
        <v>710000000</v>
      </c>
      <c r="K2386" s="3" t="s">
        <v>89</v>
      </c>
      <c r="L2386" s="2" t="s">
        <v>754</v>
      </c>
      <c r="M2386" s="3" t="s">
        <v>787</v>
      </c>
      <c r="N2386" s="7" t="s">
        <v>92</v>
      </c>
      <c r="O2386" s="7" t="s">
        <v>93</v>
      </c>
      <c r="P2386" s="3" t="s">
        <v>673</v>
      </c>
      <c r="Q2386" s="8" t="s">
        <v>861</v>
      </c>
      <c r="R2386" s="7" t="s">
        <v>812</v>
      </c>
      <c r="S2386" s="9">
        <f>110+74+6</f>
        <v>190</v>
      </c>
      <c r="T2386" s="9">
        <v>6552.79</v>
      </c>
      <c r="U2386" s="9">
        <v>0</v>
      </c>
      <c r="V2386" s="9">
        <f t="shared" si="1708"/>
        <v>0</v>
      </c>
      <c r="W2386" s="3"/>
      <c r="X2386" s="2">
        <v>2016</v>
      </c>
      <c r="Y2386" s="3">
        <v>11</v>
      </c>
    </row>
    <row r="2387" spans="1:25" s="20" customFormat="1" ht="89.25" customHeight="1" outlineLevel="1" x14ac:dyDescent="0.25">
      <c r="A2387" s="1"/>
      <c r="B2387" s="2" t="s">
        <v>9255</v>
      </c>
      <c r="C2387" s="3" t="s">
        <v>83</v>
      </c>
      <c r="D2387" s="3" t="s">
        <v>4583</v>
      </c>
      <c r="E2387" s="3" t="s">
        <v>790</v>
      </c>
      <c r="F2387" s="3" t="s">
        <v>4584</v>
      </c>
      <c r="G2387" s="3" t="s">
        <v>4585</v>
      </c>
      <c r="H2387" s="2" t="s">
        <v>694</v>
      </c>
      <c r="I2387" s="21">
        <v>0</v>
      </c>
      <c r="J2387" s="5">
        <v>710000000</v>
      </c>
      <c r="K2387" s="3" t="s">
        <v>89</v>
      </c>
      <c r="L2387" s="5" t="s">
        <v>9096</v>
      </c>
      <c r="M2387" s="3" t="s">
        <v>787</v>
      </c>
      <c r="N2387" s="7" t="s">
        <v>92</v>
      </c>
      <c r="O2387" s="7" t="s">
        <v>93</v>
      </c>
      <c r="P2387" s="3" t="s">
        <v>673</v>
      </c>
      <c r="Q2387" s="8" t="s">
        <v>861</v>
      </c>
      <c r="R2387" s="7" t="s">
        <v>812</v>
      </c>
      <c r="S2387" s="9">
        <f>110+74+6</f>
        <v>190</v>
      </c>
      <c r="T2387" s="9">
        <v>6552.79</v>
      </c>
      <c r="U2387" s="9">
        <f t="shared" ref="U2387" si="1723">S2387*T2387</f>
        <v>1245030.1000000001</v>
      </c>
      <c r="V2387" s="9">
        <f t="shared" ref="V2387" si="1724">U2387*1.12</f>
        <v>1394433.7120000003</v>
      </c>
      <c r="W2387" s="3"/>
      <c r="X2387" s="2">
        <v>2016</v>
      </c>
      <c r="Y2387" s="3"/>
    </row>
    <row r="2388" spans="1:25" s="20" customFormat="1" ht="89.25" customHeight="1" outlineLevel="1" x14ac:dyDescent="0.25">
      <c r="A2388" s="1"/>
      <c r="B2388" s="2" t="s">
        <v>6821</v>
      </c>
      <c r="C2388" s="3" t="s">
        <v>83</v>
      </c>
      <c r="D2388" s="3" t="s">
        <v>4586</v>
      </c>
      <c r="E2388" s="3" t="s">
        <v>4587</v>
      </c>
      <c r="F2388" s="3" t="s">
        <v>4588</v>
      </c>
      <c r="G2388" s="3"/>
      <c r="H2388" s="2" t="s">
        <v>694</v>
      </c>
      <c r="I2388" s="21">
        <v>0</v>
      </c>
      <c r="J2388" s="5">
        <v>710000000</v>
      </c>
      <c r="K2388" s="3" t="s">
        <v>89</v>
      </c>
      <c r="L2388" s="2" t="s">
        <v>754</v>
      </c>
      <c r="M2388" s="3" t="s">
        <v>787</v>
      </c>
      <c r="N2388" s="7" t="s">
        <v>92</v>
      </c>
      <c r="O2388" s="7" t="s">
        <v>93</v>
      </c>
      <c r="P2388" s="3" t="s">
        <v>673</v>
      </c>
      <c r="Q2388" s="8">
        <v>796</v>
      </c>
      <c r="R2388" s="7" t="s">
        <v>118</v>
      </c>
      <c r="S2388" s="9">
        <f>34+3</f>
        <v>37</v>
      </c>
      <c r="T2388" s="9">
        <v>1218.75</v>
      </c>
      <c r="U2388" s="9">
        <f t="shared" si="1710"/>
        <v>45093.75</v>
      </c>
      <c r="V2388" s="9">
        <f t="shared" si="1708"/>
        <v>50505.000000000007</v>
      </c>
      <c r="W2388" s="3"/>
      <c r="X2388" s="2">
        <v>2016</v>
      </c>
      <c r="Y2388" s="3"/>
    </row>
    <row r="2389" spans="1:25" s="20" customFormat="1" ht="89.25" customHeight="1" outlineLevel="1" x14ac:dyDescent="0.25">
      <c r="A2389" s="1"/>
      <c r="B2389" s="2" t="s">
        <v>6822</v>
      </c>
      <c r="C2389" s="3" t="s">
        <v>83</v>
      </c>
      <c r="D2389" s="3" t="s">
        <v>4589</v>
      </c>
      <c r="E2389" s="3" t="s">
        <v>4590</v>
      </c>
      <c r="F2389" s="3" t="s">
        <v>4591</v>
      </c>
      <c r="G2389" s="3"/>
      <c r="H2389" s="2" t="s">
        <v>694</v>
      </c>
      <c r="I2389" s="21">
        <v>0</v>
      </c>
      <c r="J2389" s="5">
        <v>710000000</v>
      </c>
      <c r="K2389" s="3" t="s">
        <v>89</v>
      </c>
      <c r="L2389" s="2" t="s">
        <v>754</v>
      </c>
      <c r="M2389" s="3" t="s">
        <v>787</v>
      </c>
      <c r="N2389" s="7" t="s">
        <v>92</v>
      </c>
      <c r="O2389" s="7" t="s">
        <v>93</v>
      </c>
      <c r="P2389" s="3" t="s">
        <v>673</v>
      </c>
      <c r="Q2389" s="8">
        <v>796</v>
      </c>
      <c r="R2389" s="7" t="s">
        <v>118</v>
      </c>
      <c r="S2389" s="9">
        <v>5</v>
      </c>
      <c r="T2389" s="9">
        <v>32314</v>
      </c>
      <c r="U2389" s="9">
        <f t="shared" si="1710"/>
        <v>161570</v>
      </c>
      <c r="V2389" s="9">
        <f t="shared" si="1708"/>
        <v>180958.40000000002</v>
      </c>
      <c r="W2389" s="3"/>
      <c r="X2389" s="2">
        <v>2016</v>
      </c>
      <c r="Y2389" s="3"/>
    </row>
    <row r="2390" spans="1:25" s="20" customFormat="1" ht="89.25" customHeight="1" outlineLevel="1" x14ac:dyDescent="0.25">
      <c r="A2390" s="1"/>
      <c r="B2390" s="2" t="s">
        <v>6823</v>
      </c>
      <c r="C2390" s="3" t="s">
        <v>83</v>
      </c>
      <c r="D2390" s="3" t="s">
        <v>4592</v>
      </c>
      <c r="E2390" s="3" t="s">
        <v>2888</v>
      </c>
      <c r="F2390" s="3" t="s">
        <v>4593</v>
      </c>
      <c r="G2390" s="3"/>
      <c r="H2390" s="2" t="s">
        <v>694</v>
      </c>
      <c r="I2390" s="21">
        <v>0</v>
      </c>
      <c r="J2390" s="5">
        <v>710000000</v>
      </c>
      <c r="K2390" s="3" t="s">
        <v>89</v>
      </c>
      <c r="L2390" s="2" t="s">
        <v>754</v>
      </c>
      <c r="M2390" s="3" t="s">
        <v>787</v>
      </c>
      <c r="N2390" s="7" t="s">
        <v>92</v>
      </c>
      <c r="O2390" s="7" t="s">
        <v>93</v>
      </c>
      <c r="P2390" s="3" t="s">
        <v>673</v>
      </c>
      <c r="Q2390" s="8">
        <v>796</v>
      </c>
      <c r="R2390" s="7" t="s">
        <v>118</v>
      </c>
      <c r="S2390" s="9">
        <f>2+4+3</f>
        <v>9</v>
      </c>
      <c r="T2390" s="9">
        <v>49107.14</v>
      </c>
      <c r="U2390" s="9">
        <f t="shared" si="1710"/>
        <v>441964.26</v>
      </c>
      <c r="V2390" s="9">
        <f t="shared" si="1708"/>
        <v>494999.97120000003</v>
      </c>
      <c r="W2390" s="3"/>
      <c r="X2390" s="2">
        <v>2016</v>
      </c>
      <c r="Y2390" s="3"/>
    </row>
    <row r="2391" spans="1:25" s="20" customFormat="1" ht="89.25" customHeight="1" outlineLevel="1" x14ac:dyDescent="0.25">
      <c r="A2391" s="1"/>
      <c r="B2391" s="2" t="s">
        <v>6824</v>
      </c>
      <c r="C2391" s="3" t="s">
        <v>83</v>
      </c>
      <c r="D2391" s="3" t="s">
        <v>4594</v>
      </c>
      <c r="E2391" s="3" t="s">
        <v>4595</v>
      </c>
      <c r="F2391" s="3" t="s">
        <v>4596</v>
      </c>
      <c r="G2391" s="3"/>
      <c r="H2391" s="2" t="s">
        <v>694</v>
      </c>
      <c r="I2391" s="21">
        <v>0</v>
      </c>
      <c r="J2391" s="5">
        <v>710000000</v>
      </c>
      <c r="K2391" s="3" t="s">
        <v>89</v>
      </c>
      <c r="L2391" s="2" t="s">
        <v>754</v>
      </c>
      <c r="M2391" s="3" t="s">
        <v>787</v>
      </c>
      <c r="N2391" s="7" t="s">
        <v>92</v>
      </c>
      <c r="O2391" s="7" t="s">
        <v>93</v>
      </c>
      <c r="P2391" s="3" t="s">
        <v>673</v>
      </c>
      <c r="Q2391" s="8" t="s">
        <v>522</v>
      </c>
      <c r="R2391" s="7" t="s">
        <v>523</v>
      </c>
      <c r="S2391" s="9">
        <f>2+17</f>
        <v>19</v>
      </c>
      <c r="T2391" s="9">
        <v>375</v>
      </c>
      <c r="U2391" s="9">
        <f t="shared" si="1710"/>
        <v>7125</v>
      </c>
      <c r="V2391" s="9">
        <f t="shared" si="1708"/>
        <v>7980.0000000000009</v>
      </c>
      <c r="W2391" s="3"/>
      <c r="X2391" s="2">
        <v>2016</v>
      </c>
      <c r="Y2391" s="3"/>
    </row>
    <row r="2392" spans="1:25" s="20" customFormat="1" ht="89.25" customHeight="1" outlineLevel="1" x14ac:dyDescent="0.25">
      <c r="A2392" s="1"/>
      <c r="B2392" s="2" t="s">
        <v>6825</v>
      </c>
      <c r="C2392" s="3" t="s">
        <v>83</v>
      </c>
      <c r="D2392" s="3" t="s">
        <v>4597</v>
      </c>
      <c r="E2392" s="3" t="s">
        <v>4598</v>
      </c>
      <c r="F2392" s="3" t="s">
        <v>4599</v>
      </c>
      <c r="G2392" s="3" t="s">
        <v>4600</v>
      </c>
      <c r="H2392" s="2" t="s">
        <v>694</v>
      </c>
      <c r="I2392" s="21">
        <v>0</v>
      </c>
      <c r="J2392" s="5">
        <v>710000000</v>
      </c>
      <c r="K2392" s="3" t="s">
        <v>89</v>
      </c>
      <c r="L2392" s="2" t="s">
        <v>754</v>
      </c>
      <c r="M2392" s="3" t="s">
        <v>787</v>
      </c>
      <c r="N2392" s="7" t="s">
        <v>92</v>
      </c>
      <c r="O2392" s="7" t="s">
        <v>93</v>
      </c>
      <c r="P2392" s="3" t="s">
        <v>673</v>
      </c>
      <c r="Q2392" s="8">
        <v>796</v>
      </c>
      <c r="R2392" s="7" t="s">
        <v>118</v>
      </c>
      <c r="S2392" s="9">
        <v>1</v>
      </c>
      <c r="T2392" s="9">
        <v>9223</v>
      </c>
      <c r="U2392" s="9">
        <f t="shared" si="1710"/>
        <v>9223</v>
      </c>
      <c r="V2392" s="9">
        <f t="shared" si="1708"/>
        <v>10329.76</v>
      </c>
      <c r="W2392" s="3"/>
      <c r="X2392" s="2">
        <v>2016</v>
      </c>
      <c r="Y2392" s="3"/>
    </row>
    <row r="2393" spans="1:25" s="20" customFormat="1" ht="89.25" customHeight="1" outlineLevel="1" x14ac:dyDescent="0.25">
      <c r="A2393" s="1"/>
      <c r="B2393" s="2" t="s">
        <v>6826</v>
      </c>
      <c r="C2393" s="3" t="s">
        <v>83</v>
      </c>
      <c r="D2393" s="3" t="s">
        <v>4589</v>
      </c>
      <c r="E2393" s="3" t="s">
        <v>4590</v>
      </c>
      <c r="F2393" s="3" t="s">
        <v>4591</v>
      </c>
      <c r="G2393" s="3" t="s">
        <v>4601</v>
      </c>
      <c r="H2393" s="2" t="s">
        <v>694</v>
      </c>
      <c r="I2393" s="21">
        <v>0</v>
      </c>
      <c r="J2393" s="5">
        <v>710000000</v>
      </c>
      <c r="K2393" s="3" t="s">
        <v>89</v>
      </c>
      <c r="L2393" s="2" t="s">
        <v>754</v>
      </c>
      <c r="M2393" s="3" t="s">
        <v>787</v>
      </c>
      <c r="N2393" s="7" t="s">
        <v>92</v>
      </c>
      <c r="O2393" s="7" t="s">
        <v>93</v>
      </c>
      <c r="P2393" s="3" t="s">
        <v>673</v>
      </c>
      <c r="Q2393" s="8">
        <v>796</v>
      </c>
      <c r="R2393" s="7" t="s">
        <v>118</v>
      </c>
      <c r="S2393" s="9">
        <f>1+1</f>
        <v>2</v>
      </c>
      <c r="T2393" s="9">
        <v>246434.87</v>
      </c>
      <c r="U2393" s="9">
        <f t="shared" si="1710"/>
        <v>492869.74</v>
      </c>
      <c r="V2393" s="9">
        <f t="shared" si="1708"/>
        <v>552014.10880000005</v>
      </c>
      <c r="W2393" s="3"/>
      <c r="X2393" s="2">
        <v>2016</v>
      </c>
      <c r="Y2393" s="3"/>
    </row>
    <row r="2394" spans="1:25" s="20" customFormat="1" ht="89.25" customHeight="1" outlineLevel="1" x14ac:dyDescent="0.25">
      <c r="A2394" s="1"/>
      <c r="B2394" s="2" t="s">
        <v>6827</v>
      </c>
      <c r="C2394" s="3" t="s">
        <v>83</v>
      </c>
      <c r="D2394" s="3" t="s">
        <v>4602</v>
      </c>
      <c r="E2394" s="3" t="s">
        <v>4603</v>
      </c>
      <c r="F2394" s="3" t="s">
        <v>4604</v>
      </c>
      <c r="G2394" s="3"/>
      <c r="H2394" s="2" t="s">
        <v>694</v>
      </c>
      <c r="I2394" s="21">
        <v>0</v>
      </c>
      <c r="J2394" s="5">
        <v>710000000</v>
      </c>
      <c r="K2394" s="3" t="s">
        <v>89</v>
      </c>
      <c r="L2394" s="2" t="s">
        <v>754</v>
      </c>
      <c r="M2394" s="3" t="s">
        <v>787</v>
      </c>
      <c r="N2394" s="7" t="s">
        <v>92</v>
      </c>
      <c r="O2394" s="7" t="s">
        <v>93</v>
      </c>
      <c r="P2394" s="3" t="s">
        <v>673</v>
      </c>
      <c r="Q2394" s="8" t="s">
        <v>544</v>
      </c>
      <c r="R2394" s="7" t="s">
        <v>111</v>
      </c>
      <c r="S2394" s="9">
        <v>125</v>
      </c>
      <c r="T2394" s="9">
        <v>178.57</v>
      </c>
      <c r="U2394" s="9">
        <f t="shared" si="1710"/>
        <v>22321.25</v>
      </c>
      <c r="V2394" s="9">
        <f t="shared" si="1708"/>
        <v>24999.800000000003</v>
      </c>
      <c r="W2394" s="3"/>
      <c r="X2394" s="2">
        <v>2016</v>
      </c>
      <c r="Y2394" s="3"/>
    </row>
    <row r="2395" spans="1:25" s="20" customFormat="1" ht="89.25" customHeight="1" outlineLevel="1" x14ac:dyDescent="0.25">
      <c r="A2395" s="1"/>
      <c r="B2395" s="2" t="s">
        <v>6828</v>
      </c>
      <c r="C2395" s="3" t="s">
        <v>83</v>
      </c>
      <c r="D2395" s="3" t="s">
        <v>4605</v>
      </c>
      <c r="E2395" s="3" t="s">
        <v>4606</v>
      </c>
      <c r="F2395" s="3" t="s">
        <v>4607</v>
      </c>
      <c r="G2395" s="3"/>
      <c r="H2395" s="2" t="s">
        <v>694</v>
      </c>
      <c r="I2395" s="21">
        <v>0</v>
      </c>
      <c r="J2395" s="5">
        <v>710000000</v>
      </c>
      <c r="K2395" s="3" t="s">
        <v>89</v>
      </c>
      <c r="L2395" s="2" t="s">
        <v>754</v>
      </c>
      <c r="M2395" s="3" t="s">
        <v>787</v>
      </c>
      <c r="N2395" s="7" t="s">
        <v>92</v>
      </c>
      <c r="O2395" s="7" t="s">
        <v>93</v>
      </c>
      <c r="P2395" s="3" t="s">
        <v>673</v>
      </c>
      <c r="Q2395" s="8">
        <v>796</v>
      </c>
      <c r="R2395" s="7" t="s">
        <v>118</v>
      </c>
      <c r="S2395" s="9">
        <f>3+2</f>
        <v>5</v>
      </c>
      <c r="T2395" s="9">
        <v>1339</v>
      </c>
      <c r="U2395" s="9">
        <f t="shared" si="1710"/>
        <v>6695</v>
      </c>
      <c r="V2395" s="9">
        <f t="shared" si="1708"/>
        <v>7498.4000000000005</v>
      </c>
      <c r="W2395" s="3"/>
      <c r="X2395" s="2">
        <v>2016</v>
      </c>
      <c r="Y2395" s="3"/>
    </row>
    <row r="2396" spans="1:25" s="20" customFormat="1" ht="89.25" customHeight="1" outlineLevel="1" x14ac:dyDescent="0.25">
      <c r="A2396" s="1"/>
      <c r="B2396" s="2" t="s">
        <v>6829</v>
      </c>
      <c r="C2396" s="3" t="s">
        <v>83</v>
      </c>
      <c r="D2396" s="3" t="s">
        <v>4608</v>
      </c>
      <c r="E2396" s="3" t="s">
        <v>4609</v>
      </c>
      <c r="F2396" s="3" t="s">
        <v>4610</v>
      </c>
      <c r="G2396" s="3" t="s">
        <v>4611</v>
      </c>
      <c r="H2396" s="2" t="s">
        <v>694</v>
      </c>
      <c r="I2396" s="21">
        <v>0</v>
      </c>
      <c r="J2396" s="5">
        <v>710000000</v>
      </c>
      <c r="K2396" s="3" t="s">
        <v>89</v>
      </c>
      <c r="L2396" s="2" t="s">
        <v>754</v>
      </c>
      <c r="M2396" s="3" t="s">
        <v>787</v>
      </c>
      <c r="N2396" s="7" t="s">
        <v>92</v>
      </c>
      <c r="O2396" s="7" t="s">
        <v>93</v>
      </c>
      <c r="P2396" s="3" t="s">
        <v>673</v>
      </c>
      <c r="Q2396" s="8">
        <v>796</v>
      </c>
      <c r="R2396" s="7" t="s">
        <v>118</v>
      </c>
      <c r="S2396" s="9">
        <f>2+2</f>
        <v>4</v>
      </c>
      <c r="T2396" s="9">
        <v>446.43</v>
      </c>
      <c r="U2396" s="9">
        <f t="shared" si="1710"/>
        <v>1785.72</v>
      </c>
      <c r="V2396" s="9">
        <f t="shared" si="1708"/>
        <v>2000.0064000000002</v>
      </c>
      <c r="W2396" s="3"/>
      <c r="X2396" s="2">
        <v>2016</v>
      </c>
      <c r="Y2396" s="3"/>
    </row>
    <row r="2397" spans="1:25" s="20" customFormat="1" ht="89.25" customHeight="1" outlineLevel="1" x14ac:dyDescent="0.25">
      <c r="A2397" s="1"/>
      <c r="B2397" s="2" t="s">
        <v>6830</v>
      </c>
      <c r="C2397" s="3" t="s">
        <v>83</v>
      </c>
      <c r="D2397" s="3" t="s">
        <v>4612</v>
      </c>
      <c r="E2397" s="3" t="s">
        <v>3089</v>
      </c>
      <c r="F2397" s="3" t="s">
        <v>4613</v>
      </c>
      <c r="G2397" s="19"/>
      <c r="H2397" s="2" t="s">
        <v>694</v>
      </c>
      <c r="I2397" s="21">
        <v>0</v>
      </c>
      <c r="J2397" s="5">
        <v>710000000</v>
      </c>
      <c r="K2397" s="3" t="s">
        <v>89</v>
      </c>
      <c r="L2397" s="2" t="s">
        <v>754</v>
      </c>
      <c r="M2397" s="3" t="s">
        <v>787</v>
      </c>
      <c r="N2397" s="7" t="s">
        <v>92</v>
      </c>
      <c r="O2397" s="7" t="s">
        <v>93</v>
      </c>
      <c r="P2397" s="3" t="s">
        <v>673</v>
      </c>
      <c r="Q2397" s="8">
        <v>796</v>
      </c>
      <c r="R2397" s="7" t="s">
        <v>118</v>
      </c>
      <c r="S2397" s="9">
        <v>9</v>
      </c>
      <c r="T2397" s="9">
        <v>4950</v>
      </c>
      <c r="U2397" s="9">
        <f t="shared" ref="U2397:U2467" si="1725">T2397*S2397</f>
        <v>44550</v>
      </c>
      <c r="V2397" s="9">
        <f t="shared" si="1708"/>
        <v>49896.000000000007</v>
      </c>
      <c r="W2397" s="3"/>
      <c r="X2397" s="2">
        <v>2016</v>
      </c>
      <c r="Y2397" s="3"/>
    </row>
    <row r="2398" spans="1:25" s="20" customFormat="1" ht="89.25" customHeight="1" outlineLevel="1" x14ac:dyDescent="0.25">
      <c r="A2398" s="1"/>
      <c r="B2398" s="2" t="s">
        <v>6831</v>
      </c>
      <c r="C2398" s="3" t="s">
        <v>83</v>
      </c>
      <c r="D2398" s="3" t="s">
        <v>4614</v>
      </c>
      <c r="E2398" s="3" t="s">
        <v>4615</v>
      </c>
      <c r="F2398" s="3" t="s">
        <v>4616</v>
      </c>
      <c r="G2398" s="19"/>
      <c r="H2398" s="2" t="s">
        <v>694</v>
      </c>
      <c r="I2398" s="21">
        <v>0</v>
      </c>
      <c r="J2398" s="5">
        <v>710000000</v>
      </c>
      <c r="K2398" s="3" t="s">
        <v>89</v>
      </c>
      <c r="L2398" s="2" t="s">
        <v>754</v>
      </c>
      <c r="M2398" s="3" t="s">
        <v>787</v>
      </c>
      <c r="N2398" s="7" t="s">
        <v>92</v>
      </c>
      <c r="O2398" s="7" t="s">
        <v>93</v>
      </c>
      <c r="P2398" s="3" t="s">
        <v>673</v>
      </c>
      <c r="Q2398" s="8">
        <v>796</v>
      </c>
      <c r="R2398" s="7" t="s">
        <v>118</v>
      </c>
      <c r="S2398" s="9">
        <f>8+1</f>
        <v>9</v>
      </c>
      <c r="T2398" s="9">
        <v>5312.5</v>
      </c>
      <c r="U2398" s="9">
        <f t="shared" si="1725"/>
        <v>47812.5</v>
      </c>
      <c r="V2398" s="9">
        <f t="shared" si="1708"/>
        <v>53550.000000000007</v>
      </c>
      <c r="W2398" s="3"/>
      <c r="X2398" s="2">
        <v>2016</v>
      </c>
      <c r="Y2398" s="3"/>
    </row>
    <row r="2399" spans="1:25" s="20" customFormat="1" ht="89.25" customHeight="1" outlineLevel="1" x14ac:dyDescent="0.25">
      <c r="A2399" s="1"/>
      <c r="B2399" s="2" t="s">
        <v>6832</v>
      </c>
      <c r="C2399" s="3" t="s">
        <v>83</v>
      </c>
      <c r="D2399" s="19" t="s">
        <v>4617</v>
      </c>
      <c r="E2399" s="19" t="s">
        <v>4618</v>
      </c>
      <c r="F2399" s="19" t="s">
        <v>4619</v>
      </c>
      <c r="G2399" s="19" t="s">
        <v>4620</v>
      </c>
      <c r="H2399" s="2" t="s">
        <v>694</v>
      </c>
      <c r="I2399" s="4">
        <v>0</v>
      </c>
      <c r="J2399" s="5">
        <v>710000000</v>
      </c>
      <c r="K2399" s="5" t="s">
        <v>89</v>
      </c>
      <c r="L2399" s="2" t="s">
        <v>754</v>
      </c>
      <c r="M2399" s="6" t="s">
        <v>91</v>
      </c>
      <c r="N2399" s="7" t="s">
        <v>92</v>
      </c>
      <c r="O2399" s="7" t="s">
        <v>93</v>
      </c>
      <c r="P2399" s="3" t="s">
        <v>673</v>
      </c>
      <c r="Q2399" s="8" t="s">
        <v>117</v>
      </c>
      <c r="R2399" s="7" t="s">
        <v>118</v>
      </c>
      <c r="S2399" s="9">
        <v>12</v>
      </c>
      <c r="T2399" s="9">
        <v>4379</v>
      </c>
      <c r="U2399" s="9">
        <f t="shared" si="1725"/>
        <v>52548</v>
      </c>
      <c r="V2399" s="9">
        <f t="shared" si="1708"/>
        <v>58853.760000000002</v>
      </c>
      <c r="W2399" s="7"/>
      <c r="X2399" s="2">
        <v>2016</v>
      </c>
      <c r="Y2399" s="2"/>
    </row>
    <row r="2400" spans="1:25" s="20" customFormat="1" ht="89.25" customHeight="1" outlineLevel="1" x14ac:dyDescent="0.25">
      <c r="A2400" s="1"/>
      <c r="B2400" s="2" t="s">
        <v>6833</v>
      </c>
      <c r="C2400" s="3" t="s">
        <v>83</v>
      </c>
      <c r="D2400" s="19" t="s">
        <v>4621</v>
      </c>
      <c r="E2400" s="19" t="s">
        <v>790</v>
      </c>
      <c r="F2400" s="19" t="s">
        <v>4622</v>
      </c>
      <c r="G2400" s="19" t="s">
        <v>4623</v>
      </c>
      <c r="H2400" s="2" t="s">
        <v>694</v>
      </c>
      <c r="I2400" s="4">
        <v>0</v>
      </c>
      <c r="J2400" s="5">
        <v>710000000</v>
      </c>
      <c r="K2400" s="5" t="s">
        <v>89</v>
      </c>
      <c r="L2400" s="2" t="s">
        <v>754</v>
      </c>
      <c r="M2400" s="6" t="s">
        <v>91</v>
      </c>
      <c r="N2400" s="7" t="s">
        <v>92</v>
      </c>
      <c r="O2400" s="7" t="s">
        <v>93</v>
      </c>
      <c r="P2400" s="3" t="s">
        <v>673</v>
      </c>
      <c r="Q2400" s="8" t="s">
        <v>117</v>
      </c>
      <c r="R2400" s="7" t="s">
        <v>118</v>
      </c>
      <c r="S2400" s="9">
        <v>5</v>
      </c>
      <c r="T2400" s="9">
        <v>4804</v>
      </c>
      <c r="U2400" s="9">
        <f t="shared" si="1725"/>
        <v>24020</v>
      </c>
      <c r="V2400" s="9">
        <f t="shared" si="1708"/>
        <v>26902.400000000001</v>
      </c>
      <c r="W2400" s="7"/>
      <c r="X2400" s="2">
        <v>2016</v>
      </c>
      <c r="Y2400" s="2"/>
    </row>
    <row r="2401" spans="1:25" s="11" customFormat="1" ht="89.25" customHeight="1" outlineLevel="1" x14ac:dyDescent="0.25">
      <c r="A2401" s="1"/>
      <c r="B2401" s="2" t="s">
        <v>6834</v>
      </c>
      <c r="C2401" s="3" t="s">
        <v>83</v>
      </c>
      <c r="D2401" s="19" t="s">
        <v>4624</v>
      </c>
      <c r="E2401" s="19" t="s">
        <v>790</v>
      </c>
      <c r="F2401" s="19" t="s">
        <v>4625</v>
      </c>
      <c r="G2401" s="19" t="s">
        <v>4626</v>
      </c>
      <c r="H2401" s="2" t="s">
        <v>694</v>
      </c>
      <c r="I2401" s="4">
        <v>0</v>
      </c>
      <c r="J2401" s="5">
        <v>710000000</v>
      </c>
      <c r="K2401" s="5" t="s">
        <v>89</v>
      </c>
      <c r="L2401" s="2" t="s">
        <v>754</v>
      </c>
      <c r="M2401" s="6" t="s">
        <v>91</v>
      </c>
      <c r="N2401" s="7" t="s">
        <v>92</v>
      </c>
      <c r="O2401" s="7" t="s">
        <v>93</v>
      </c>
      <c r="P2401" s="3" t="s">
        <v>673</v>
      </c>
      <c r="Q2401" s="8" t="s">
        <v>117</v>
      </c>
      <c r="R2401" s="7" t="s">
        <v>118</v>
      </c>
      <c r="S2401" s="9">
        <v>8</v>
      </c>
      <c r="T2401" s="9">
        <v>393</v>
      </c>
      <c r="U2401" s="9">
        <f t="shared" si="1725"/>
        <v>3144</v>
      </c>
      <c r="V2401" s="9">
        <f t="shared" si="1708"/>
        <v>3521.28</v>
      </c>
      <c r="W2401" s="7"/>
      <c r="X2401" s="2">
        <v>2016</v>
      </c>
      <c r="Y2401" s="2"/>
    </row>
    <row r="2402" spans="1:25" s="11" customFormat="1" ht="89.25" customHeight="1" outlineLevel="1" x14ac:dyDescent="0.25">
      <c r="A2402" s="1"/>
      <c r="B2402" s="2" t="s">
        <v>6835</v>
      </c>
      <c r="C2402" s="3" t="s">
        <v>83</v>
      </c>
      <c r="D2402" s="19" t="s">
        <v>4624</v>
      </c>
      <c r="E2402" s="19" t="s">
        <v>790</v>
      </c>
      <c r="F2402" s="19" t="s">
        <v>4625</v>
      </c>
      <c r="G2402" s="19" t="s">
        <v>4627</v>
      </c>
      <c r="H2402" s="2" t="s">
        <v>694</v>
      </c>
      <c r="I2402" s="4">
        <v>0</v>
      </c>
      <c r="J2402" s="5">
        <v>710000000</v>
      </c>
      <c r="K2402" s="5" t="s">
        <v>89</v>
      </c>
      <c r="L2402" s="2" t="s">
        <v>754</v>
      </c>
      <c r="M2402" s="6" t="s">
        <v>91</v>
      </c>
      <c r="N2402" s="7" t="s">
        <v>92</v>
      </c>
      <c r="O2402" s="7" t="s">
        <v>93</v>
      </c>
      <c r="P2402" s="3" t="s">
        <v>673</v>
      </c>
      <c r="Q2402" s="8" t="s">
        <v>117</v>
      </c>
      <c r="R2402" s="7" t="s">
        <v>118</v>
      </c>
      <c r="S2402" s="9">
        <v>4</v>
      </c>
      <c r="T2402" s="9">
        <v>1528</v>
      </c>
      <c r="U2402" s="9">
        <f t="shared" si="1725"/>
        <v>6112</v>
      </c>
      <c r="V2402" s="9">
        <f t="shared" si="1708"/>
        <v>6845.4400000000005</v>
      </c>
      <c r="W2402" s="7"/>
      <c r="X2402" s="2">
        <v>2016</v>
      </c>
      <c r="Y2402" s="2"/>
    </row>
    <row r="2403" spans="1:25" s="11" customFormat="1" ht="89.25" customHeight="1" outlineLevel="1" x14ac:dyDescent="0.25">
      <c r="A2403" s="1"/>
      <c r="B2403" s="2" t="s">
        <v>6836</v>
      </c>
      <c r="C2403" s="3" t="s">
        <v>83</v>
      </c>
      <c r="D2403" s="19" t="s">
        <v>4628</v>
      </c>
      <c r="E2403" s="19" t="s">
        <v>4629</v>
      </c>
      <c r="F2403" s="19" t="s">
        <v>4630</v>
      </c>
      <c r="G2403" s="19" t="s">
        <v>4631</v>
      </c>
      <c r="H2403" s="2" t="s">
        <v>694</v>
      </c>
      <c r="I2403" s="4">
        <v>0</v>
      </c>
      <c r="J2403" s="5">
        <v>710000000</v>
      </c>
      <c r="K2403" s="5" t="s">
        <v>89</v>
      </c>
      <c r="L2403" s="2" t="s">
        <v>754</v>
      </c>
      <c r="M2403" s="6" t="s">
        <v>91</v>
      </c>
      <c r="N2403" s="7" t="s">
        <v>92</v>
      </c>
      <c r="O2403" s="7" t="s">
        <v>93</v>
      </c>
      <c r="P2403" s="3" t="s">
        <v>673</v>
      </c>
      <c r="Q2403" s="8" t="s">
        <v>117</v>
      </c>
      <c r="R2403" s="7" t="s">
        <v>118</v>
      </c>
      <c r="S2403" s="9">
        <v>2</v>
      </c>
      <c r="T2403" s="9">
        <v>26750</v>
      </c>
      <c r="U2403" s="9">
        <f t="shared" si="1725"/>
        <v>53500</v>
      </c>
      <c r="V2403" s="9">
        <f t="shared" si="1708"/>
        <v>59920.000000000007</v>
      </c>
      <c r="W2403" s="7"/>
      <c r="X2403" s="2">
        <v>2016</v>
      </c>
      <c r="Y2403" s="2"/>
    </row>
    <row r="2404" spans="1:25" s="11" customFormat="1" ht="89.25" customHeight="1" outlineLevel="1" x14ac:dyDescent="0.25">
      <c r="A2404" s="1"/>
      <c r="B2404" s="2" t="s">
        <v>6837</v>
      </c>
      <c r="C2404" s="3" t="s">
        <v>83</v>
      </c>
      <c r="D2404" s="19" t="s">
        <v>4632</v>
      </c>
      <c r="E2404" s="19" t="s">
        <v>906</v>
      </c>
      <c r="F2404" s="19" t="s">
        <v>4633</v>
      </c>
      <c r="G2404" s="19" t="s">
        <v>4634</v>
      </c>
      <c r="H2404" s="2" t="s">
        <v>694</v>
      </c>
      <c r="I2404" s="4">
        <v>0</v>
      </c>
      <c r="J2404" s="5">
        <v>710000000</v>
      </c>
      <c r="K2404" s="5" t="s">
        <v>89</v>
      </c>
      <c r="L2404" s="2" t="s">
        <v>754</v>
      </c>
      <c r="M2404" s="6" t="s">
        <v>91</v>
      </c>
      <c r="N2404" s="7" t="s">
        <v>92</v>
      </c>
      <c r="O2404" s="7" t="s">
        <v>93</v>
      </c>
      <c r="P2404" s="3" t="s">
        <v>673</v>
      </c>
      <c r="Q2404" s="8" t="s">
        <v>117</v>
      </c>
      <c r="R2404" s="7" t="s">
        <v>118</v>
      </c>
      <c r="S2404" s="9">
        <v>2</v>
      </c>
      <c r="T2404" s="9">
        <v>36379</v>
      </c>
      <c r="U2404" s="9">
        <f t="shared" si="1725"/>
        <v>72758</v>
      </c>
      <c r="V2404" s="9">
        <f t="shared" si="1708"/>
        <v>81488.960000000006</v>
      </c>
      <c r="W2404" s="7"/>
      <c r="X2404" s="2">
        <v>2016</v>
      </c>
      <c r="Y2404" s="2"/>
    </row>
    <row r="2405" spans="1:25" s="11" customFormat="1" ht="89.25" customHeight="1" outlineLevel="1" x14ac:dyDescent="0.25">
      <c r="A2405" s="1"/>
      <c r="B2405" s="2" t="s">
        <v>6838</v>
      </c>
      <c r="C2405" s="3" t="s">
        <v>83</v>
      </c>
      <c r="D2405" s="19" t="s">
        <v>4628</v>
      </c>
      <c r="E2405" s="19" t="s">
        <v>4629</v>
      </c>
      <c r="F2405" s="19" t="s">
        <v>4630</v>
      </c>
      <c r="G2405" s="19" t="s">
        <v>4635</v>
      </c>
      <c r="H2405" s="2" t="s">
        <v>694</v>
      </c>
      <c r="I2405" s="4">
        <v>0</v>
      </c>
      <c r="J2405" s="5">
        <v>710000000</v>
      </c>
      <c r="K2405" s="5" t="s">
        <v>89</v>
      </c>
      <c r="L2405" s="2" t="s">
        <v>754</v>
      </c>
      <c r="M2405" s="6" t="s">
        <v>91</v>
      </c>
      <c r="N2405" s="7" t="s">
        <v>92</v>
      </c>
      <c r="O2405" s="7" t="s">
        <v>93</v>
      </c>
      <c r="P2405" s="3" t="s">
        <v>673</v>
      </c>
      <c r="Q2405" s="8" t="s">
        <v>117</v>
      </c>
      <c r="R2405" s="7" t="s">
        <v>118</v>
      </c>
      <c r="S2405" s="9">
        <v>6</v>
      </c>
      <c r="T2405" s="9">
        <v>8502</v>
      </c>
      <c r="U2405" s="9">
        <f t="shared" si="1725"/>
        <v>51012</v>
      </c>
      <c r="V2405" s="9">
        <f t="shared" si="1708"/>
        <v>57133.440000000002</v>
      </c>
      <c r="W2405" s="7"/>
      <c r="X2405" s="2">
        <v>2016</v>
      </c>
      <c r="Y2405" s="2"/>
    </row>
    <row r="2406" spans="1:25" s="11" customFormat="1" ht="89.25" customHeight="1" outlineLevel="1" x14ac:dyDescent="0.25">
      <c r="A2406" s="1"/>
      <c r="B2406" s="2" t="s">
        <v>6839</v>
      </c>
      <c r="C2406" s="3" t="s">
        <v>83</v>
      </c>
      <c r="D2406" s="19" t="s">
        <v>4636</v>
      </c>
      <c r="E2406" s="19" t="s">
        <v>906</v>
      </c>
      <c r="F2406" s="19" t="s">
        <v>4637</v>
      </c>
      <c r="G2406" s="19" t="s">
        <v>4638</v>
      </c>
      <c r="H2406" s="2" t="s">
        <v>694</v>
      </c>
      <c r="I2406" s="4">
        <v>0</v>
      </c>
      <c r="J2406" s="5">
        <v>710000000</v>
      </c>
      <c r="K2406" s="5" t="s">
        <v>89</v>
      </c>
      <c r="L2406" s="2" t="s">
        <v>754</v>
      </c>
      <c r="M2406" s="6" t="s">
        <v>91</v>
      </c>
      <c r="N2406" s="7" t="s">
        <v>92</v>
      </c>
      <c r="O2406" s="7" t="s">
        <v>93</v>
      </c>
      <c r="P2406" s="3" t="s">
        <v>673</v>
      </c>
      <c r="Q2406" s="8" t="s">
        <v>117</v>
      </c>
      <c r="R2406" s="7" t="s">
        <v>118</v>
      </c>
      <c r="S2406" s="9">
        <v>3</v>
      </c>
      <c r="T2406" s="9">
        <v>32960</v>
      </c>
      <c r="U2406" s="9">
        <f t="shared" si="1725"/>
        <v>98880</v>
      </c>
      <c r="V2406" s="9">
        <f t="shared" si="1708"/>
        <v>110745.60000000001</v>
      </c>
      <c r="W2406" s="7"/>
      <c r="X2406" s="2">
        <v>2016</v>
      </c>
      <c r="Y2406" s="2"/>
    </row>
    <row r="2407" spans="1:25" s="11" customFormat="1" ht="89.25" customHeight="1" outlineLevel="1" x14ac:dyDescent="0.25">
      <c r="A2407" s="1"/>
      <c r="B2407" s="2" t="s">
        <v>6840</v>
      </c>
      <c r="C2407" s="3" t="s">
        <v>83</v>
      </c>
      <c r="D2407" s="19" t="s">
        <v>4639</v>
      </c>
      <c r="E2407" s="19" t="s">
        <v>4640</v>
      </c>
      <c r="F2407" s="19" t="s">
        <v>4641</v>
      </c>
      <c r="G2407" s="19" t="s">
        <v>4642</v>
      </c>
      <c r="H2407" s="2" t="s">
        <v>694</v>
      </c>
      <c r="I2407" s="4">
        <v>0</v>
      </c>
      <c r="J2407" s="5">
        <v>710000000</v>
      </c>
      <c r="K2407" s="5" t="s">
        <v>89</v>
      </c>
      <c r="L2407" s="2" t="s">
        <v>754</v>
      </c>
      <c r="M2407" s="6" t="s">
        <v>91</v>
      </c>
      <c r="N2407" s="7" t="s">
        <v>92</v>
      </c>
      <c r="O2407" s="7" t="s">
        <v>93</v>
      </c>
      <c r="P2407" s="3" t="s">
        <v>673</v>
      </c>
      <c r="Q2407" s="8" t="s">
        <v>117</v>
      </c>
      <c r="R2407" s="7" t="s">
        <v>118</v>
      </c>
      <c r="S2407" s="9">
        <v>10</v>
      </c>
      <c r="T2407" s="9">
        <v>1911</v>
      </c>
      <c r="U2407" s="9">
        <f t="shared" si="1725"/>
        <v>19110</v>
      </c>
      <c r="V2407" s="9">
        <f t="shared" si="1708"/>
        <v>21403.200000000001</v>
      </c>
      <c r="W2407" s="7"/>
      <c r="X2407" s="2">
        <v>2016</v>
      </c>
      <c r="Y2407" s="2"/>
    </row>
    <row r="2408" spans="1:25" s="11" customFormat="1" ht="89.25" customHeight="1" outlineLevel="1" x14ac:dyDescent="0.25">
      <c r="A2408" s="1"/>
      <c r="B2408" s="2" t="s">
        <v>6841</v>
      </c>
      <c r="C2408" s="3" t="s">
        <v>83</v>
      </c>
      <c r="D2408" s="19" t="s">
        <v>4639</v>
      </c>
      <c r="E2408" s="19" t="s">
        <v>4640</v>
      </c>
      <c r="F2408" s="19" t="s">
        <v>4641</v>
      </c>
      <c r="G2408" s="19" t="s">
        <v>4643</v>
      </c>
      <c r="H2408" s="2" t="s">
        <v>694</v>
      </c>
      <c r="I2408" s="4">
        <v>0</v>
      </c>
      <c r="J2408" s="5">
        <v>710000000</v>
      </c>
      <c r="K2408" s="5" t="s">
        <v>89</v>
      </c>
      <c r="L2408" s="2" t="s">
        <v>754</v>
      </c>
      <c r="M2408" s="6" t="s">
        <v>91</v>
      </c>
      <c r="N2408" s="7" t="s">
        <v>92</v>
      </c>
      <c r="O2408" s="7" t="s">
        <v>93</v>
      </c>
      <c r="P2408" s="3" t="s">
        <v>673</v>
      </c>
      <c r="Q2408" s="8" t="s">
        <v>117</v>
      </c>
      <c r="R2408" s="7" t="s">
        <v>118</v>
      </c>
      <c r="S2408" s="9">
        <v>14</v>
      </c>
      <c r="T2408" s="9">
        <v>1911</v>
      </c>
      <c r="U2408" s="9">
        <f t="shared" si="1725"/>
        <v>26754</v>
      </c>
      <c r="V2408" s="9">
        <f t="shared" si="1708"/>
        <v>29964.480000000003</v>
      </c>
      <c r="W2408" s="7"/>
      <c r="X2408" s="2">
        <v>2016</v>
      </c>
      <c r="Y2408" s="2"/>
    </row>
    <row r="2409" spans="1:25" s="11" customFormat="1" ht="89.25" customHeight="1" outlineLevel="1" x14ac:dyDescent="0.25">
      <c r="A2409" s="1"/>
      <c r="B2409" s="2" t="s">
        <v>6842</v>
      </c>
      <c r="C2409" s="3" t="s">
        <v>83</v>
      </c>
      <c r="D2409" s="19" t="s">
        <v>4644</v>
      </c>
      <c r="E2409" s="19" t="s">
        <v>4645</v>
      </c>
      <c r="F2409" s="19" t="s">
        <v>4646</v>
      </c>
      <c r="G2409" s="19" t="s">
        <v>4647</v>
      </c>
      <c r="H2409" s="2" t="s">
        <v>694</v>
      </c>
      <c r="I2409" s="4">
        <v>0</v>
      </c>
      <c r="J2409" s="5">
        <v>710000000</v>
      </c>
      <c r="K2409" s="5" t="s">
        <v>89</v>
      </c>
      <c r="L2409" s="2" t="s">
        <v>754</v>
      </c>
      <c r="M2409" s="6" t="s">
        <v>91</v>
      </c>
      <c r="N2409" s="7" t="s">
        <v>92</v>
      </c>
      <c r="O2409" s="7" t="s">
        <v>93</v>
      </c>
      <c r="P2409" s="3" t="s">
        <v>673</v>
      </c>
      <c r="Q2409" s="8" t="s">
        <v>544</v>
      </c>
      <c r="R2409" s="7" t="s">
        <v>111</v>
      </c>
      <c r="S2409" s="9">
        <f>22+14</f>
        <v>36</v>
      </c>
      <c r="T2409" s="9">
        <v>766</v>
      </c>
      <c r="U2409" s="9">
        <f t="shared" si="1725"/>
        <v>27576</v>
      </c>
      <c r="V2409" s="9">
        <f t="shared" si="1708"/>
        <v>30885.120000000003</v>
      </c>
      <c r="W2409" s="7"/>
      <c r="X2409" s="2">
        <v>2016</v>
      </c>
      <c r="Y2409" s="2"/>
    </row>
    <row r="2410" spans="1:25" s="11" customFormat="1" ht="89.25" customHeight="1" outlineLevel="1" x14ac:dyDescent="0.25">
      <c r="A2410" s="1"/>
      <c r="B2410" s="2" t="s">
        <v>6843</v>
      </c>
      <c r="C2410" s="3" t="s">
        <v>83</v>
      </c>
      <c r="D2410" s="19" t="s">
        <v>4648</v>
      </c>
      <c r="E2410" s="19" t="s">
        <v>4649</v>
      </c>
      <c r="F2410" s="19" t="s">
        <v>4650</v>
      </c>
      <c r="G2410" s="19" t="s">
        <v>4651</v>
      </c>
      <c r="H2410" s="2" t="s">
        <v>694</v>
      </c>
      <c r="I2410" s="4">
        <v>0</v>
      </c>
      <c r="J2410" s="5">
        <v>710000000</v>
      </c>
      <c r="K2410" s="5" t="s">
        <v>89</v>
      </c>
      <c r="L2410" s="2" t="s">
        <v>754</v>
      </c>
      <c r="M2410" s="6" t="s">
        <v>91</v>
      </c>
      <c r="N2410" s="7" t="s">
        <v>92</v>
      </c>
      <c r="O2410" s="7" t="s">
        <v>93</v>
      </c>
      <c r="P2410" s="3" t="s">
        <v>673</v>
      </c>
      <c r="Q2410" s="8" t="s">
        <v>117</v>
      </c>
      <c r="R2410" s="7" t="s">
        <v>118</v>
      </c>
      <c r="S2410" s="9">
        <v>16</v>
      </c>
      <c r="T2410" s="9">
        <v>1179</v>
      </c>
      <c r="U2410" s="9">
        <f t="shared" si="1725"/>
        <v>18864</v>
      </c>
      <c r="V2410" s="9">
        <f t="shared" si="1708"/>
        <v>21127.68</v>
      </c>
      <c r="W2410" s="7"/>
      <c r="X2410" s="2">
        <v>2016</v>
      </c>
      <c r="Y2410" s="2"/>
    </row>
    <row r="2411" spans="1:25" s="11" customFormat="1" ht="89.25" customHeight="1" outlineLevel="1" x14ac:dyDescent="0.25">
      <c r="A2411" s="1"/>
      <c r="B2411" s="2" t="s">
        <v>6844</v>
      </c>
      <c r="C2411" s="3" t="s">
        <v>83</v>
      </c>
      <c r="D2411" s="19" t="s">
        <v>4652</v>
      </c>
      <c r="E2411" s="19" t="s">
        <v>2095</v>
      </c>
      <c r="F2411" s="19" t="s">
        <v>4653</v>
      </c>
      <c r="G2411" s="19" t="s">
        <v>4654</v>
      </c>
      <c r="H2411" s="2" t="s">
        <v>694</v>
      </c>
      <c r="I2411" s="4">
        <v>0</v>
      </c>
      <c r="J2411" s="5">
        <v>710000000</v>
      </c>
      <c r="K2411" s="5" t="s">
        <v>89</v>
      </c>
      <c r="L2411" s="2" t="s">
        <v>754</v>
      </c>
      <c r="M2411" s="6" t="s">
        <v>91</v>
      </c>
      <c r="N2411" s="7" t="s">
        <v>92</v>
      </c>
      <c r="O2411" s="7" t="s">
        <v>93</v>
      </c>
      <c r="P2411" s="3" t="s">
        <v>673</v>
      </c>
      <c r="Q2411" s="8" t="s">
        <v>117</v>
      </c>
      <c r="R2411" s="7" t="s">
        <v>118</v>
      </c>
      <c r="S2411" s="9">
        <v>3</v>
      </c>
      <c r="T2411" s="9">
        <v>2675</v>
      </c>
      <c r="U2411" s="9">
        <f t="shared" si="1725"/>
        <v>8025</v>
      </c>
      <c r="V2411" s="9">
        <f t="shared" si="1708"/>
        <v>8988</v>
      </c>
      <c r="W2411" s="7"/>
      <c r="X2411" s="2">
        <v>2016</v>
      </c>
      <c r="Y2411" s="2"/>
    </row>
    <row r="2412" spans="1:25" s="11" customFormat="1" ht="89.25" customHeight="1" outlineLevel="1" x14ac:dyDescent="0.25">
      <c r="A2412" s="1"/>
      <c r="B2412" s="2" t="s">
        <v>6845</v>
      </c>
      <c r="C2412" s="3" t="s">
        <v>83</v>
      </c>
      <c r="D2412" s="19" t="s">
        <v>4652</v>
      </c>
      <c r="E2412" s="19" t="s">
        <v>2095</v>
      </c>
      <c r="F2412" s="19" t="s">
        <v>4653</v>
      </c>
      <c r="G2412" s="19" t="s">
        <v>4655</v>
      </c>
      <c r="H2412" s="2" t="s">
        <v>694</v>
      </c>
      <c r="I2412" s="4">
        <v>0</v>
      </c>
      <c r="J2412" s="5">
        <v>710000000</v>
      </c>
      <c r="K2412" s="5" t="s">
        <v>89</v>
      </c>
      <c r="L2412" s="2" t="s">
        <v>754</v>
      </c>
      <c r="M2412" s="6" t="s">
        <v>91</v>
      </c>
      <c r="N2412" s="7" t="s">
        <v>92</v>
      </c>
      <c r="O2412" s="7" t="s">
        <v>93</v>
      </c>
      <c r="P2412" s="3" t="s">
        <v>673</v>
      </c>
      <c r="Q2412" s="8" t="s">
        <v>117</v>
      </c>
      <c r="R2412" s="7" t="s">
        <v>118</v>
      </c>
      <c r="S2412" s="9">
        <v>6</v>
      </c>
      <c r="T2412" s="9">
        <v>2675</v>
      </c>
      <c r="U2412" s="9">
        <f t="shared" si="1725"/>
        <v>16050</v>
      </c>
      <c r="V2412" s="9">
        <f t="shared" si="1708"/>
        <v>17976</v>
      </c>
      <c r="W2412" s="7"/>
      <c r="X2412" s="2">
        <v>2016</v>
      </c>
      <c r="Y2412" s="2"/>
    </row>
    <row r="2413" spans="1:25" s="11" customFormat="1" ht="89.25" customHeight="1" outlineLevel="1" x14ac:dyDescent="0.25">
      <c r="A2413" s="1"/>
      <c r="B2413" s="2" t="s">
        <v>6846</v>
      </c>
      <c r="C2413" s="3" t="s">
        <v>83</v>
      </c>
      <c r="D2413" s="19" t="s">
        <v>4656</v>
      </c>
      <c r="E2413" s="19" t="s">
        <v>4502</v>
      </c>
      <c r="F2413" s="19" t="s">
        <v>4657</v>
      </c>
      <c r="G2413" s="19" t="s">
        <v>4658</v>
      </c>
      <c r="H2413" s="2" t="s">
        <v>694</v>
      </c>
      <c r="I2413" s="4">
        <v>0</v>
      </c>
      <c r="J2413" s="5">
        <v>710000000</v>
      </c>
      <c r="K2413" s="5" t="s">
        <v>89</v>
      </c>
      <c r="L2413" s="2" t="s">
        <v>754</v>
      </c>
      <c r="M2413" s="6" t="s">
        <v>91</v>
      </c>
      <c r="N2413" s="7" t="s">
        <v>92</v>
      </c>
      <c r="O2413" s="7" t="s">
        <v>93</v>
      </c>
      <c r="P2413" s="3" t="s">
        <v>673</v>
      </c>
      <c r="Q2413" s="8" t="s">
        <v>117</v>
      </c>
      <c r="R2413" s="7" t="s">
        <v>118</v>
      </c>
      <c r="S2413" s="9">
        <v>5</v>
      </c>
      <c r="T2413" s="9">
        <v>1286</v>
      </c>
      <c r="U2413" s="9">
        <f t="shared" si="1725"/>
        <v>6430</v>
      </c>
      <c r="V2413" s="9">
        <f t="shared" si="1708"/>
        <v>7201.6</v>
      </c>
      <c r="W2413" s="7"/>
      <c r="X2413" s="2">
        <v>2016</v>
      </c>
      <c r="Y2413" s="2"/>
    </row>
    <row r="2414" spans="1:25" s="11" customFormat="1" ht="89.25" customHeight="1" outlineLevel="1" x14ac:dyDescent="0.25">
      <c r="A2414" s="1"/>
      <c r="B2414" s="2" t="s">
        <v>6847</v>
      </c>
      <c r="C2414" s="3" t="s">
        <v>83</v>
      </c>
      <c r="D2414" s="19" t="s">
        <v>4659</v>
      </c>
      <c r="E2414" s="19" t="s">
        <v>4660</v>
      </c>
      <c r="F2414" s="19" t="s">
        <v>4661</v>
      </c>
      <c r="G2414" s="19" t="s">
        <v>4662</v>
      </c>
      <c r="H2414" s="2" t="s">
        <v>694</v>
      </c>
      <c r="I2414" s="4">
        <v>0</v>
      </c>
      <c r="J2414" s="5">
        <v>710000000</v>
      </c>
      <c r="K2414" s="5" t="s">
        <v>89</v>
      </c>
      <c r="L2414" s="2" t="s">
        <v>754</v>
      </c>
      <c r="M2414" s="6" t="s">
        <v>91</v>
      </c>
      <c r="N2414" s="7" t="s">
        <v>92</v>
      </c>
      <c r="O2414" s="7" t="s">
        <v>93</v>
      </c>
      <c r="P2414" s="3" t="s">
        <v>673</v>
      </c>
      <c r="Q2414" s="8" t="s">
        <v>117</v>
      </c>
      <c r="R2414" s="7" t="s">
        <v>118</v>
      </c>
      <c r="S2414" s="9">
        <v>4</v>
      </c>
      <c r="T2414" s="9">
        <v>3746</v>
      </c>
      <c r="U2414" s="9">
        <f t="shared" si="1725"/>
        <v>14984</v>
      </c>
      <c r="V2414" s="9">
        <f t="shared" ref="V2414:V2490" si="1726">U2414*1.12</f>
        <v>16782.080000000002</v>
      </c>
      <c r="W2414" s="7"/>
      <c r="X2414" s="2">
        <v>2016</v>
      </c>
      <c r="Y2414" s="2"/>
    </row>
    <row r="2415" spans="1:25" s="11" customFormat="1" ht="89.25" customHeight="1" outlineLevel="1" x14ac:dyDescent="0.25">
      <c r="A2415" s="1"/>
      <c r="B2415" s="2" t="s">
        <v>6848</v>
      </c>
      <c r="C2415" s="3" t="s">
        <v>83</v>
      </c>
      <c r="D2415" s="19" t="s">
        <v>4639</v>
      </c>
      <c r="E2415" s="19" t="s">
        <v>4640</v>
      </c>
      <c r="F2415" s="19" t="s">
        <v>4641</v>
      </c>
      <c r="G2415" s="19" t="s">
        <v>4663</v>
      </c>
      <c r="H2415" s="2" t="s">
        <v>694</v>
      </c>
      <c r="I2415" s="4">
        <v>0</v>
      </c>
      <c r="J2415" s="5">
        <v>710000000</v>
      </c>
      <c r="K2415" s="5" t="s">
        <v>89</v>
      </c>
      <c r="L2415" s="2" t="s">
        <v>754</v>
      </c>
      <c r="M2415" s="6" t="s">
        <v>91</v>
      </c>
      <c r="N2415" s="7" t="s">
        <v>92</v>
      </c>
      <c r="O2415" s="7" t="s">
        <v>93</v>
      </c>
      <c r="P2415" s="3" t="s">
        <v>673</v>
      </c>
      <c r="Q2415" s="8" t="s">
        <v>117</v>
      </c>
      <c r="R2415" s="7" t="s">
        <v>118</v>
      </c>
      <c r="S2415" s="9">
        <v>5</v>
      </c>
      <c r="T2415" s="9">
        <v>5992</v>
      </c>
      <c r="U2415" s="9">
        <f t="shared" si="1725"/>
        <v>29960</v>
      </c>
      <c r="V2415" s="9">
        <f t="shared" si="1726"/>
        <v>33555.200000000004</v>
      </c>
      <c r="W2415" s="7"/>
      <c r="X2415" s="2">
        <v>2016</v>
      </c>
      <c r="Y2415" s="2"/>
    </row>
    <row r="2416" spans="1:25" s="11" customFormat="1" ht="89.25" customHeight="1" outlineLevel="1" x14ac:dyDescent="0.25">
      <c r="A2416" s="1"/>
      <c r="B2416" s="2" t="s">
        <v>6849</v>
      </c>
      <c r="C2416" s="3" t="s">
        <v>83</v>
      </c>
      <c r="D2416" s="19" t="s">
        <v>4664</v>
      </c>
      <c r="E2416" s="19" t="s">
        <v>4606</v>
      </c>
      <c r="F2416" s="19" t="s">
        <v>4665</v>
      </c>
      <c r="G2416" s="19" t="s">
        <v>4666</v>
      </c>
      <c r="H2416" s="2" t="s">
        <v>694</v>
      </c>
      <c r="I2416" s="4">
        <v>0</v>
      </c>
      <c r="J2416" s="5">
        <v>710000000</v>
      </c>
      <c r="K2416" s="5" t="s">
        <v>89</v>
      </c>
      <c r="L2416" s="2" t="s">
        <v>754</v>
      </c>
      <c r="M2416" s="6" t="s">
        <v>91</v>
      </c>
      <c r="N2416" s="7" t="s">
        <v>92</v>
      </c>
      <c r="O2416" s="7" t="s">
        <v>93</v>
      </c>
      <c r="P2416" s="3" t="s">
        <v>673</v>
      </c>
      <c r="Q2416" s="8" t="s">
        <v>544</v>
      </c>
      <c r="R2416" s="19" t="s">
        <v>111</v>
      </c>
      <c r="S2416" s="9">
        <v>1</v>
      </c>
      <c r="T2416" s="9">
        <v>8618</v>
      </c>
      <c r="U2416" s="9">
        <f t="shared" si="1725"/>
        <v>8618</v>
      </c>
      <c r="V2416" s="9">
        <f t="shared" si="1726"/>
        <v>9652.1600000000017</v>
      </c>
      <c r="W2416" s="7"/>
      <c r="X2416" s="2">
        <v>2016</v>
      </c>
      <c r="Y2416" s="2"/>
    </row>
    <row r="2417" spans="1:25" s="11" customFormat="1" ht="89.25" customHeight="1" outlineLevel="1" x14ac:dyDescent="0.25">
      <c r="A2417" s="1"/>
      <c r="B2417" s="2" t="s">
        <v>6850</v>
      </c>
      <c r="C2417" s="3" t="s">
        <v>83</v>
      </c>
      <c r="D2417" s="19" t="s">
        <v>4667</v>
      </c>
      <c r="E2417" s="19" t="s">
        <v>4668</v>
      </c>
      <c r="F2417" s="19" t="s">
        <v>4669</v>
      </c>
      <c r="G2417" s="19" t="s">
        <v>4670</v>
      </c>
      <c r="H2417" s="2" t="s">
        <v>694</v>
      </c>
      <c r="I2417" s="4">
        <v>0</v>
      </c>
      <c r="J2417" s="5">
        <v>710000000</v>
      </c>
      <c r="K2417" s="5" t="s">
        <v>89</v>
      </c>
      <c r="L2417" s="2" t="s">
        <v>754</v>
      </c>
      <c r="M2417" s="6" t="s">
        <v>91</v>
      </c>
      <c r="N2417" s="7" t="s">
        <v>92</v>
      </c>
      <c r="O2417" s="7" t="s">
        <v>93</v>
      </c>
      <c r="P2417" s="3" t="s">
        <v>673</v>
      </c>
      <c r="Q2417" s="8" t="s">
        <v>544</v>
      </c>
      <c r="R2417" s="19" t="s">
        <v>111</v>
      </c>
      <c r="S2417" s="9">
        <v>4</v>
      </c>
      <c r="T2417" s="9">
        <v>241.75</v>
      </c>
      <c r="U2417" s="9">
        <f t="shared" si="1725"/>
        <v>967</v>
      </c>
      <c r="V2417" s="9">
        <f t="shared" si="1726"/>
        <v>1083.0400000000002</v>
      </c>
      <c r="W2417" s="7"/>
      <c r="X2417" s="2">
        <v>2016</v>
      </c>
      <c r="Y2417" s="2"/>
    </row>
    <row r="2418" spans="1:25" s="11" customFormat="1" ht="89.25" customHeight="1" outlineLevel="1" x14ac:dyDescent="0.25">
      <c r="A2418" s="1"/>
      <c r="B2418" s="2" t="s">
        <v>6851</v>
      </c>
      <c r="C2418" s="3" t="s">
        <v>83</v>
      </c>
      <c r="D2418" s="19" t="s">
        <v>4671</v>
      </c>
      <c r="E2418" s="19" t="s">
        <v>2976</v>
      </c>
      <c r="F2418" s="19" t="s">
        <v>4672</v>
      </c>
      <c r="G2418" s="19"/>
      <c r="H2418" s="2" t="s">
        <v>694</v>
      </c>
      <c r="I2418" s="4">
        <v>0</v>
      </c>
      <c r="J2418" s="5">
        <v>710000000</v>
      </c>
      <c r="K2418" s="5" t="s">
        <v>89</v>
      </c>
      <c r="L2418" s="2" t="s">
        <v>754</v>
      </c>
      <c r="M2418" s="6" t="s">
        <v>91</v>
      </c>
      <c r="N2418" s="7" t="s">
        <v>92</v>
      </c>
      <c r="O2418" s="7" t="s">
        <v>93</v>
      </c>
      <c r="P2418" s="3" t="s">
        <v>673</v>
      </c>
      <c r="Q2418" s="8" t="s">
        <v>117</v>
      </c>
      <c r="R2418" s="7" t="s">
        <v>118</v>
      </c>
      <c r="S2418" s="9">
        <v>19</v>
      </c>
      <c r="T2418" s="9">
        <v>125</v>
      </c>
      <c r="U2418" s="9">
        <f t="shared" si="1725"/>
        <v>2375</v>
      </c>
      <c r="V2418" s="9">
        <f t="shared" si="1726"/>
        <v>2660.0000000000005</v>
      </c>
      <c r="W2418" s="7"/>
      <c r="X2418" s="2">
        <v>2016</v>
      </c>
      <c r="Y2418" s="2"/>
    </row>
    <row r="2419" spans="1:25" s="11" customFormat="1" ht="89.25" customHeight="1" outlineLevel="1" x14ac:dyDescent="0.25">
      <c r="A2419" s="1"/>
      <c r="B2419" s="2" t="s">
        <v>6852</v>
      </c>
      <c r="C2419" s="3" t="s">
        <v>83</v>
      </c>
      <c r="D2419" s="19" t="s">
        <v>4673</v>
      </c>
      <c r="E2419" s="19" t="s">
        <v>4438</v>
      </c>
      <c r="F2419" s="19" t="s">
        <v>4674</v>
      </c>
      <c r="G2419" s="19" t="s">
        <v>4675</v>
      </c>
      <c r="H2419" s="2" t="s">
        <v>694</v>
      </c>
      <c r="I2419" s="4">
        <v>0</v>
      </c>
      <c r="J2419" s="5">
        <v>710000000</v>
      </c>
      <c r="K2419" s="5" t="s">
        <v>89</v>
      </c>
      <c r="L2419" s="2" t="s">
        <v>754</v>
      </c>
      <c r="M2419" s="6" t="s">
        <v>91</v>
      </c>
      <c r="N2419" s="7" t="s">
        <v>92</v>
      </c>
      <c r="O2419" s="7" t="s">
        <v>93</v>
      </c>
      <c r="P2419" s="3" t="s">
        <v>673</v>
      </c>
      <c r="Q2419" s="8" t="s">
        <v>544</v>
      </c>
      <c r="R2419" s="19" t="s">
        <v>111</v>
      </c>
      <c r="S2419" s="9">
        <v>7</v>
      </c>
      <c r="T2419" s="9">
        <v>1607</v>
      </c>
      <c r="U2419" s="9">
        <f t="shared" si="1725"/>
        <v>11249</v>
      </c>
      <c r="V2419" s="9">
        <f t="shared" si="1726"/>
        <v>12598.880000000001</v>
      </c>
      <c r="W2419" s="7"/>
      <c r="X2419" s="2">
        <v>2016</v>
      </c>
      <c r="Y2419" s="2"/>
    </row>
    <row r="2420" spans="1:25" s="11" customFormat="1" ht="89.25" customHeight="1" outlineLevel="1" x14ac:dyDescent="0.25">
      <c r="A2420" s="1"/>
      <c r="B2420" s="2" t="s">
        <v>6853</v>
      </c>
      <c r="C2420" s="3" t="s">
        <v>83</v>
      </c>
      <c r="D2420" s="19" t="s">
        <v>4676</v>
      </c>
      <c r="E2420" s="19" t="s">
        <v>4502</v>
      </c>
      <c r="F2420" s="19" t="s">
        <v>4677</v>
      </c>
      <c r="G2420" s="19" t="s">
        <v>4678</v>
      </c>
      <c r="H2420" s="2" t="s">
        <v>694</v>
      </c>
      <c r="I2420" s="4">
        <v>0</v>
      </c>
      <c r="J2420" s="5">
        <v>710000000</v>
      </c>
      <c r="K2420" s="5" t="s">
        <v>89</v>
      </c>
      <c r="L2420" s="2" t="s">
        <v>754</v>
      </c>
      <c r="M2420" s="6" t="s">
        <v>91</v>
      </c>
      <c r="N2420" s="7" t="s">
        <v>92</v>
      </c>
      <c r="O2420" s="7" t="s">
        <v>93</v>
      </c>
      <c r="P2420" s="3" t="s">
        <v>673</v>
      </c>
      <c r="Q2420" s="8" t="s">
        <v>117</v>
      </c>
      <c r="R2420" s="7" t="s">
        <v>118</v>
      </c>
      <c r="S2420" s="9">
        <v>1</v>
      </c>
      <c r="T2420" s="9">
        <v>6469</v>
      </c>
      <c r="U2420" s="9">
        <f t="shared" si="1725"/>
        <v>6469</v>
      </c>
      <c r="V2420" s="9">
        <f t="shared" si="1726"/>
        <v>7245.2800000000007</v>
      </c>
      <c r="W2420" s="7"/>
      <c r="X2420" s="2">
        <v>2016</v>
      </c>
      <c r="Y2420" s="2"/>
    </row>
    <row r="2421" spans="1:25" s="11" customFormat="1" ht="89.25" customHeight="1" outlineLevel="1" x14ac:dyDescent="0.25">
      <c r="A2421" s="1"/>
      <c r="B2421" s="2" t="s">
        <v>6854</v>
      </c>
      <c r="C2421" s="3" t="s">
        <v>83</v>
      </c>
      <c r="D2421" s="19" t="s">
        <v>4676</v>
      </c>
      <c r="E2421" s="19" t="s">
        <v>4502</v>
      </c>
      <c r="F2421" s="19" t="s">
        <v>4677</v>
      </c>
      <c r="G2421" s="19" t="s">
        <v>4679</v>
      </c>
      <c r="H2421" s="2" t="s">
        <v>694</v>
      </c>
      <c r="I2421" s="4">
        <v>0</v>
      </c>
      <c r="J2421" s="5">
        <v>710000000</v>
      </c>
      <c r="K2421" s="5" t="s">
        <v>89</v>
      </c>
      <c r="L2421" s="2" t="s">
        <v>754</v>
      </c>
      <c r="M2421" s="6" t="s">
        <v>91</v>
      </c>
      <c r="N2421" s="7" t="s">
        <v>92</v>
      </c>
      <c r="O2421" s="7" t="s">
        <v>93</v>
      </c>
      <c r="P2421" s="3" t="s">
        <v>673</v>
      </c>
      <c r="Q2421" s="8" t="s">
        <v>117</v>
      </c>
      <c r="R2421" s="7" t="s">
        <v>118</v>
      </c>
      <c r="S2421" s="9">
        <v>1</v>
      </c>
      <c r="T2421" s="9">
        <v>4339</v>
      </c>
      <c r="U2421" s="9">
        <f t="shared" si="1725"/>
        <v>4339</v>
      </c>
      <c r="V2421" s="9">
        <f t="shared" si="1726"/>
        <v>4859.68</v>
      </c>
      <c r="W2421" s="7"/>
      <c r="X2421" s="2">
        <v>2016</v>
      </c>
      <c r="Y2421" s="2"/>
    </row>
    <row r="2422" spans="1:25" s="11" customFormat="1" ht="89.25" customHeight="1" outlineLevel="1" x14ac:dyDescent="0.25">
      <c r="A2422" s="1"/>
      <c r="B2422" s="2" t="s">
        <v>6855</v>
      </c>
      <c r="C2422" s="3" t="s">
        <v>83</v>
      </c>
      <c r="D2422" s="3" t="s">
        <v>3446</v>
      </c>
      <c r="E2422" s="3" t="s">
        <v>2673</v>
      </c>
      <c r="F2422" s="3" t="s">
        <v>3447</v>
      </c>
      <c r="G2422" s="3" t="s">
        <v>3448</v>
      </c>
      <c r="H2422" s="2" t="s">
        <v>765</v>
      </c>
      <c r="I2422" s="4">
        <v>0.4</v>
      </c>
      <c r="J2422" s="5">
        <v>710000000</v>
      </c>
      <c r="K2422" s="5" t="s">
        <v>89</v>
      </c>
      <c r="L2422" s="2" t="s">
        <v>754</v>
      </c>
      <c r="M2422" s="6" t="s">
        <v>787</v>
      </c>
      <c r="N2422" s="7" t="s">
        <v>92</v>
      </c>
      <c r="O2422" s="7" t="s">
        <v>93</v>
      </c>
      <c r="P2422" s="3" t="s">
        <v>94</v>
      </c>
      <c r="Q2422" s="8">
        <v>796</v>
      </c>
      <c r="R2422" s="7" t="s">
        <v>118</v>
      </c>
      <c r="S2422" s="9">
        <f>130+10+72</f>
        <v>212</v>
      </c>
      <c r="T2422" s="9">
        <v>1714</v>
      </c>
      <c r="U2422" s="9">
        <f t="shared" si="1725"/>
        <v>363368</v>
      </c>
      <c r="V2422" s="9">
        <f t="shared" si="1726"/>
        <v>406972.16000000003</v>
      </c>
      <c r="W2422" s="7" t="s">
        <v>3449</v>
      </c>
      <c r="X2422" s="2">
        <v>2016</v>
      </c>
      <c r="Y2422" s="2"/>
    </row>
    <row r="2423" spans="1:25" s="11" customFormat="1" ht="89.25" customHeight="1" outlineLevel="1" x14ac:dyDescent="0.25">
      <c r="A2423" s="1"/>
      <c r="B2423" s="2" t="s">
        <v>6856</v>
      </c>
      <c r="C2423" s="3" t="s">
        <v>83</v>
      </c>
      <c r="D2423" s="3" t="s">
        <v>3450</v>
      </c>
      <c r="E2423" s="3" t="s">
        <v>3451</v>
      </c>
      <c r="F2423" s="3" t="s">
        <v>3452</v>
      </c>
      <c r="G2423" s="3" t="s">
        <v>3453</v>
      </c>
      <c r="H2423" s="2" t="s">
        <v>765</v>
      </c>
      <c r="I2423" s="4">
        <v>0.4</v>
      </c>
      <c r="J2423" s="5">
        <v>710000000</v>
      </c>
      <c r="K2423" s="5" t="s">
        <v>89</v>
      </c>
      <c r="L2423" s="2" t="s">
        <v>754</v>
      </c>
      <c r="M2423" s="6" t="s">
        <v>787</v>
      </c>
      <c r="N2423" s="7" t="s">
        <v>92</v>
      </c>
      <c r="O2423" s="7" t="s">
        <v>93</v>
      </c>
      <c r="P2423" s="3" t="s">
        <v>94</v>
      </c>
      <c r="Q2423" s="7">
        <v>796</v>
      </c>
      <c r="R2423" s="7" t="s">
        <v>118</v>
      </c>
      <c r="S2423" s="9">
        <v>20</v>
      </c>
      <c r="T2423" s="9">
        <v>2232.14</v>
      </c>
      <c r="U2423" s="9">
        <f t="shared" si="1725"/>
        <v>44642.799999999996</v>
      </c>
      <c r="V2423" s="9">
        <f t="shared" si="1726"/>
        <v>49999.936000000002</v>
      </c>
      <c r="W2423" s="7" t="s">
        <v>3449</v>
      </c>
      <c r="X2423" s="2">
        <v>2016</v>
      </c>
      <c r="Y2423" s="2"/>
    </row>
    <row r="2424" spans="1:25" s="11" customFormat="1" ht="89.25" customHeight="1" outlineLevel="1" x14ac:dyDescent="0.25">
      <c r="A2424" s="1"/>
      <c r="B2424" s="2" t="s">
        <v>6857</v>
      </c>
      <c r="C2424" s="3" t="s">
        <v>83</v>
      </c>
      <c r="D2424" s="3" t="s">
        <v>3454</v>
      </c>
      <c r="E2424" s="3" t="s">
        <v>2673</v>
      </c>
      <c r="F2424" s="3" t="s">
        <v>3455</v>
      </c>
      <c r="G2424" s="3" t="s">
        <v>3456</v>
      </c>
      <c r="H2424" s="2" t="s">
        <v>765</v>
      </c>
      <c r="I2424" s="4">
        <v>0.4</v>
      </c>
      <c r="J2424" s="5">
        <v>710000000</v>
      </c>
      <c r="K2424" s="5" t="s">
        <v>89</v>
      </c>
      <c r="L2424" s="2" t="s">
        <v>754</v>
      </c>
      <c r="M2424" s="6" t="s">
        <v>787</v>
      </c>
      <c r="N2424" s="7" t="s">
        <v>92</v>
      </c>
      <c r="O2424" s="7" t="s">
        <v>93</v>
      </c>
      <c r="P2424" s="3" t="s">
        <v>94</v>
      </c>
      <c r="Q2424" s="7">
        <v>796</v>
      </c>
      <c r="R2424" s="7" t="s">
        <v>118</v>
      </c>
      <c r="S2424" s="9">
        <v>15</v>
      </c>
      <c r="T2424" s="9">
        <v>3125</v>
      </c>
      <c r="U2424" s="9">
        <f t="shared" si="1725"/>
        <v>46875</v>
      </c>
      <c r="V2424" s="9">
        <f t="shared" si="1726"/>
        <v>52500.000000000007</v>
      </c>
      <c r="W2424" s="7" t="s">
        <v>3449</v>
      </c>
      <c r="X2424" s="2">
        <v>2016</v>
      </c>
      <c r="Y2424" s="2"/>
    </row>
    <row r="2425" spans="1:25" s="11" customFormat="1" ht="89.25" customHeight="1" outlineLevel="1" x14ac:dyDescent="0.25">
      <c r="A2425" s="1"/>
      <c r="B2425" s="2" t="s">
        <v>6858</v>
      </c>
      <c r="C2425" s="3" t="s">
        <v>83</v>
      </c>
      <c r="D2425" s="3" t="s">
        <v>3457</v>
      </c>
      <c r="E2425" s="3" t="s">
        <v>3458</v>
      </c>
      <c r="F2425" s="3" t="s">
        <v>3459</v>
      </c>
      <c r="G2425" s="3" t="s">
        <v>3460</v>
      </c>
      <c r="H2425" s="2" t="s">
        <v>765</v>
      </c>
      <c r="I2425" s="4">
        <v>0.4</v>
      </c>
      <c r="J2425" s="5">
        <v>710000000</v>
      </c>
      <c r="K2425" s="5" t="s">
        <v>89</v>
      </c>
      <c r="L2425" s="2" t="s">
        <v>754</v>
      </c>
      <c r="M2425" s="6" t="s">
        <v>91</v>
      </c>
      <c r="N2425" s="7" t="s">
        <v>92</v>
      </c>
      <c r="O2425" s="7" t="s">
        <v>93</v>
      </c>
      <c r="P2425" s="3" t="s">
        <v>94</v>
      </c>
      <c r="Q2425" s="8" t="s">
        <v>861</v>
      </c>
      <c r="R2425" s="7" t="s">
        <v>812</v>
      </c>
      <c r="S2425" s="9">
        <v>40</v>
      </c>
      <c r="T2425" s="9">
        <v>7086</v>
      </c>
      <c r="U2425" s="9">
        <f t="shared" si="1725"/>
        <v>283440</v>
      </c>
      <c r="V2425" s="9">
        <f t="shared" si="1726"/>
        <v>317452.80000000005</v>
      </c>
      <c r="W2425" s="7" t="s">
        <v>3449</v>
      </c>
      <c r="X2425" s="2">
        <v>2016</v>
      </c>
      <c r="Y2425" s="2"/>
    </row>
    <row r="2426" spans="1:25" s="11" customFormat="1" ht="89.25" customHeight="1" outlineLevel="1" x14ac:dyDescent="0.25">
      <c r="A2426" s="1"/>
      <c r="B2426" s="2" t="s">
        <v>6859</v>
      </c>
      <c r="C2426" s="3" t="s">
        <v>83</v>
      </c>
      <c r="D2426" s="3" t="s">
        <v>3461</v>
      </c>
      <c r="E2426" s="3" t="s">
        <v>3458</v>
      </c>
      <c r="F2426" s="3" t="s">
        <v>3462</v>
      </c>
      <c r="G2426" s="3" t="s">
        <v>3463</v>
      </c>
      <c r="H2426" s="2" t="s">
        <v>765</v>
      </c>
      <c r="I2426" s="4">
        <v>0.4</v>
      </c>
      <c r="J2426" s="5">
        <v>710000000</v>
      </c>
      <c r="K2426" s="5" t="s">
        <v>89</v>
      </c>
      <c r="L2426" s="2" t="s">
        <v>754</v>
      </c>
      <c r="M2426" s="6" t="s">
        <v>91</v>
      </c>
      <c r="N2426" s="7" t="s">
        <v>92</v>
      </c>
      <c r="O2426" s="7" t="s">
        <v>93</v>
      </c>
      <c r="P2426" s="3" t="s">
        <v>94</v>
      </c>
      <c r="Q2426" s="8" t="s">
        <v>861</v>
      </c>
      <c r="R2426" s="7" t="s">
        <v>812</v>
      </c>
      <c r="S2426" s="9">
        <v>300</v>
      </c>
      <c r="T2426" s="9">
        <v>4406</v>
      </c>
      <c r="U2426" s="9">
        <f t="shared" si="1725"/>
        <v>1321800</v>
      </c>
      <c r="V2426" s="9">
        <f t="shared" si="1726"/>
        <v>1480416.0000000002</v>
      </c>
      <c r="W2426" s="7" t="s">
        <v>3449</v>
      </c>
      <c r="X2426" s="2">
        <v>2016</v>
      </c>
      <c r="Y2426" s="2"/>
    </row>
    <row r="2427" spans="1:25" s="11" customFormat="1" ht="89.25" customHeight="1" outlineLevel="1" x14ac:dyDescent="0.25">
      <c r="A2427" s="1"/>
      <c r="B2427" s="2" t="s">
        <v>6860</v>
      </c>
      <c r="C2427" s="3" t="s">
        <v>83</v>
      </c>
      <c r="D2427" s="3" t="s">
        <v>3464</v>
      </c>
      <c r="E2427" s="3" t="s">
        <v>3465</v>
      </c>
      <c r="F2427" s="3" t="s">
        <v>3466</v>
      </c>
      <c r="G2427" s="3" t="s">
        <v>3467</v>
      </c>
      <c r="H2427" s="2" t="s">
        <v>765</v>
      </c>
      <c r="I2427" s="4">
        <v>0.4</v>
      </c>
      <c r="J2427" s="5">
        <v>710000000</v>
      </c>
      <c r="K2427" s="5" t="s">
        <v>89</v>
      </c>
      <c r="L2427" s="2" t="s">
        <v>754</v>
      </c>
      <c r="M2427" s="6" t="s">
        <v>91</v>
      </c>
      <c r="N2427" s="7" t="s">
        <v>92</v>
      </c>
      <c r="O2427" s="7" t="s">
        <v>93</v>
      </c>
      <c r="P2427" s="3" t="s">
        <v>94</v>
      </c>
      <c r="Q2427" s="8" t="s">
        <v>861</v>
      </c>
      <c r="R2427" s="7" t="s">
        <v>812</v>
      </c>
      <c r="S2427" s="9">
        <v>300</v>
      </c>
      <c r="T2427" s="9">
        <v>2277</v>
      </c>
      <c r="U2427" s="9">
        <f t="shared" si="1725"/>
        <v>683100</v>
      </c>
      <c r="V2427" s="9">
        <f t="shared" si="1726"/>
        <v>765072.00000000012</v>
      </c>
      <c r="W2427" s="7" t="s">
        <v>3449</v>
      </c>
      <c r="X2427" s="2">
        <v>2016</v>
      </c>
      <c r="Y2427" s="2"/>
    </row>
    <row r="2428" spans="1:25" s="11" customFormat="1" ht="89.25" customHeight="1" outlineLevel="1" x14ac:dyDescent="0.25">
      <c r="A2428" s="1"/>
      <c r="B2428" s="2" t="s">
        <v>6861</v>
      </c>
      <c r="C2428" s="3" t="s">
        <v>83</v>
      </c>
      <c r="D2428" s="3" t="s">
        <v>3468</v>
      </c>
      <c r="E2428" s="3" t="s">
        <v>3469</v>
      </c>
      <c r="F2428" s="3" t="s">
        <v>3470</v>
      </c>
      <c r="G2428" s="3" t="s">
        <v>3471</v>
      </c>
      <c r="H2428" s="2" t="s">
        <v>765</v>
      </c>
      <c r="I2428" s="4">
        <v>0.4</v>
      </c>
      <c r="J2428" s="5">
        <v>710000000</v>
      </c>
      <c r="K2428" s="5" t="s">
        <v>89</v>
      </c>
      <c r="L2428" s="2" t="s">
        <v>754</v>
      </c>
      <c r="M2428" s="6" t="s">
        <v>91</v>
      </c>
      <c r="N2428" s="7" t="s">
        <v>92</v>
      </c>
      <c r="O2428" s="7" t="s">
        <v>93</v>
      </c>
      <c r="P2428" s="3" t="s">
        <v>94</v>
      </c>
      <c r="Q2428" s="7">
        <v>796</v>
      </c>
      <c r="R2428" s="7" t="s">
        <v>118</v>
      </c>
      <c r="S2428" s="9">
        <v>8</v>
      </c>
      <c r="T2428" s="9">
        <v>3331</v>
      </c>
      <c r="U2428" s="9">
        <f t="shared" si="1725"/>
        <v>26648</v>
      </c>
      <c r="V2428" s="9">
        <f t="shared" si="1726"/>
        <v>29845.760000000002</v>
      </c>
      <c r="W2428" s="7" t="s">
        <v>3449</v>
      </c>
      <c r="X2428" s="2">
        <v>2016</v>
      </c>
      <c r="Y2428" s="2"/>
    </row>
    <row r="2429" spans="1:25" s="11" customFormat="1" ht="89.25" customHeight="1" outlineLevel="1" x14ac:dyDescent="0.2">
      <c r="A2429" s="25"/>
      <c r="B2429" s="2" t="s">
        <v>6862</v>
      </c>
      <c r="C2429" s="3" t="s">
        <v>83</v>
      </c>
      <c r="D2429" s="3" t="s">
        <v>3472</v>
      </c>
      <c r="E2429" s="3" t="s">
        <v>3473</v>
      </c>
      <c r="F2429" s="3" t="s">
        <v>3474</v>
      </c>
      <c r="G2429" s="3" t="s">
        <v>3475</v>
      </c>
      <c r="H2429" s="2" t="s">
        <v>765</v>
      </c>
      <c r="I2429" s="4">
        <v>0.4</v>
      </c>
      <c r="J2429" s="5">
        <v>710000000</v>
      </c>
      <c r="K2429" s="5" t="s">
        <v>89</v>
      </c>
      <c r="L2429" s="2" t="s">
        <v>754</v>
      </c>
      <c r="M2429" s="6" t="s">
        <v>91</v>
      </c>
      <c r="N2429" s="7" t="s">
        <v>92</v>
      </c>
      <c r="O2429" s="7" t="s">
        <v>93</v>
      </c>
      <c r="P2429" s="3" t="s">
        <v>94</v>
      </c>
      <c r="Q2429" s="7">
        <v>796</v>
      </c>
      <c r="R2429" s="7" t="s">
        <v>118</v>
      </c>
      <c r="S2429" s="9">
        <v>120</v>
      </c>
      <c r="T2429" s="9">
        <v>1679</v>
      </c>
      <c r="U2429" s="9">
        <v>0</v>
      </c>
      <c r="V2429" s="9">
        <f t="shared" si="1726"/>
        <v>0</v>
      </c>
      <c r="W2429" s="7" t="s">
        <v>3449</v>
      </c>
      <c r="X2429" s="2">
        <v>2016</v>
      </c>
      <c r="Y2429" s="2" t="s">
        <v>7793</v>
      </c>
    </row>
    <row r="2430" spans="1:25" s="11" customFormat="1" ht="89.25" customHeight="1" outlineLevel="1" x14ac:dyDescent="0.25">
      <c r="A2430" s="16"/>
      <c r="B2430" s="2" t="s">
        <v>8368</v>
      </c>
      <c r="C2430" s="3" t="s">
        <v>83</v>
      </c>
      <c r="D2430" s="3" t="s">
        <v>3472</v>
      </c>
      <c r="E2430" s="3" t="s">
        <v>3473</v>
      </c>
      <c r="F2430" s="3" t="s">
        <v>3474</v>
      </c>
      <c r="G2430" s="3" t="s">
        <v>3475</v>
      </c>
      <c r="H2430" s="2" t="s">
        <v>765</v>
      </c>
      <c r="I2430" s="4">
        <v>0</v>
      </c>
      <c r="J2430" s="5">
        <v>710000000</v>
      </c>
      <c r="K2430" s="5" t="s">
        <v>89</v>
      </c>
      <c r="L2430" s="2" t="s">
        <v>754</v>
      </c>
      <c r="M2430" s="6" t="s">
        <v>91</v>
      </c>
      <c r="N2430" s="7" t="s">
        <v>92</v>
      </c>
      <c r="O2430" s="7" t="s">
        <v>93</v>
      </c>
      <c r="P2430" s="3" t="s">
        <v>673</v>
      </c>
      <c r="Q2430" s="7">
        <v>796</v>
      </c>
      <c r="R2430" s="7" t="s">
        <v>118</v>
      </c>
      <c r="S2430" s="9">
        <v>120</v>
      </c>
      <c r="T2430" s="9">
        <v>1679</v>
      </c>
      <c r="U2430" s="9">
        <v>0</v>
      </c>
      <c r="V2430" s="9">
        <f t="shared" ref="V2430" si="1727">U2430*1.12</f>
        <v>0</v>
      </c>
      <c r="W2430" s="7"/>
      <c r="X2430" s="2">
        <v>2016</v>
      </c>
      <c r="Y2430" s="5" t="s">
        <v>2339</v>
      </c>
    </row>
    <row r="2431" spans="1:25" s="11" customFormat="1" ht="89.25" customHeight="1" outlineLevel="1" x14ac:dyDescent="0.25">
      <c r="A2431" s="16"/>
      <c r="B2431" s="2" t="s">
        <v>8886</v>
      </c>
      <c r="C2431" s="3" t="s">
        <v>83</v>
      </c>
      <c r="D2431" s="3" t="s">
        <v>3472</v>
      </c>
      <c r="E2431" s="3" t="s">
        <v>3473</v>
      </c>
      <c r="F2431" s="3" t="s">
        <v>3474</v>
      </c>
      <c r="G2431" s="3" t="s">
        <v>3475</v>
      </c>
      <c r="H2431" s="2" t="s">
        <v>765</v>
      </c>
      <c r="I2431" s="4">
        <v>0</v>
      </c>
      <c r="J2431" s="5">
        <v>710000000</v>
      </c>
      <c r="K2431" s="5" t="s">
        <v>89</v>
      </c>
      <c r="L2431" s="5" t="s">
        <v>8491</v>
      </c>
      <c r="M2431" s="6" t="s">
        <v>91</v>
      </c>
      <c r="N2431" s="7" t="s">
        <v>92</v>
      </c>
      <c r="O2431" s="7" t="s">
        <v>93</v>
      </c>
      <c r="P2431" s="3" t="s">
        <v>673</v>
      </c>
      <c r="Q2431" s="7">
        <v>796</v>
      </c>
      <c r="R2431" s="7" t="s">
        <v>118</v>
      </c>
      <c r="S2431" s="9">
        <v>113</v>
      </c>
      <c r="T2431" s="9">
        <v>2620.36</v>
      </c>
      <c r="U2431" s="9">
        <v>0</v>
      </c>
      <c r="V2431" s="9">
        <f t="shared" ref="V2431" si="1728">U2431*1.12</f>
        <v>0</v>
      </c>
      <c r="W2431" s="7"/>
      <c r="X2431" s="2">
        <v>2016</v>
      </c>
      <c r="Y2431" s="5" t="s">
        <v>7460</v>
      </c>
    </row>
    <row r="2432" spans="1:25" s="11" customFormat="1" ht="89.25" customHeight="1" outlineLevel="1" x14ac:dyDescent="0.2">
      <c r="A2432" s="25"/>
      <c r="B2432" s="2" t="s">
        <v>6863</v>
      </c>
      <c r="C2432" s="3" t="s">
        <v>83</v>
      </c>
      <c r="D2432" s="3" t="s">
        <v>3476</v>
      </c>
      <c r="E2432" s="3" t="s">
        <v>3477</v>
      </c>
      <c r="F2432" s="3" t="s">
        <v>3478</v>
      </c>
      <c r="G2432" s="3" t="s">
        <v>3479</v>
      </c>
      <c r="H2432" s="2" t="s">
        <v>765</v>
      </c>
      <c r="I2432" s="4">
        <v>0.4</v>
      </c>
      <c r="J2432" s="5">
        <v>710000000</v>
      </c>
      <c r="K2432" s="5" t="s">
        <v>89</v>
      </c>
      <c r="L2432" s="2" t="s">
        <v>754</v>
      </c>
      <c r="M2432" s="6" t="s">
        <v>91</v>
      </c>
      <c r="N2432" s="7" t="s">
        <v>92</v>
      </c>
      <c r="O2432" s="7" t="s">
        <v>93</v>
      </c>
      <c r="P2432" s="3" t="s">
        <v>94</v>
      </c>
      <c r="Q2432" s="7">
        <v>796</v>
      </c>
      <c r="R2432" s="7" t="s">
        <v>118</v>
      </c>
      <c r="S2432" s="9">
        <v>40</v>
      </c>
      <c r="T2432" s="9">
        <v>6292</v>
      </c>
      <c r="U2432" s="9">
        <v>0</v>
      </c>
      <c r="V2432" s="9">
        <f t="shared" si="1726"/>
        <v>0</v>
      </c>
      <c r="W2432" s="7" t="s">
        <v>3449</v>
      </c>
      <c r="X2432" s="2">
        <v>2016</v>
      </c>
      <c r="Y2432" s="2" t="s">
        <v>7793</v>
      </c>
    </row>
    <row r="2433" spans="1:25" s="11" customFormat="1" ht="89.25" customHeight="1" outlineLevel="1" x14ac:dyDescent="0.25">
      <c r="A2433" s="16"/>
      <c r="B2433" s="2" t="s">
        <v>8369</v>
      </c>
      <c r="C2433" s="3" t="s">
        <v>83</v>
      </c>
      <c r="D2433" s="3" t="s">
        <v>3476</v>
      </c>
      <c r="E2433" s="3" t="s">
        <v>3477</v>
      </c>
      <c r="F2433" s="3" t="s">
        <v>3478</v>
      </c>
      <c r="G2433" s="3" t="s">
        <v>3479</v>
      </c>
      <c r="H2433" s="2" t="s">
        <v>765</v>
      </c>
      <c r="I2433" s="4">
        <v>0</v>
      </c>
      <c r="J2433" s="5">
        <v>710000000</v>
      </c>
      <c r="K2433" s="5" t="s">
        <v>89</v>
      </c>
      <c r="L2433" s="2" t="s">
        <v>754</v>
      </c>
      <c r="M2433" s="6" t="s">
        <v>91</v>
      </c>
      <c r="N2433" s="7" t="s">
        <v>92</v>
      </c>
      <c r="O2433" s="7" t="s">
        <v>93</v>
      </c>
      <c r="P2433" s="3" t="s">
        <v>673</v>
      </c>
      <c r="Q2433" s="7">
        <v>796</v>
      </c>
      <c r="R2433" s="7" t="s">
        <v>118</v>
      </c>
      <c r="S2433" s="9">
        <v>40</v>
      </c>
      <c r="T2433" s="9">
        <v>6292</v>
      </c>
      <c r="U2433" s="9">
        <v>0</v>
      </c>
      <c r="V2433" s="9">
        <f t="shared" ref="V2433" si="1729">U2433*1.12</f>
        <v>0</v>
      </c>
      <c r="W2433" s="7"/>
      <c r="X2433" s="2">
        <v>2016</v>
      </c>
      <c r="Y2433" s="5" t="s">
        <v>2339</v>
      </c>
    </row>
    <row r="2434" spans="1:25" s="11" customFormat="1" ht="89.25" customHeight="1" outlineLevel="1" x14ac:dyDescent="0.25">
      <c r="A2434" s="16"/>
      <c r="B2434" s="2" t="s">
        <v>8885</v>
      </c>
      <c r="C2434" s="3" t="s">
        <v>83</v>
      </c>
      <c r="D2434" s="3" t="s">
        <v>3476</v>
      </c>
      <c r="E2434" s="3" t="s">
        <v>3477</v>
      </c>
      <c r="F2434" s="3" t="s">
        <v>3478</v>
      </c>
      <c r="G2434" s="3" t="s">
        <v>3479</v>
      </c>
      <c r="H2434" s="2" t="s">
        <v>765</v>
      </c>
      <c r="I2434" s="4">
        <v>0</v>
      </c>
      <c r="J2434" s="5">
        <v>710000000</v>
      </c>
      <c r="K2434" s="5" t="s">
        <v>89</v>
      </c>
      <c r="L2434" s="5" t="s">
        <v>8491</v>
      </c>
      <c r="M2434" s="6" t="s">
        <v>91</v>
      </c>
      <c r="N2434" s="7" t="s">
        <v>92</v>
      </c>
      <c r="O2434" s="7" t="s">
        <v>93</v>
      </c>
      <c r="P2434" s="3" t="s">
        <v>673</v>
      </c>
      <c r="Q2434" s="7">
        <v>796</v>
      </c>
      <c r="R2434" s="7" t="s">
        <v>118</v>
      </c>
      <c r="S2434" s="9">
        <v>38</v>
      </c>
      <c r="T2434" s="9">
        <v>6500</v>
      </c>
      <c r="U2434" s="9">
        <v>0</v>
      </c>
      <c r="V2434" s="9">
        <f t="shared" ref="V2434" si="1730">U2434*1.12</f>
        <v>0</v>
      </c>
      <c r="W2434" s="7"/>
      <c r="X2434" s="2">
        <v>2016</v>
      </c>
      <c r="Y2434" s="5" t="s">
        <v>7460</v>
      </c>
    </row>
    <row r="2435" spans="1:25" s="11" customFormat="1" ht="89.25" customHeight="1" outlineLevel="1" x14ac:dyDescent="0.2">
      <c r="A2435" s="25"/>
      <c r="B2435" s="2" t="s">
        <v>6864</v>
      </c>
      <c r="C2435" s="3" t="s">
        <v>83</v>
      </c>
      <c r="D2435" s="3" t="s">
        <v>3480</v>
      </c>
      <c r="E2435" s="3" t="s">
        <v>2673</v>
      </c>
      <c r="F2435" s="3" t="s">
        <v>3481</v>
      </c>
      <c r="G2435" s="3" t="s">
        <v>3482</v>
      </c>
      <c r="H2435" s="2" t="s">
        <v>765</v>
      </c>
      <c r="I2435" s="4">
        <v>0.4</v>
      </c>
      <c r="J2435" s="5">
        <v>710000000</v>
      </c>
      <c r="K2435" s="5" t="s">
        <v>89</v>
      </c>
      <c r="L2435" s="2" t="s">
        <v>754</v>
      </c>
      <c r="M2435" s="6" t="s">
        <v>91</v>
      </c>
      <c r="N2435" s="7" t="s">
        <v>92</v>
      </c>
      <c r="O2435" s="7" t="s">
        <v>93</v>
      </c>
      <c r="P2435" s="3" t="s">
        <v>94</v>
      </c>
      <c r="Q2435" s="7">
        <v>796</v>
      </c>
      <c r="R2435" s="7" t="s">
        <v>118</v>
      </c>
      <c r="S2435" s="9">
        <v>20</v>
      </c>
      <c r="T2435" s="9">
        <v>1071</v>
      </c>
      <c r="U2435" s="9">
        <v>0</v>
      </c>
      <c r="V2435" s="9">
        <f t="shared" si="1726"/>
        <v>0</v>
      </c>
      <c r="W2435" s="7" t="s">
        <v>3449</v>
      </c>
      <c r="X2435" s="2">
        <v>2016</v>
      </c>
      <c r="Y2435" s="2" t="s">
        <v>7793</v>
      </c>
    </row>
    <row r="2436" spans="1:25" s="11" customFormat="1" ht="89.25" customHeight="1" outlineLevel="1" x14ac:dyDescent="0.25">
      <c r="A2436" s="16"/>
      <c r="B2436" s="2" t="s">
        <v>8370</v>
      </c>
      <c r="C2436" s="3" t="s">
        <v>83</v>
      </c>
      <c r="D2436" s="3" t="s">
        <v>3480</v>
      </c>
      <c r="E2436" s="3" t="s">
        <v>2673</v>
      </c>
      <c r="F2436" s="3" t="s">
        <v>3481</v>
      </c>
      <c r="G2436" s="3" t="s">
        <v>3482</v>
      </c>
      <c r="H2436" s="2" t="s">
        <v>765</v>
      </c>
      <c r="I2436" s="4">
        <v>0</v>
      </c>
      <c r="J2436" s="5">
        <v>710000000</v>
      </c>
      <c r="K2436" s="5" t="s">
        <v>89</v>
      </c>
      <c r="L2436" s="2" t="s">
        <v>754</v>
      </c>
      <c r="M2436" s="6" t="s">
        <v>91</v>
      </c>
      <c r="N2436" s="7" t="s">
        <v>92</v>
      </c>
      <c r="O2436" s="7" t="s">
        <v>93</v>
      </c>
      <c r="P2436" s="3" t="s">
        <v>673</v>
      </c>
      <c r="Q2436" s="7">
        <v>796</v>
      </c>
      <c r="R2436" s="7" t="s">
        <v>118</v>
      </c>
      <c r="S2436" s="9">
        <v>20</v>
      </c>
      <c r="T2436" s="9">
        <v>1071</v>
      </c>
      <c r="U2436" s="9">
        <v>0</v>
      </c>
      <c r="V2436" s="9">
        <f t="shared" ref="V2436" si="1731">U2436*1.12</f>
        <v>0</v>
      </c>
      <c r="W2436" s="7"/>
      <c r="X2436" s="2">
        <v>2016</v>
      </c>
      <c r="Y2436" s="2" t="s">
        <v>7460</v>
      </c>
    </row>
    <row r="2437" spans="1:25" s="11" customFormat="1" ht="89.25" customHeight="1" outlineLevel="1" x14ac:dyDescent="0.2">
      <c r="A2437" s="25"/>
      <c r="B2437" s="2" t="s">
        <v>6865</v>
      </c>
      <c r="C2437" s="3" t="s">
        <v>83</v>
      </c>
      <c r="D2437" s="3" t="s">
        <v>3483</v>
      </c>
      <c r="E2437" s="3" t="s">
        <v>2673</v>
      </c>
      <c r="F2437" s="3" t="s">
        <v>3484</v>
      </c>
      <c r="G2437" s="3" t="s">
        <v>3485</v>
      </c>
      <c r="H2437" s="2" t="s">
        <v>765</v>
      </c>
      <c r="I2437" s="4">
        <v>0.4</v>
      </c>
      <c r="J2437" s="5">
        <v>710000000</v>
      </c>
      <c r="K2437" s="5" t="s">
        <v>89</v>
      </c>
      <c r="L2437" s="2" t="s">
        <v>754</v>
      </c>
      <c r="M2437" s="6" t="s">
        <v>91</v>
      </c>
      <c r="N2437" s="7" t="s">
        <v>92</v>
      </c>
      <c r="O2437" s="7" t="s">
        <v>93</v>
      </c>
      <c r="P2437" s="3" t="s">
        <v>94</v>
      </c>
      <c r="Q2437" s="7">
        <v>796</v>
      </c>
      <c r="R2437" s="7" t="s">
        <v>118</v>
      </c>
      <c r="S2437" s="9">
        <v>20</v>
      </c>
      <c r="T2437" s="9">
        <v>1205</v>
      </c>
      <c r="U2437" s="9">
        <v>0</v>
      </c>
      <c r="V2437" s="9">
        <f t="shared" si="1726"/>
        <v>0</v>
      </c>
      <c r="W2437" s="7" t="s">
        <v>3449</v>
      </c>
      <c r="X2437" s="2">
        <v>2016</v>
      </c>
      <c r="Y2437" s="2" t="s">
        <v>7793</v>
      </c>
    </row>
    <row r="2438" spans="1:25" s="11" customFormat="1" ht="89.25" customHeight="1" outlineLevel="1" x14ac:dyDescent="0.25">
      <c r="A2438" s="16"/>
      <c r="B2438" s="2" t="s">
        <v>8371</v>
      </c>
      <c r="C2438" s="3" t="s">
        <v>83</v>
      </c>
      <c r="D2438" s="3" t="s">
        <v>3483</v>
      </c>
      <c r="E2438" s="3" t="s">
        <v>2673</v>
      </c>
      <c r="F2438" s="3" t="s">
        <v>3484</v>
      </c>
      <c r="G2438" s="3" t="s">
        <v>3485</v>
      </c>
      <c r="H2438" s="2" t="s">
        <v>765</v>
      </c>
      <c r="I2438" s="4">
        <v>0</v>
      </c>
      <c r="J2438" s="5">
        <v>710000000</v>
      </c>
      <c r="K2438" s="5" t="s">
        <v>89</v>
      </c>
      <c r="L2438" s="2" t="s">
        <v>754</v>
      </c>
      <c r="M2438" s="6" t="s">
        <v>91</v>
      </c>
      <c r="N2438" s="7" t="s">
        <v>92</v>
      </c>
      <c r="O2438" s="7" t="s">
        <v>93</v>
      </c>
      <c r="P2438" s="3" t="s">
        <v>673</v>
      </c>
      <c r="Q2438" s="7">
        <v>796</v>
      </c>
      <c r="R2438" s="7" t="s">
        <v>118</v>
      </c>
      <c r="S2438" s="9">
        <v>20</v>
      </c>
      <c r="T2438" s="9">
        <v>1205</v>
      </c>
      <c r="U2438" s="9">
        <v>0</v>
      </c>
      <c r="V2438" s="9">
        <f t="shared" ref="V2438" si="1732">U2438*1.12</f>
        <v>0</v>
      </c>
      <c r="W2438" s="7"/>
      <c r="X2438" s="2">
        <v>2016</v>
      </c>
      <c r="Y2438" s="2" t="s">
        <v>7460</v>
      </c>
    </row>
    <row r="2439" spans="1:25" s="11" customFormat="1" ht="89.25" customHeight="1" outlineLevel="1" x14ac:dyDescent="0.2">
      <c r="A2439" s="25"/>
      <c r="B2439" s="2" t="s">
        <v>6866</v>
      </c>
      <c r="C2439" s="3" t="s">
        <v>83</v>
      </c>
      <c r="D2439" s="3" t="s">
        <v>3486</v>
      </c>
      <c r="E2439" s="3" t="s">
        <v>2673</v>
      </c>
      <c r="F2439" s="3" t="s">
        <v>3487</v>
      </c>
      <c r="G2439" s="3" t="s">
        <v>3488</v>
      </c>
      <c r="H2439" s="2" t="s">
        <v>765</v>
      </c>
      <c r="I2439" s="4">
        <v>0.4</v>
      </c>
      <c r="J2439" s="5">
        <v>710000000</v>
      </c>
      <c r="K2439" s="5" t="s">
        <v>89</v>
      </c>
      <c r="L2439" s="2" t="s">
        <v>754</v>
      </c>
      <c r="M2439" s="6" t="s">
        <v>91</v>
      </c>
      <c r="N2439" s="7" t="s">
        <v>92</v>
      </c>
      <c r="O2439" s="7" t="s">
        <v>93</v>
      </c>
      <c r="P2439" s="3" t="s">
        <v>94</v>
      </c>
      <c r="Q2439" s="7">
        <v>796</v>
      </c>
      <c r="R2439" s="7" t="s">
        <v>118</v>
      </c>
      <c r="S2439" s="9">
        <v>20</v>
      </c>
      <c r="T2439" s="9">
        <v>2455</v>
      </c>
      <c r="U2439" s="9">
        <v>0</v>
      </c>
      <c r="V2439" s="9">
        <f t="shared" si="1726"/>
        <v>0</v>
      </c>
      <c r="W2439" s="7" t="s">
        <v>3449</v>
      </c>
      <c r="X2439" s="2">
        <v>2016</v>
      </c>
      <c r="Y2439" s="2" t="s">
        <v>7793</v>
      </c>
    </row>
    <row r="2440" spans="1:25" s="11" customFormat="1" ht="89.25" customHeight="1" outlineLevel="1" x14ac:dyDescent="0.25">
      <c r="A2440" s="16"/>
      <c r="B2440" s="2" t="s">
        <v>8372</v>
      </c>
      <c r="C2440" s="3" t="s">
        <v>83</v>
      </c>
      <c r="D2440" s="3" t="s">
        <v>3486</v>
      </c>
      <c r="E2440" s="3" t="s">
        <v>2673</v>
      </c>
      <c r="F2440" s="3" t="s">
        <v>3487</v>
      </c>
      <c r="G2440" s="3" t="s">
        <v>3488</v>
      </c>
      <c r="H2440" s="2" t="s">
        <v>765</v>
      </c>
      <c r="I2440" s="4">
        <v>0</v>
      </c>
      <c r="J2440" s="5">
        <v>710000000</v>
      </c>
      <c r="K2440" s="5" t="s">
        <v>89</v>
      </c>
      <c r="L2440" s="2" t="s">
        <v>754</v>
      </c>
      <c r="M2440" s="6" t="s">
        <v>91</v>
      </c>
      <c r="N2440" s="7" t="s">
        <v>92</v>
      </c>
      <c r="O2440" s="7" t="s">
        <v>93</v>
      </c>
      <c r="P2440" s="3" t="s">
        <v>673</v>
      </c>
      <c r="Q2440" s="7">
        <v>796</v>
      </c>
      <c r="R2440" s="7" t="s">
        <v>118</v>
      </c>
      <c r="S2440" s="9">
        <v>20</v>
      </c>
      <c r="T2440" s="9">
        <v>2455</v>
      </c>
      <c r="U2440" s="9">
        <v>0</v>
      </c>
      <c r="V2440" s="9">
        <f t="shared" ref="V2440" si="1733">U2440*1.12</f>
        <v>0</v>
      </c>
      <c r="W2440" s="7"/>
      <c r="X2440" s="2">
        <v>2016</v>
      </c>
      <c r="Y2440" s="2" t="s">
        <v>7460</v>
      </c>
    </row>
    <row r="2441" spans="1:25" s="11" customFormat="1" ht="89.25" customHeight="1" outlineLevel="1" x14ac:dyDescent="0.25">
      <c r="A2441" s="1"/>
      <c r="B2441" s="2" t="s">
        <v>6867</v>
      </c>
      <c r="C2441" s="3" t="s">
        <v>83</v>
      </c>
      <c r="D2441" s="3" t="s">
        <v>3450</v>
      </c>
      <c r="E2441" s="3" t="s">
        <v>3451</v>
      </c>
      <c r="F2441" s="3" t="s">
        <v>3452</v>
      </c>
      <c r="G2441" s="3" t="s">
        <v>3453</v>
      </c>
      <c r="H2441" s="2" t="s">
        <v>765</v>
      </c>
      <c r="I2441" s="4">
        <v>0.4</v>
      </c>
      <c r="J2441" s="5">
        <v>710000000</v>
      </c>
      <c r="K2441" s="5" t="s">
        <v>89</v>
      </c>
      <c r="L2441" s="2" t="s">
        <v>754</v>
      </c>
      <c r="M2441" s="6" t="s">
        <v>91</v>
      </c>
      <c r="N2441" s="7" t="s">
        <v>92</v>
      </c>
      <c r="O2441" s="7" t="s">
        <v>93</v>
      </c>
      <c r="P2441" s="3" t="s">
        <v>94</v>
      </c>
      <c r="Q2441" s="7">
        <v>796</v>
      </c>
      <c r="R2441" s="7" t="s">
        <v>118</v>
      </c>
      <c r="S2441" s="9">
        <v>10</v>
      </c>
      <c r="T2441" s="9">
        <v>4024</v>
      </c>
      <c r="U2441" s="9">
        <f t="shared" si="1725"/>
        <v>40240</v>
      </c>
      <c r="V2441" s="9">
        <f t="shared" si="1726"/>
        <v>45068.800000000003</v>
      </c>
      <c r="W2441" s="7" t="s">
        <v>3449</v>
      </c>
      <c r="X2441" s="2">
        <v>2016</v>
      </c>
      <c r="Y2441" s="2"/>
    </row>
    <row r="2442" spans="1:25" s="11" customFormat="1" ht="89.25" customHeight="1" outlineLevel="1" x14ac:dyDescent="0.25">
      <c r="A2442" s="1"/>
      <c r="B2442" s="2" t="s">
        <v>6868</v>
      </c>
      <c r="C2442" s="3" t="s">
        <v>83</v>
      </c>
      <c r="D2442" s="3" t="s">
        <v>4680</v>
      </c>
      <c r="E2442" s="3" t="s">
        <v>4681</v>
      </c>
      <c r="F2442" s="3" t="s">
        <v>4682</v>
      </c>
      <c r="G2442" s="3"/>
      <c r="H2442" s="2" t="s">
        <v>694</v>
      </c>
      <c r="I2442" s="4">
        <v>0</v>
      </c>
      <c r="J2442" s="5">
        <v>710000000</v>
      </c>
      <c r="K2442" s="5" t="s">
        <v>89</v>
      </c>
      <c r="L2442" s="2" t="s">
        <v>754</v>
      </c>
      <c r="M2442" s="6" t="s">
        <v>787</v>
      </c>
      <c r="N2442" s="7" t="s">
        <v>92</v>
      </c>
      <c r="O2442" s="7" t="s">
        <v>93</v>
      </c>
      <c r="P2442" s="3" t="s">
        <v>673</v>
      </c>
      <c r="Q2442" s="8">
        <v>796</v>
      </c>
      <c r="R2442" s="7" t="s">
        <v>118</v>
      </c>
      <c r="S2442" s="9">
        <v>5</v>
      </c>
      <c r="T2442" s="9">
        <v>4009</v>
      </c>
      <c r="U2442" s="9">
        <f t="shared" si="1725"/>
        <v>20045</v>
      </c>
      <c r="V2442" s="9">
        <f t="shared" si="1726"/>
        <v>22450.400000000001</v>
      </c>
      <c r="W2442" s="7"/>
      <c r="X2442" s="2">
        <v>2016</v>
      </c>
      <c r="Y2442" s="2"/>
    </row>
    <row r="2443" spans="1:25" s="11" customFormat="1" ht="89.25" customHeight="1" outlineLevel="1" x14ac:dyDescent="0.25">
      <c r="A2443" s="1"/>
      <c r="B2443" s="2" t="s">
        <v>6869</v>
      </c>
      <c r="C2443" s="3" t="s">
        <v>83</v>
      </c>
      <c r="D2443" s="3" t="s">
        <v>4683</v>
      </c>
      <c r="E2443" s="3" t="s">
        <v>4684</v>
      </c>
      <c r="F2443" s="3" t="s">
        <v>4685</v>
      </c>
      <c r="G2443" s="3"/>
      <c r="H2443" s="2" t="s">
        <v>694</v>
      </c>
      <c r="I2443" s="4">
        <v>0</v>
      </c>
      <c r="J2443" s="5">
        <v>710000000</v>
      </c>
      <c r="K2443" s="3" t="s">
        <v>89</v>
      </c>
      <c r="L2443" s="2" t="s">
        <v>754</v>
      </c>
      <c r="M2443" s="3" t="s">
        <v>787</v>
      </c>
      <c r="N2443" s="7" t="s">
        <v>92</v>
      </c>
      <c r="O2443" s="7" t="s">
        <v>93</v>
      </c>
      <c r="P2443" s="3" t="s">
        <v>673</v>
      </c>
      <c r="Q2443" s="8">
        <v>796</v>
      </c>
      <c r="R2443" s="7" t="s">
        <v>118</v>
      </c>
      <c r="S2443" s="9">
        <f>2+1</f>
        <v>3</v>
      </c>
      <c r="T2443" s="9">
        <v>6978</v>
      </c>
      <c r="U2443" s="9">
        <f t="shared" si="1725"/>
        <v>20934</v>
      </c>
      <c r="V2443" s="9">
        <f t="shared" si="1726"/>
        <v>23446.080000000002</v>
      </c>
      <c r="W2443" s="3"/>
      <c r="X2443" s="2">
        <v>2016</v>
      </c>
      <c r="Y2443" s="3"/>
    </row>
    <row r="2444" spans="1:25" s="11" customFormat="1" ht="89.25" customHeight="1" outlineLevel="1" x14ac:dyDescent="0.25">
      <c r="A2444" s="1"/>
      <c r="B2444" s="2" t="s">
        <v>6870</v>
      </c>
      <c r="C2444" s="6" t="s">
        <v>83</v>
      </c>
      <c r="D2444" s="13" t="s">
        <v>4686</v>
      </c>
      <c r="E2444" s="13" t="s">
        <v>4687</v>
      </c>
      <c r="F2444" s="13" t="s">
        <v>4688</v>
      </c>
      <c r="G2444" s="13" t="s">
        <v>4689</v>
      </c>
      <c r="H2444" s="6" t="s">
        <v>694</v>
      </c>
      <c r="I2444" s="4">
        <v>0</v>
      </c>
      <c r="J2444" s="6">
        <v>710000000</v>
      </c>
      <c r="K2444" s="6" t="s">
        <v>89</v>
      </c>
      <c r="L2444" s="6" t="s">
        <v>754</v>
      </c>
      <c r="M2444" s="6" t="s">
        <v>91</v>
      </c>
      <c r="N2444" s="6" t="s">
        <v>92</v>
      </c>
      <c r="O2444" s="6" t="s">
        <v>93</v>
      </c>
      <c r="P2444" s="6" t="s">
        <v>673</v>
      </c>
      <c r="Q2444" s="6">
        <v>796</v>
      </c>
      <c r="R2444" s="6" t="s">
        <v>118</v>
      </c>
      <c r="S2444" s="9">
        <v>2</v>
      </c>
      <c r="T2444" s="9">
        <v>8920</v>
      </c>
      <c r="U2444" s="9">
        <f t="shared" si="1725"/>
        <v>17840</v>
      </c>
      <c r="V2444" s="9">
        <f t="shared" si="1726"/>
        <v>19980.800000000003</v>
      </c>
      <c r="W2444" s="9"/>
      <c r="X2444" s="6">
        <v>2016</v>
      </c>
      <c r="Y2444" s="6"/>
    </row>
    <row r="2445" spans="1:25" s="11" customFormat="1" ht="89.25" customHeight="1" outlineLevel="1" x14ac:dyDescent="0.25">
      <c r="A2445" s="1"/>
      <c r="B2445" s="2" t="s">
        <v>6871</v>
      </c>
      <c r="C2445" s="6" t="s">
        <v>83</v>
      </c>
      <c r="D2445" s="13" t="s">
        <v>4680</v>
      </c>
      <c r="E2445" s="13" t="s">
        <v>4681</v>
      </c>
      <c r="F2445" s="13" t="s">
        <v>4682</v>
      </c>
      <c r="G2445" s="13" t="s">
        <v>4690</v>
      </c>
      <c r="H2445" s="6" t="s">
        <v>694</v>
      </c>
      <c r="I2445" s="4">
        <v>0</v>
      </c>
      <c r="J2445" s="6">
        <v>710000000</v>
      </c>
      <c r="K2445" s="6" t="s">
        <v>89</v>
      </c>
      <c r="L2445" s="6" t="s">
        <v>754</v>
      </c>
      <c r="M2445" s="6" t="s">
        <v>91</v>
      </c>
      <c r="N2445" s="6" t="s">
        <v>92</v>
      </c>
      <c r="O2445" s="6" t="s">
        <v>93</v>
      </c>
      <c r="P2445" s="6" t="s">
        <v>673</v>
      </c>
      <c r="Q2445" s="6">
        <v>796</v>
      </c>
      <c r="R2445" s="6" t="s">
        <v>118</v>
      </c>
      <c r="S2445" s="9">
        <v>2</v>
      </c>
      <c r="T2445" s="9">
        <v>4455</v>
      </c>
      <c r="U2445" s="9">
        <f t="shared" si="1725"/>
        <v>8910</v>
      </c>
      <c r="V2445" s="9">
        <f t="shared" si="1726"/>
        <v>9979.2000000000007</v>
      </c>
      <c r="W2445" s="9"/>
      <c r="X2445" s="6">
        <v>2016</v>
      </c>
      <c r="Y2445" s="6"/>
    </row>
    <row r="2446" spans="1:25" s="36" customFormat="1" ht="89.25" customHeight="1" outlineLevel="1" x14ac:dyDescent="0.25">
      <c r="A2446" s="1"/>
      <c r="B2446" s="2" t="s">
        <v>6872</v>
      </c>
      <c r="C2446" s="6" t="s">
        <v>83</v>
      </c>
      <c r="D2446" s="13" t="s">
        <v>4691</v>
      </c>
      <c r="E2446" s="13" t="s">
        <v>4692</v>
      </c>
      <c r="F2446" s="13" t="s">
        <v>4693</v>
      </c>
      <c r="G2446" s="13" t="s">
        <v>4694</v>
      </c>
      <c r="H2446" s="6" t="s">
        <v>694</v>
      </c>
      <c r="I2446" s="4">
        <v>0</v>
      </c>
      <c r="J2446" s="6">
        <v>710000000</v>
      </c>
      <c r="K2446" s="6" t="s">
        <v>89</v>
      </c>
      <c r="L2446" s="6" t="s">
        <v>754</v>
      </c>
      <c r="M2446" s="6" t="s">
        <v>91</v>
      </c>
      <c r="N2446" s="6" t="s">
        <v>92</v>
      </c>
      <c r="O2446" s="6" t="s">
        <v>93</v>
      </c>
      <c r="P2446" s="6" t="s">
        <v>673</v>
      </c>
      <c r="Q2446" s="6">
        <v>796</v>
      </c>
      <c r="R2446" s="6" t="s">
        <v>118</v>
      </c>
      <c r="S2446" s="9">
        <v>4</v>
      </c>
      <c r="T2446" s="9">
        <v>30348</v>
      </c>
      <c r="U2446" s="9">
        <f t="shared" si="1725"/>
        <v>121392</v>
      </c>
      <c r="V2446" s="9">
        <f t="shared" si="1726"/>
        <v>135959.04000000001</v>
      </c>
      <c r="W2446" s="9"/>
      <c r="X2446" s="6">
        <v>2016</v>
      </c>
      <c r="Y2446" s="6"/>
    </row>
    <row r="2447" spans="1:25" s="36" customFormat="1" ht="89.25" customHeight="1" outlineLevel="1" x14ac:dyDescent="0.25">
      <c r="A2447" s="1"/>
      <c r="B2447" s="2" t="s">
        <v>6873</v>
      </c>
      <c r="C2447" s="6" t="s">
        <v>83</v>
      </c>
      <c r="D2447" s="13" t="s">
        <v>4695</v>
      </c>
      <c r="E2447" s="13" t="s">
        <v>4684</v>
      </c>
      <c r="F2447" s="13" t="s">
        <v>4696</v>
      </c>
      <c r="G2447" s="6" t="s">
        <v>4697</v>
      </c>
      <c r="H2447" s="6" t="s">
        <v>694</v>
      </c>
      <c r="I2447" s="4">
        <v>0</v>
      </c>
      <c r="J2447" s="6">
        <v>710000000</v>
      </c>
      <c r="K2447" s="6" t="s">
        <v>89</v>
      </c>
      <c r="L2447" s="6" t="s">
        <v>754</v>
      </c>
      <c r="M2447" s="6" t="s">
        <v>91</v>
      </c>
      <c r="N2447" s="6" t="s">
        <v>92</v>
      </c>
      <c r="O2447" s="6" t="s">
        <v>93</v>
      </c>
      <c r="P2447" s="6" t="s">
        <v>673</v>
      </c>
      <c r="Q2447" s="6">
        <v>796</v>
      </c>
      <c r="R2447" s="6" t="s">
        <v>118</v>
      </c>
      <c r="S2447" s="9">
        <v>6</v>
      </c>
      <c r="T2447" s="9">
        <v>7155.5</v>
      </c>
      <c r="U2447" s="9">
        <f t="shared" si="1725"/>
        <v>42933</v>
      </c>
      <c r="V2447" s="9">
        <f t="shared" si="1726"/>
        <v>48084.960000000006</v>
      </c>
      <c r="W2447" s="9"/>
      <c r="X2447" s="6">
        <v>2016</v>
      </c>
      <c r="Y2447" s="6"/>
    </row>
    <row r="2448" spans="1:25" s="36" customFormat="1" ht="89.25" customHeight="1" outlineLevel="1" x14ac:dyDescent="0.25">
      <c r="A2448" s="1"/>
      <c r="B2448" s="2" t="s">
        <v>6874</v>
      </c>
      <c r="C2448" s="6" t="s">
        <v>83</v>
      </c>
      <c r="D2448" s="6" t="s">
        <v>4698</v>
      </c>
      <c r="E2448" s="6" t="s">
        <v>3863</v>
      </c>
      <c r="F2448" s="6" t="s">
        <v>4699</v>
      </c>
      <c r="G2448" s="6" t="s">
        <v>4700</v>
      </c>
      <c r="H2448" s="6" t="s">
        <v>694</v>
      </c>
      <c r="I2448" s="4">
        <v>0</v>
      </c>
      <c r="J2448" s="6">
        <v>710000000</v>
      </c>
      <c r="K2448" s="6" t="s">
        <v>89</v>
      </c>
      <c r="L2448" s="6" t="s">
        <v>754</v>
      </c>
      <c r="M2448" s="6" t="s">
        <v>91</v>
      </c>
      <c r="N2448" s="6" t="s">
        <v>92</v>
      </c>
      <c r="O2448" s="6" t="s">
        <v>93</v>
      </c>
      <c r="P2448" s="6" t="s">
        <v>673</v>
      </c>
      <c r="Q2448" s="6">
        <v>796</v>
      </c>
      <c r="R2448" s="6" t="s">
        <v>118</v>
      </c>
      <c r="S2448" s="9">
        <v>7</v>
      </c>
      <c r="T2448" s="9">
        <v>3920</v>
      </c>
      <c r="U2448" s="9">
        <f t="shared" si="1725"/>
        <v>27440</v>
      </c>
      <c r="V2448" s="9">
        <f t="shared" si="1726"/>
        <v>30732.800000000003</v>
      </c>
      <c r="W2448" s="9"/>
      <c r="X2448" s="6">
        <v>2016</v>
      </c>
      <c r="Y2448" s="6"/>
    </row>
    <row r="2449" spans="1:25" s="36" customFormat="1" ht="89.25" customHeight="1" outlineLevel="1" x14ac:dyDescent="0.25">
      <c r="A2449" s="1"/>
      <c r="B2449" s="2" t="s">
        <v>6875</v>
      </c>
      <c r="C2449" s="6" t="s">
        <v>83</v>
      </c>
      <c r="D2449" s="6" t="s">
        <v>4701</v>
      </c>
      <c r="E2449" s="6" t="s">
        <v>4681</v>
      </c>
      <c r="F2449" s="6" t="s">
        <v>4702</v>
      </c>
      <c r="G2449" s="6" t="s">
        <v>4703</v>
      </c>
      <c r="H2449" s="6" t="s">
        <v>694</v>
      </c>
      <c r="I2449" s="4">
        <v>0</v>
      </c>
      <c r="J2449" s="6">
        <v>710000000</v>
      </c>
      <c r="K2449" s="6" t="s">
        <v>89</v>
      </c>
      <c r="L2449" s="6" t="s">
        <v>754</v>
      </c>
      <c r="M2449" s="6" t="s">
        <v>91</v>
      </c>
      <c r="N2449" s="6" t="s">
        <v>92</v>
      </c>
      <c r="O2449" s="6" t="s">
        <v>93</v>
      </c>
      <c r="P2449" s="6" t="s">
        <v>673</v>
      </c>
      <c r="Q2449" s="6">
        <v>796</v>
      </c>
      <c r="R2449" s="6" t="s">
        <v>118</v>
      </c>
      <c r="S2449" s="9">
        <v>1</v>
      </c>
      <c r="T2449" s="9">
        <v>21372</v>
      </c>
      <c r="U2449" s="9">
        <f t="shared" si="1725"/>
        <v>21372</v>
      </c>
      <c r="V2449" s="9">
        <f t="shared" si="1726"/>
        <v>23936.640000000003</v>
      </c>
      <c r="W2449" s="9"/>
      <c r="X2449" s="6">
        <v>2016</v>
      </c>
      <c r="Y2449" s="6"/>
    </row>
    <row r="2450" spans="1:25" s="36" customFormat="1" ht="89.25" customHeight="1" outlineLevel="1" x14ac:dyDescent="0.25">
      <c r="A2450" s="1"/>
      <c r="B2450" s="2" t="s">
        <v>6876</v>
      </c>
      <c r="C2450" s="3" t="s">
        <v>83</v>
      </c>
      <c r="D2450" s="19" t="s">
        <v>4704</v>
      </c>
      <c r="E2450" s="19" t="s">
        <v>4705</v>
      </c>
      <c r="F2450" s="19" t="s">
        <v>4706</v>
      </c>
      <c r="G2450" s="19" t="s">
        <v>4707</v>
      </c>
      <c r="H2450" s="2" t="s">
        <v>694</v>
      </c>
      <c r="I2450" s="4">
        <v>0</v>
      </c>
      <c r="J2450" s="5">
        <v>710000000</v>
      </c>
      <c r="K2450" s="5" t="s">
        <v>89</v>
      </c>
      <c r="L2450" s="6" t="s">
        <v>754</v>
      </c>
      <c r="M2450" s="6" t="s">
        <v>682</v>
      </c>
      <c r="N2450" s="7" t="s">
        <v>92</v>
      </c>
      <c r="O2450" s="7" t="s">
        <v>93</v>
      </c>
      <c r="P2450" s="3" t="s">
        <v>673</v>
      </c>
      <c r="Q2450" s="8">
        <v>796</v>
      </c>
      <c r="R2450" s="7" t="s">
        <v>118</v>
      </c>
      <c r="S2450" s="9">
        <v>1</v>
      </c>
      <c r="T2450" s="9">
        <v>8469.19</v>
      </c>
      <c r="U2450" s="9">
        <f t="shared" si="1725"/>
        <v>8469.19</v>
      </c>
      <c r="V2450" s="9">
        <f t="shared" si="1726"/>
        <v>9485.4928000000018</v>
      </c>
      <c r="W2450" s="7"/>
      <c r="X2450" s="2">
        <v>2016</v>
      </c>
      <c r="Y2450" s="2"/>
    </row>
    <row r="2451" spans="1:25" s="36" customFormat="1" ht="89.25" customHeight="1" outlineLevel="1" x14ac:dyDescent="0.25">
      <c r="A2451" s="1"/>
      <c r="B2451" s="2" t="s">
        <v>6877</v>
      </c>
      <c r="C2451" s="3" t="s">
        <v>83</v>
      </c>
      <c r="D2451" s="19" t="s">
        <v>4708</v>
      </c>
      <c r="E2451" s="19" t="s">
        <v>4709</v>
      </c>
      <c r="F2451" s="19" t="s">
        <v>4710</v>
      </c>
      <c r="G2451" s="19" t="s">
        <v>4711</v>
      </c>
      <c r="H2451" s="2" t="s">
        <v>694</v>
      </c>
      <c r="I2451" s="4">
        <v>0</v>
      </c>
      <c r="J2451" s="5">
        <v>710000000</v>
      </c>
      <c r="K2451" s="5" t="s">
        <v>89</v>
      </c>
      <c r="L2451" s="6" t="s">
        <v>754</v>
      </c>
      <c r="M2451" s="6" t="s">
        <v>682</v>
      </c>
      <c r="N2451" s="7" t="s">
        <v>92</v>
      </c>
      <c r="O2451" s="7" t="s">
        <v>93</v>
      </c>
      <c r="P2451" s="3" t="s">
        <v>673</v>
      </c>
      <c r="Q2451" s="8">
        <v>796</v>
      </c>
      <c r="R2451" s="7" t="s">
        <v>118</v>
      </c>
      <c r="S2451" s="9">
        <v>7</v>
      </c>
      <c r="T2451" s="9">
        <v>4705.1400000000003</v>
      </c>
      <c r="U2451" s="9">
        <f t="shared" si="1725"/>
        <v>32935.980000000003</v>
      </c>
      <c r="V2451" s="9">
        <f t="shared" si="1726"/>
        <v>36888.297600000005</v>
      </c>
      <c r="W2451" s="7"/>
      <c r="X2451" s="2">
        <v>2016</v>
      </c>
      <c r="Y2451" s="2"/>
    </row>
    <row r="2452" spans="1:25" s="11" customFormat="1" ht="89.25" customHeight="1" outlineLevel="1" x14ac:dyDescent="0.25">
      <c r="A2452" s="1"/>
      <c r="B2452" s="2" t="s">
        <v>6878</v>
      </c>
      <c r="C2452" s="3" t="s">
        <v>83</v>
      </c>
      <c r="D2452" s="19" t="s">
        <v>4712</v>
      </c>
      <c r="E2452" s="19" t="s">
        <v>4709</v>
      </c>
      <c r="F2452" s="19" t="s">
        <v>4713</v>
      </c>
      <c r="G2452" s="19" t="s">
        <v>4714</v>
      </c>
      <c r="H2452" s="2" t="s">
        <v>694</v>
      </c>
      <c r="I2452" s="4">
        <v>0</v>
      </c>
      <c r="J2452" s="5">
        <v>710000000</v>
      </c>
      <c r="K2452" s="5" t="s">
        <v>89</v>
      </c>
      <c r="L2452" s="6" t="s">
        <v>754</v>
      </c>
      <c r="M2452" s="6" t="s">
        <v>682</v>
      </c>
      <c r="N2452" s="7" t="s">
        <v>92</v>
      </c>
      <c r="O2452" s="7" t="s">
        <v>93</v>
      </c>
      <c r="P2452" s="3" t="s">
        <v>673</v>
      </c>
      <c r="Q2452" s="8">
        <v>796</v>
      </c>
      <c r="R2452" s="7" t="s">
        <v>118</v>
      </c>
      <c r="S2452" s="9">
        <v>5</v>
      </c>
      <c r="T2452" s="9">
        <v>2258.48</v>
      </c>
      <c r="U2452" s="9">
        <f t="shared" si="1725"/>
        <v>11292.4</v>
      </c>
      <c r="V2452" s="9">
        <f t="shared" si="1726"/>
        <v>12647.488000000001</v>
      </c>
      <c r="W2452" s="7"/>
      <c r="X2452" s="2">
        <v>2016</v>
      </c>
      <c r="Y2452" s="2"/>
    </row>
    <row r="2453" spans="1:25" s="11" customFormat="1" ht="89.25" customHeight="1" outlineLevel="1" x14ac:dyDescent="0.25">
      <c r="A2453" s="1"/>
      <c r="B2453" s="2" t="s">
        <v>6879</v>
      </c>
      <c r="C2453" s="3" t="s">
        <v>83</v>
      </c>
      <c r="D2453" s="19" t="s">
        <v>4715</v>
      </c>
      <c r="E2453" s="19" t="s">
        <v>4709</v>
      </c>
      <c r="F2453" s="19" t="s">
        <v>3837</v>
      </c>
      <c r="G2453" s="19" t="s">
        <v>4716</v>
      </c>
      <c r="H2453" s="2" t="s">
        <v>694</v>
      </c>
      <c r="I2453" s="4">
        <v>0</v>
      </c>
      <c r="J2453" s="5">
        <v>710000000</v>
      </c>
      <c r="K2453" s="5" t="s">
        <v>89</v>
      </c>
      <c r="L2453" s="6" t="s">
        <v>754</v>
      </c>
      <c r="M2453" s="6" t="s">
        <v>682</v>
      </c>
      <c r="N2453" s="7" t="s">
        <v>92</v>
      </c>
      <c r="O2453" s="7" t="s">
        <v>93</v>
      </c>
      <c r="P2453" s="3" t="s">
        <v>673</v>
      </c>
      <c r="Q2453" s="8">
        <v>796</v>
      </c>
      <c r="R2453" s="7" t="s">
        <v>118</v>
      </c>
      <c r="S2453" s="9">
        <v>5</v>
      </c>
      <c r="T2453" s="9">
        <v>2634.82</v>
      </c>
      <c r="U2453" s="9">
        <f t="shared" si="1725"/>
        <v>13174.1</v>
      </c>
      <c r="V2453" s="9">
        <f t="shared" si="1726"/>
        <v>14754.992000000002</v>
      </c>
      <c r="W2453" s="7"/>
      <c r="X2453" s="2">
        <v>2016</v>
      </c>
      <c r="Y2453" s="2"/>
    </row>
    <row r="2454" spans="1:25" s="11" customFormat="1" ht="89.25" customHeight="1" outlineLevel="1" x14ac:dyDescent="0.25">
      <c r="A2454" s="1"/>
      <c r="B2454" s="2" t="s">
        <v>6880</v>
      </c>
      <c r="C2454" s="3" t="s">
        <v>83</v>
      </c>
      <c r="D2454" s="19" t="s">
        <v>4717</v>
      </c>
      <c r="E2454" s="19" t="s">
        <v>4709</v>
      </c>
      <c r="F2454" s="19" t="s">
        <v>4718</v>
      </c>
      <c r="G2454" s="19" t="s">
        <v>4719</v>
      </c>
      <c r="H2454" s="2" t="s">
        <v>694</v>
      </c>
      <c r="I2454" s="4">
        <v>0</v>
      </c>
      <c r="J2454" s="5">
        <v>710000000</v>
      </c>
      <c r="K2454" s="5" t="s">
        <v>89</v>
      </c>
      <c r="L2454" s="6" t="s">
        <v>754</v>
      </c>
      <c r="M2454" s="6" t="s">
        <v>682</v>
      </c>
      <c r="N2454" s="7" t="s">
        <v>92</v>
      </c>
      <c r="O2454" s="7" t="s">
        <v>93</v>
      </c>
      <c r="P2454" s="3" t="s">
        <v>673</v>
      </c>
      <c r="Q2454" s="8">
        <v>796</v>
      </c>
      <c r="R2454" s="7" t="s">
        <v>118</v>
      </c>
      <c r="S2454" s="9">
        <v>1</v>
      </c>
      <c r="T2454" s="9">
        <v>13174.55</v>
      </c>
      <c r="U2454" s="9">
        <f t="shared" si="1725"/>
        <v>13174.55</v>
      </c>
      <c r="V2454" s="9">
        <f t="shared" si="1726"/>
        <v>14755.496000000001</v>
      </c>
      <c r="W2454" s="7"/>
      <c r="X2454" s="2">
        <v>2016</v>
      </c>
      <c r="Y2454" s="2"/>
    </row>
    <row r="2455" spans="1:25" s="11" customFormat="1" ht="89.25" customHeight="1" outlineLevel="1" x14ac:dyDescent="0.25">
      <c r="A2455" s="1"/>
      <c r="B2455" s="2" t="s">
        <v>6881</v>
      </c>
      <c r="C2455" s="3" t="s">
        <v>83</v>
      </c>
      <c r="D2455" s="19" t="s">
        <v>4720</v>
      </c>
      <c r="E2455" s="19" t="s">
        <v>4721</v>
      </c>
      <c r="F2455" s="19" t="s">
        <v>4722</v>
      </c>
      <c r="G2455" s="19" t="s">
        <v>4723</v>
      </c>
      <c r="H2455" s="2" t="s">
        <v>694</v>
      </c>
      <c r="I2455" s="4">
        <v>0</v>
      </c>
      <c r="J2455" s="5">
        <v>710000000</v>
      </c>
      <c r="K2455" s="5" t="s">
        <v>89</v>
      </c>
      <c r="L2455" s="6" t="s">
        <v>754</v>
      </c>
      <c r="M2455" s="6" t="s">
        <v>682</v>
      </c>
      <c r="N2455" s="7" t="s">
        <v>92</v>
      </c>
      <c r="O2455" s="7" t="s">
        <v>93</v>
      </c>
      <c r="P2455" s="3" t="s">
        <v>673</v>
      </c>
      <c r="Q2455" s="8">
        <v>796</v>
      </c>
      <c r="R2455" s="7" t="s">
        <v>118</v>
      </c>
      <c r="S2455" s="9">
        <v>1</v>
      </c>
      <c r="T2455" s="9">
        <v>5645.98</v>
      </c>
      <c r="U2455" s="9">
        <f t="shared" si="1725"/>
        <v>5645.98</v>
      </c>
      <c r="V2455" s="9">
        <f t="shared" si="1726"/>
        <v>6323.4975999999997</v>
      </c>
      <c r="W2455" s="7"/>
      <c r="X2455" s="2">
        <v>2016</v>
      </c>
      <c r="Y2455" s="2"/>
    </row>
    <row r="2456" spans="1:25" s="11" customFormat="1" ht="89.25" customHeight="1" outlineLevel="1" x14ac:dyDescent="0.25">
      <c r="A2456" s="1"/>
      <c r="B2456" s="2" t="s">
        <v>6882</v>
      </c>
      <c r="C2456" s="3" t="s">
        <v>83</v>
      </c>
      <c r="D2456" s="19" t="s">
        <v>4724</v>
      </c>
      <c r="E2456" s="19" t="s">
        <v>4725</v>
      </c>
      <c r="F2456" s="19" t="s">
        <v>4726</v>
      </c>
      <c r="G2456" s="19" t="s">
        <v>4727</v>
      </c>
      <c r="H2456" s="2" t="s">
        <v>694</v>
      </c>
      <c r="I2456" s="4">
        <v>0</v>
      </c>
      <c r="J2456" s="5">
        <v>710000000</v>
      </c>
      <c r="K2456" s="5" t="s">
        <v>89</v>
      </c>
      <c r="L2456" s="6" t="s">
        <v>754</v>
      </c>
      <c r="M2456" s="6" t="s">
        <v>682</v>
      </c>
      <c r="N2456" s="7" t="s">
        <v>92</v>
      </c>
      <c r="O2456" s="7" t="s">
        <v>93</v>
      </c>
      <c r="P2456" s="3" t="s">
        <v>673</v>
      </c>
      <c r="Q2456" s="8">
        <v>796</v>
      </c>
      <c r="R2456" s="7" t="s">
        <v>118</v>
      </c>
      <c r="S2456" s="9">
        <v>5</v>
      </c>
      <c r="T2456" s="9">
        <v>6775.45</v>
      </c>
      <c r="U2456" s="9">
        <f t="shared" si="1725"/>
        <v>33877.25</v>
      </c>
      <c r="V2456" s="9">
        <f t="shared" si="1726"/>
        <v>37942.520000000004</v>
      </c>
      <c r="W2456" s="7"/>
      <c r="X2456" s="2">
        <v>2016</v>
      </c>
      <c r="Y2456" s="2"/>
    </row>
    <row r="2457" spans="1:25" s="11" customFormat="1" ht="89.25" customHeight="1" outlineLevel="1" x14ac:dyDescent="0.25">
      <c r="A2457" s="1"/>
      <c r="B2457" s="2" t="s">
        <v>6883</v>
      </c>
      <c r="C2457" s="3" t="s">
        <v>83</v>
      </c>
      <c r="D2457" s="19" t="s">
        <v>2312</v>
      </c>
      <c r="E2457" s="19" t="s">
        <v>2300</v>
      </c>
      <c r="F2457" s="19" t="s">
        <v>2313</v>
      </c>
      <c r="G2457" s="19" t="s">
        <v>4728</v>
      </c>
      <c r="H2457" s="2" t="s">
        <v>694</v>
      </c>
      <c r="I2457" s="4">
        <v>0</v>
      </c>
      <c r="J2457" s="5">
        <v>710000000</v>
      </c>
      <c r="K2457" s="5" t="s">
        <v>89</v>
      </c>
      <c r="L2457" s="6" t="s">
        <v>754</v>
      </c>
      <c r="M2457" s="6" t="s">
        <v>682</v>
      </c>
      <c r="N2457" s="7" t="s">
        <v>92</v>
      </c>
      <c r="O2457" s="7" t="s">
        <v>93</v>
      </c>
      <c r="P2457" s="3" t="s">
        <v>673</v>
      </c>
      <c r="Q2457" s="8">
        <v>796</v>
      </c>
      <c r="R2457" s="7" t="s">
        <v>118</v>
      </c>
      <c r="S2457" s="9">
        <v>5</v>
      </c>
      <c r="T2457" s="9">
        <v>2823.21</v>
      </c>
      <c r="U2457" s="9">
        <f t="shared" si="1725"/>
        <v>14116.05</v>
      </c>
      <c r="V2457" s="9">
        <f t="shared" si="1726"/>
        <v>15809.976000000001</v>
      </c>
      <c r="W2457" s="7"/>
      <c r="X2457" s="2">
        <v>2016</v>
      </c>
      <c r="Y2457" s="2"/>
    </row>
    <row r="2458" spans="1:25" s="11" customFormat="1" ht="89.25" customHeight="1" outlineLevel="1" x14ac:dyDescent="0.25">
      <c r="A2458" s="1"/>
      <c r="B2458" s="2" t="s">
        <v>6884</v>
      </c>
      <c r="C2458" s="3" t="s">
        <v>83</v>
      </c>
      <c r="D2458" s="19" t="s">
        <v>4729</v>
      </c>
      <c r="E2458" s="19" t="s">
        <v>4730</v>
      </c>
      <c r="F2458" s="19" t="s">
        <v>4731</v>
      </c>
      <c r="G2458" s="19" t="s">
        <v>4732</v>
      </c>
      <c r="H2458" s="2" t="s">
        <v>694</v>
      </c>
      <c r="I2458" s="4">
        <v>0</v>
      </c>
      <c r="J2458" s="5">
        <v>710000000</v>
      </c>
      <c r="K2458" s="5" t="s">
        <v>89</v>
      </c>
      <c r="L2458" s="6" t="s">
        <v>754</v>
      </c>
      <c r="M2458" s="6" t="s">
        <v>682</v>
      </c>
      <c r="N2458" s="7" t="s">
        <v>92</v>
      </c>
      <c r="O2458" s="7" t="s">
        <v>93</v>
      </c>
      <c r="P2458" s="3" t="s">
        <v>673</v>
      </c>
      <c r="Q2458" s="8">
        <v>796</v>
      </c>
      <c r="R2458" s="7" t="s">
        <v>118</v>
      </c>
      <c r="S2458" s="9">
        <v>1</v>
      </c>
      <c r="T2458" s="9">
        <v>24466.52</v>
      </c>
      <c r="U2458" s="9">
        <f t="shared" si="1725"/>
        <v>24466.52</v>
      </c>
      <c r="V2458" s="9">
        <f t="shared" si="1726"/>
        <v>27402.502400000005</v>
      </c>
      <c r="W2458" s="7"/>
      <c r="X2458" s="2">
        <v>2016</v>
      </c>
      <c r="Y2458" s="2"/>
    </row>
    <row r="2459" spans="1:25" s="11" customFormat="1" ht="89.25" customHeight="1" outlineLevel="1" x14ac:dyDescent="0.25">
      <c r="A2459" s="1"/>
      <c r="B2459" s="2" t="s">
        <v>6885</v>
      </c>
      <c r="C2459" s="3" t="s">
        <v>83</v>
      </c>
      <c r="D2459" s="19" t="s">
        <v>4720</v>
      </c>
      <c r="E2459" s="19" t="s">
        <v>4721</v>
      </c>
      <c r="F2459" s="19" t="s">
        <v>4722</v>
      </c>
      <c r="G2459" s="19" t="s">
        <v>4733</v>
      </c>
      <c r="H2459" s="2" t="s">
        <v>694</v>
      </c>
      <c r="I2459" s="4">
        <v>0</v>
      </c>
      <c r="J2459" s="5">
        <v>710000000</v>
      </c>
      <c r="K2459" s="5" t="s">
        <v>89</v>
      </c>
      <c r="L2459" s="6" t="s">
        <v>754</v>
      </c>
      <c r="M2459" s="6" t="s">
        <v>682</v>
      </c>
      <c r="N2459" s="7" t="s">
        <v>92</v>
      </c>
      <c r="O2459" s="7" t="s">
        <v>93</v>
      </c>
      <c r="P2459" s="3" t="s">
        <v>673</v>
      </c>
      <c r="Q2459" s="8">
        <v>796</v>
      </c>
      <c r="R2459" s="7" t="s">
        <v>118</v>
      </c>
      <c r="S2459" s="9">
        <v>1</v>
      </c>
      <c r="T2459" s="9">
        <v>7528.13</v>
      </c>
      <c r="U2459" s="9">
        <f t="shared" si="1725"/>
        <v>7528.13</v>
      </c>
      <c r="V2459" s="9">
        <f t="shared" si="1726"/>
        <v>8431.5056000000004</v>
      </c>
      <c r="W2459" s="7"/>
      <c r="X2459" s="2">
        <v>2016</v>
      </c>
      <c r="Y2459" s="2"/>
    </row>
    <row r="2460" spans="1:25" s="11" customFormat="1" ht="89.25" customHeight="1" outlineLevel="1" x14ac:dyDescent="0.25">
      <c r="A2460" s="1"/>
      <c r="B2460" s="2" t="s">
        <v>6886</v>
      </c>
      <c r="C2460" s="3" t="s">
        <v>83</v>
      </c>
      <c r="D2460" s="19" t="s">
        <v>4704</v>
      </c>
      <c r="E2460" s="19" t="s">
        <v>4705</v>
      </c>
      <c r="F2460" s="19" t="s">
        <v>4706</v>
      </c>
      <c r="G2460" s="19" t="s">
        <v>4734</v>
      </c>
      <c r="H2460" s="2" t="s">
        <v>694</v>
      </c>
      <c r="I2460" s="4">
        <v>0</v>
      </c>
      <c r="J2460" s="5">
        <v>710000000</v>
      </c>
      <c r="K2460" s="5" t="s">
        <v>89</v>
      </c>
      <c r="L2460" s="6" t="s">
        <v>754</v>
      </c>
      <c r="M2460" s="6" t="s">
        <v>682</v>
      </c>
      <c r="N2460" s="7" t="s">
        <v>92</v>
      </c>
      <c r="O2460" s="7" t="s">
        <v>93</v>
      </c>
      <c r="P2460" s="3" t="s">
        <v>673</v>
      </c>
      <c r="Q2460" s="8">
        <v>796</v>
      </c>
      <c r="R2460" s="7" t="s">
        <v>118</v>
      </c>
      <c r="S2460" s="9">
        <v>10</v>
      </c>
      <c r="T2460" s="9">
        <v>16279.91</v>
      </c>
      <c r="U2460" s="9">
        <f t="shared" si="1725"/>
        <v>162799.1</v>
      </c>
      <c r="V2460" s="9">
        <f t="shared" si="1726"/>
        <v>182334.99200000003</v>
      </c>
      <c r="W2460" s="7"/>
      <c r="X2460" s="2">
        <v>2016</v>
      </c>
      <c r="Y2460" s="2"/>
    </row>
    <row r="2461" spans="1:25" s="11" customFormat="1" ht="89.25" customHeight="1" outlineLevel="1" x14ac:dyDescent="0.25">
      <c r="A2461" s="1"/>
      <c r="B2461" s="2" t="s">
        <v>6887</v>
      </c>
      <c r="C2461" s="3" t="s">
        <v>83</v>
      </c>
      <c r="D2461" s="19" t="s">
        <v>4735</v>
      </c>
      <c r="E2461" s="19" t="s">
        <v>4736</v>
      </c>
      <c r="F2461" s="19" t="s">
        <v>4737</v>
      </c>
      <c r="G2461" s="19" t="s">
        <v>4738</v>
      </c>
      <c r="H2461" s="2" t="s">
        <v>694</v>
      </c>
      <c r="I2461" s="4">
        <v>0</v>
      </c>
      <c r="J2461" s="5">
        <v>710000000</v>
      </c>
      <c r="K2461" s="5" t="s">
        <v>89</v>
      </c>
      <c r="L2461" s="6" t="s">
        <v>754</v>
      </c>
      <c r="M2461" s="6" t="s">
        <v>682</v>
      </c>
      <c r="N2461" s="7" t="s">
        <v>92</v>
      </c>
      <c r="O2461" s="7" t="s">
        <v>93</v>
      </c>
      <c r="P2461" s="3" t="s">
        <v>673</v>
      </c>
      <c r="Q2461" s="8">
        <v>796</v>
      </c>
      <c r="R2461" s="7" t="s">
        <v>118</v>
      </c>
      <c r="S2461" s="9">
        <v>10</v>
      </c>
      <c r="T2461" s="9">
        <v>8469.19</v>
      </c>
      <c r="U2461" s="9">
        <f t="shared" si="1725"/>
        <v>84691.900000000009</v>
      </c>
      <c r="V2461" s="9">
        <f t="shared" si="1726"/>
        <v>94854.928000000014</v>
      </c>
      <c r="W2461" s="7"/>
      <c r="X2461" s="2">
        <v>2016</v>
      </c>
      <c r="Y2461" s="2"/>
    </row>
    <row r="2462" spans="1:25" s="11" customFormat="1" ht="89.25" customHeight="1" outlineLevel="1" x14ac:dyDescent="0.25">
      <c r="A2462" s="1"/>
      <c r="B2462" s="2" t="s">
        <v>6888</v>
      </c>
      <c r="C2462" s="3" t="s">
        <v>83</v>
      </c>
      <c r="D2462" s="19" t="s">
        <v>4739</v>
      </c>
      <c r="E2462" s="19" t="s">
        <v>4740</v>
      </c>
      <c r="F2462" s="19" t="s">
        <v>4741</v>
      </c>
      <c r="G2462" s="19" t="s">
        <v>4742</v>
      </c>
      <c r="H2462" s="2" t="s">
        <v>694</v>
      </c>
      <c r="I2462" s="4">
        <v>0</v>
      </c>
      <c r="J2462" s="5">
        <v>710000000</v>
      </c>
      <c r="K2462" s="5" t="s">
        <v>89</v>
      </c>
      <c r="L2462" s="6" t="s">
        <v>754</v>
      </c>
      <c r="M2462" s="6" t="s">
        <v>682</v>
      </c>
      <c r="N2462" s="7" t="s">
        <v>92</v>
      </c>
      <c r="O2462" s="7" t="s">
        <v>93</v>
      </c>
      <c r="P2462" s="3" t="s">
        <v>673</v>
      </c>
      <c r="Q2462" s="8">
        <v>796</v>
      </c>
      <c r="R2462" s="7" t="s">
        <v>118</v>
      </c>
      <c r="S2462" s="9">
        <v>5</v>
      </c>
      <c r="T2462" s="9">
        <v>1411.61</v>
      </c>
      <c r="U2462" s="9">
        <f t="shared" si="1725"/>
        <v>7058.0499999999993</v>
      </c>
      <c r="V2462" s="9">
        <f t="shared" si="1726"/>
        <v>7905.0159999999996</v>
      </c>
      <c r="W2462" s="7"/>
      <c r="X2462" s="2">
        <v>2016</v>
      </c>
      <c r="Y2462" s="2"/>
    </row>
    <row r="2463" spans="1:25" s="11" customFormat="1" ht="89.25" customHeight="1" outlineLevel="1" x14ac:dyDescent="0.25">
      <c r="A2463" s="1"/>
      <c r="B2463" s="2" t="s">
        <v>6889</v>
      </c>
      <c r="C2463" s="3" t="s">
        <v>83</v>
      </c>
      <c r="D2463" s="19" t="s">
        <v>4743</v>
      </c>
      <c r="E2463" s="19" t="s">
        <v>2071</v>
      </c>
      <c r="F2463" s="19" t="s">
        <v>4492</v>
      </c>
      <c r="G2463" s="19" t="s">
        <v>4744</v>
      </c>
      <c r="H2463" s="2" t="s">
        <v>694</v>
      </c>
      <c r="I2463" s="4">
        <v>0</v>
      </c>
      <c r="J2463" s="5">
        <v>710000000</v>
      </c>
      <c r="K2463" s="5" t="s">
        <v>89</v>
      </c>
      <c r="L2463" s="6" t="s">
        <v>754</v>
      </c>
      <c r="M2463" s="6" t="s">
        <v>682</v>
      </c>
      <c r="N2463" s="7" t="s">
        <v>92</v>
      </c>
      <c r="O2463" s="7" t="s">
        <v>93</v>
      </c>
      <c r="P2463" s="3" t="s">
        <v>673</v>
      </c>
      <c r="Q2463" s="8">
        <v>796</v>
      </c>
      <c r="R2463" s="7" t="s">
        <v>118</v>
      </c>
      <c r="S2463" s="9">
        <v>5</v>
      </c>
      <c r="T2463" s="9">
        <v>5645.98</v>
      </c>
      <c r="U2463" s="9">
        <f t="shared" si="1725"/>
        <v>28229.899999999998</v>
      </c>
      <c r="V2463" s="9">
        <f t="shared" si="1726"/>
        <v>31617.488000000001</v>
      </c>
      <c r="W2463" s="7"/>
      <c r="X2463" s="2">
        <v>2016</v>
      </c>
      <c r="Y2463" s="2"/>
    </row>
    <row r="2464" spans="1:25" s="11" customFormat="1" ht="89.25" customHeight="1" outlineLevel="1" x14ac:dyDescent="0.25">
      <c r="A2464" s="1"/>
      <c r="B2464" s="2" t="s">
        <v>6890</v>
      </c>
      <c r="C2464" s="3" t="s">
        <v>83</v>
      </c>
      <c r="D2464" s="19" t="s">
        <v>4745</v>
      </c>
      <c r="E2464" s="19" t="s">
        <v>4746</v>
      </c>
      <c r="F2464" s="19" t="s">
        <v>4747</v>
      </c>
      <c r="G2464" s="19" t="s">
        <v>4748</v>
      </c>
      <c r="H2464" s="2" t="s">
        <v>694</v>
      </c>
      <c r="I2464" s="4">
        <v>0</v>
      </c>
      <c r="J2464" s="5">
        <v>710000000</v>
      </c>
      <c r="K2464" s="5" t="s">
        <v>89</v>
      </c>
      <c r="L2464" s="6" t="s">
        <v>754</v>
      </c>
      <c r="M2464" s="6" t="s">
        <v>682</v>
      </c>
      <c r="N2464" s="7" t="s">
        <v>92</v>
      </c>
      <c r="O2464" s="7" t="s">
        <v>93</v>
      </c>
      <c r="P2464" s="3" t="s">
        <v>673</v>
      </c>
      <c r="Q2464" s="8" t="s">
        <v>861</v>
      </c>
      <c r="R2464" s="7" t="s">
        <v>812</v>
      </c>
      <c r="S2464" s="9">
        <v>10</v>
      </c>
      <c r="T2464" s="9">
        <v>941.07</v>
      </c>
      <c r="U2464" s="9">
        <f t="shared" si="1725"/>
        <v>9410.7000000000007</v>
      </c>
      <c r="V2464" s="9">
        <f t="shared" si="1726"/>
        <v>10539.984000000002</v>
      </c>
      <c r="W2464" s="7"/>
      <c r="X2464" s="2">
        <v>2016</v>
      </c>
      <c r="Y2464" s="2"/>
    </row>
    <row r="2465" spans="1:25" s="11" customFormat="1" ht="89.25" customHeight="1" outlineLevel="1" x14ac:dyDescent="0.25">
      <c r="A2465" s="1"/>
      <c r="B2465" s="2" t="s">
        <v>6891</v>
      </c>
      <c r="C2465" s="3" t="s">
        <v>83</v>
      </c>
      <c r="D2465" s="19" t="s">
        <v>4743</v>
      </c>
      <c r="E2465" s="19" t="s">
        <v>2071</v>
      </c>
      <c r="F2465" s="19" t="s">
        <v>4492</v>
      </c>
      <c r="G2465" s="19" t="s">
        <v>4749</v>
      </c>
      <c r="H2465" s="2" t="s">
        <v>694</v>
      </c>
      <c r="I2465" s="4">
        <v>0</v>
      </c>
      <c r="J2465" s="5">
        <v>710000000</v>
      </c>
      <c r="K2465" s="5" t="s">
        <v>89</v>
      </c>
      <c r="L2465" s="6" t="s">
        <v>754</v>
      </c>
      <c r="M2465" s="6" t="s">
        <v>682</v>
      </c>
      <c r="N2465" s="7" t="s">
        <v>92</v>
      </c>
      <c r="O2465" s="7" t="s">
        <v>93</v>
      </c>
      <c r="P2465" s="3" t="s">
        <v>673</v>
      </c>
      <c r="Q2465" s="8" t="s">
        <v>117</v>
      </c>
      <c r="R2465" s="7" t="s">
        <v>118</v>
      </c>
      <c r="S2465" s="9">
        <v>3</v>
      </c>
      <c r="T2465" s="9">
        <v>5645.98</v>
      </c>
      <c r="U2465" s="9">
        <f t="shared" si="1725"/>
        <v>16937.939999999999</v>
      </c>
      <c r="V2465" s="9">
        <f t="shared" si="1726"/>
        <v>18970.4928</v>
      </c>
      <c r="W2465" s="7"/>
      <c r="X2465" s="2">
        <v>2016</v>
      </c>
      <c r="Y2465" s="2"/>
    </row>
    <row r="2466" spans="1:25" s="11" customFormat="1" ht="89.25" customHeight="1" outlineLevel="1" x14ac:dyDescent="0.25">
      <c r="A2466" s="1"/>
      <c r="B2466" s="2" t="s">
        <v>6892</v>
      </c>
      <c r="C2466" s="3" t="s">
        <v>83</v>
      </c>
      <c r="D2466" s="19" t="s">
        <v>4750</v>
      </c>
      <c r="E2466" s="19" t="s">
        <v>4751</v>
      </c>
      <c r="F2466" s="19" t="s">
        <v>4752</v>
      </c>
      <c r="G2466" s="19" t="s">
        <v>4753</v>
      </c>
      <c r="H2466" s="2" t="s">
        <v>694</v>
      </c>
      <c r="I2466" s="4">
        <v>0</v>
      </c>
      <c r="J2466" s="5">
        <v>710000000</v>
      </c>
      <c r="K2466" s="5" t="s">
        <v>89</v>
      </c>
      <c r="L2466" s="6" t="s">
        <v>754</v>
      </c>
      <c r="M2466" s="6" t="s">
        <v>682</v>
      </c>
      <c r="N2466" s="7" t="s">
        <v>92</v>
      </c>
      <c r="O2466" s="7" t="s">
        <v>93</v>
      </c>
      <c r="P2466" s="3" t="s">
        <v>673</v>
      </c>
      <c r="Q2466" s="8" t="s">
        <v>117</v>
      </c>
      <c r="R2466" s="7" t="s">
        <v>118</v>
      </c>
      <c r="S2466" s="9">
        <v>5</v>
      </c>
      <c r="T2466" s="9">
        <v>1317.41</v>
      </c>
      <c r="U2466" s="9">
        <f t="shared" si="1725"/>
        <v>6587.05</v>
      </c>
      <c r="V2466" s="9">
        <f t="shared" si="1726"/>
        <v>7377.496000000001</v>
      </c>
      <c r="W2466" s="7"/>
      <c r="X2466" s="2">
        <v>2016</v>
      </c>
      <c r="Y2466" s="2"/>
    </row>
    <row r="2467" spans="1:25" s="11" customFormat="1" ht="89.25" customHeight="1" outlineLevel="1" x14ac:dyDescent="0.25">
      <c r="A2467" s="1"/>
      <c r="B2467" s="2" t="s">
        <v>6893</v>
      </c>
      <c r="C2467" s="3" t="s">
        <v>83</v>
      </c>
      <c r="D2467" s="19" t="s">
        <v>4754</v>
      </c>
      <c r="E2467" s="19" t="s">
        <v>4755</v>
      </c>
      <c r="F2467" s="19" t="s">
        <v>4756</v>
      </c>
      <c r="G2467" s="19" t="s">
        <v>4757</v>
      </c>
      <c r="H2467" s="2" t="s">
        <v>694</v>
      </c>
      <c r="I2467" s="4">
        <v>0</v>
      </c>
      <c r="J2467" s="5">
        <v>710000000</v>
      </c>
      <c r="K2467" s="5" t="s">
        <v>89</v>
      </c>
      <c r="L2467" s="6" t="s">
        <v>754</v>
      </c>
      <c r="M2467" s="6" t="s">
        <v>682</v>
      </c>
      <c r="N2467" s="7" t="s">
        <v>92</v>
      </c>
      <c r="O2467" s="7" t="s">
        <v>93</v>
      </c>
      <c r="P2467" s="3" t="s">
        <v>673</v>
      </c>
      <c r="Q2467" s="8" t="s">
        <v>117</v>
      </c>
      <c r="R2467" s="7" t="s">
        <v>118</v>
      </c>
      <c r="S2467" s="9">
        <v>3</v>
      </c>
      <c r="T2467" s="9">
        <v>4234.82</v>
      </c>
      <c r="U2467" s="9">
        <f t="shared" si="1725"/>
        <v>12704.46</v>
      </c>
      <c r="V2467" s="9">
        <f t="shared" si="1726"/>
        <v>14228.995200000001</v>
      </c>
      <c r="W2467" s="7"/>
      <c r="X2467" s="2">
        <v>2016</v>
      </c>
      <c r="Y2467" s="2"/>
    </row>
    <row r="2468" spans="1:25" s="11" customFormat="1" ht="89.25" customHeight="1" outlineLevel="1" x14ac:dyDescent="0.25">
      <c r="A2468" s="1"/>
      <c r="B2468" s="2" t="s">
        <v>6894</v>
      </c>
      <c r="C2468" s="3" t="s">
        <v>83</v>
      </c>
      <c r="D2468" s="19" t="s">
        <v>4754</v>
      </c>
      <c r="E2468" s="19" t="s">
        <v>4755</v>
      </c>
      <c r="F2468" s="19" t="s">
        <v>4756</v>
      </c>
      <c r="G2468" s="19" t="s">
        <v>4757</v>
      </c>
      <c r="H2468" s="2" t="s">
        <v>694</v>
      </c>
      <c r="I2468" s="4">
        <v>0</v>
      </c>
      <c r="J2468" s="5">
        <v>710000000</v>
      </c>
      <c r="K2468" s="5" t="s">
        <v>89</v>
      </c>
      <c r="L2468" s="6" t="s">
        <v>754</v>
      </c>
      <c r="M2468" s="6" t="s">
        <v>682</v>
      </c>
      <c r="N2468" s="7" t="s">
        <v>92</v>
      </c>
      <c r="O2468" s="7" t="s">
        <v>93</v>
      </c>
      <c r="P2468" s="3" t="s">
        <v>673</v>
      </c>
      <c r="Q2468" s="8" t="s">
        <v>117</v>
      </c>
      <c r="R2468" s="7" t="s">
        <v>118</v>
      </c>
      <c r="S2468" s="9">
        <v>3</v>
      </c>
      <c r="T2468" s="9">
        <v>4234.82</v>
      </c>
      <c r="U2468" s="9">
        <f t="shared" ref="U2468:U2549" si="1734">T2468*S2468</f>
        <v>12704.46</v>
      </c>
      <c r="V2468" s="9">
        <f t="shared" si="1726"/>
        <v>14228.995200000001</v>
      </c>
      <c r="W2468" s="7"/>
      <c r="X2468" s="2">
        <v>2016</v>
      </c>
      <c r="Y2468" s="2"/>
    </row>
    <row r="2469" spans="1:25" s="11" customFormat="1" ht="89.25" customHeight="1" outlineLevel="1" x14ac:dyDescent="0.25">
      <c r="A2469" s="1"/>
      <c r="B2469" s="2" t="s">
        <v>6895</v>
      </c>
      <c r="C2469" s="3" t="s">
        <v>83</v>
      </c>
      <c r="D2469" s="19" t="s">
        <v>4750</v>
      </c>
      <c r="E2469" s="19" t="s">
        <v>4751</v>
      </c>
      <c r="F2469" s="19" t="s">
        <v>4752</v>
      </c>
      <c r="G2469" s="19" t="s">
        <v>4758</v>
      </c>
      <c r="H2469" s="2" t="s">
        <v>694</v>
      </c>
      <c r="I2469" s="4">
        <v>0</v>
      </c>
      <c r="J2469" s="5">
        <v>710000000</v>
      </c>
      <c r="K2469" s="5" t="s">
        <v>89</v>
      </c>
      <c r="L2469" s="6" t="s">
        <v>754</v>
      </c>
      <c r="M2469" s="6" t="s">
        <v>682</v>
      </c>
      <c r="N2469" s="7" t="s">
        <v>92</v>
      </c>
      <c r="O2469" s="7" t="s">
        <v>93</v>
      </c>
      <c r="P2469" s="3" t="s">
        <v>673</v>
      </c>
      <c r="Q2469" s="8" t="s">
        <v>117</v>
      </c>
      <c r="R2469" s="7" t="s">
        <v>118</v>
      </c>
      <c r="S2469" s="9">
        <v>3</v>
      </c>
      <c r="T2469" s="9">
        <v>5645.98</v>
      </c>
      <c r="U2469" s="9">
        <f t="shared" si="1734"/>
        <v>16937.939999999999</v>
      </c>
      <c r="V2469" s="9">
        <f t="shared" si="1726"/>
        <v>18970.4928</v>
      </c>
      <c r="W2469" s="7"/>
      <c r="X2469" s="2">
        <v>2016</v>
      </c>
      <c r="Y2469" s="2"/>
    </row>
    <row r="2470" spans="1:25" s="11" customFormat="1" ht="89.25" customHeight="1" outlineLevel="1" x14ac:dyDescent="0.25">
      <c r="A2470" s="1"/>
      <c r="B2470" s="2" t="s">
        <v>6896</v>
      </c>
      <c r="C2470" s="3" t="s">
        <v>83</v>
      </c>
      <c r="D2470" s="19" t="s">
        <v>4759</v>
      </c>
      <c r="E2470" s="19" t="s">
        <v>4760</v>
      </c>
      <c r="F2470" s="19" t="s">
        <v>4761</v>
      </c>
      <c r="G2470" s="19" t="s">
        <v>4762</v>
      </c>
      <c r="H2470" s="2" t="s">
        <v>694</v>
      </c>
      <c r="I2470" s="4">
        <v>0</v>
      </c>
      <c r="J2470" s="5">
        <v>710000000</v>
      </c>
      <c r="K2470" s="5" t="s">
        <v>89</v>
      </c>
      <c r="L2470" s="6" t="s">
        <v>754</v>
      </c>
      <c r="M2470" s="6" t="s">
        <v>682</v>
      </c>
      <c r="N2470" s="7" t="s">
        <v>92</v>
      </c>
      <c r="O2470" s="7" t="s">
        <v>93</v>
      </c>
      <c r="P2470" s="3" t="s">
        <v>673</v>
      </c>
      <c r="Q2470" s="8" t="s">
        <v>117</v>
      </c>
      <c r="R2470" s="7" t="s">
        <v>118</v>
      </c>
      <c r="S2470" s="9">
        <v>2</v>
      </c>
      <c r="T2470" s="9">
        <v>8469.19</v>
      </c>
      <c r="U2470" s="9">
        <f t="shared" si="1734"/>
        <v>16938.38</v>
      </c>
      <c r="V2470" s="9">
        <f t="shared" si="1726"/>
        <v>18970.985600000004</v>
      </c>
      <c r="W2470" s="7"/>
      <c r="X2470" s="2">
        <v>2016</v>
      </c>
      <c r="Y2470" s="2"/>
    </row>
    <row r="2471" spans="1:25" s="11" customFormat="1" ht="89.25" customHeight="1" outlineLevel="1" x14ac:dyDescent="0.25">
      <c r="A2471" s="1"/>
      <c r="B2471" s="2" t="s">
        <v>6897</v>
      </c>
      <c r="C2471" s="3" t="s">
        <v>83</v>
      </c>
      <c r="D2471" s="19" t="s">
        <v>4759</v>
      </c>
      <c r="E2471" s="19" t="s">
        <v>4760</v>
      </c>
      <c r="F2471" s="19" t="s">
        <v>4761</v>
      </c>
      <c r="G2471" s="19" t="s">
        <v>4763</v>
      </c>
      <c r="H2471" s="2" t="s">
        <v>694</v>
      </c>
      <c r="I2471" s="4">
        <v>0</v>
      </c>
      <c r="J2471" s="5">
        <v>710000000</v>
      </c>
      <c r="K2471" s="5" t="s">
        <v>89</v>
      </c>
      <c r="L2471" s="6" t="s">
        <v>754</v>
      </c>
      <c r="M2471" s="6" t="s">
        <v>682</v>
      </c>
      <c r="N2471" s="7" t="s">
        <v>92</v>
      </c>
      <c r="O2471" s="7" t="s">
        <v>93</v>
      </c>
      <c r="P2471" s="3" t="s">
        <v>673</v>
      </c>
      <c r="Q2471" s="8" t="s">
        <v>117</v>
      </c>
      <c r="R2471" s="7" t="s">
        <v>118</v>
      </c>
      <c r="S2471" s="9">
        <v>2</v>
      </c>
      <c r="T2471" s="9">
        <v>25407.59</v>
      </c>
      <c r="U2471" s="9">
        <f t="shared" si="1734"/>
        <v>50815.18</v>
      </c>
      <c r="V2471" s="9">
        <f t="shared" si="1726"/>
        <v>56913.001600000003</v>
      </c>
      <c r="W2471" s="7"/>
      <c r="X2471" s="2">
        <v>2016</v>
      </c>
      <c r="Y2471" s="2"/>
    </row>
    <row r="2472" spans="1:25" s="11" customFormat="1" ht="89.25" customHeight="1" outlineLevel="1" x14ac:dyDescent="0.25">
      <c r="A2472" s="1"/>
      <c r="B2472" s="2" t="s">
        <v>6898</v>
      </c>
      <c r="C2472" s="3" t="s">
        <v>83</v>
      </c>
      <c r="D2472" s="19" t="s">
        <v>4724</v>
      </c>
      <c r="E2472" s="19" t="s">
        <v>4725</v>
      </c>
      <c r="F2472" s="19" t="s">
        <v>4726</v>
      </c>
      <c r="G2472" s="19" t="s">
        <v>4764</v>
      </c>
      <c r="H2472" s="2" t="s">
        <v>694</v>
      </c>
      <c r="I2472" s="4">
        <v>0</v>
      </c>
      <c r="J2472" s="5">
        <v>710000000</v>
      </c>
      <c r="K2472" s="5" t="s">
        <v>89</v>
      </c>
      <c r="L2472" s="6" t="s">
        <v>754</v>
      </c>
      <c r="M2472" s="6" t="s">
        <v>682</v>
      </c>
      <c r="N2472" s="7" t="s">
        <v>92</v>
      </c>
      <c r="O2472" s="7" t="s">
        <v>93</v>
      </c>
      <c r="P2472" s="3" t="s">
        <v>673</v>
      </c>
      <c r="Q2472" s="8">
        <v>796</v>
      </c>
      <c r="R2472" s="7" t="s">
        <v>118</v>
      </c>
      <c r="S2472" s="9">
        <v>1</v>
      </c>
      <c r="T2472" s="9">
        <v>5269.46</v>
      </c>
      <c r="U2472" s="9">
        <f t="shared" si="1734"/>
        <v>5269.46</v>
      </c>
      <c r="V2472" s="9">
        <f t="shared" si="1726"/>
        <v>5901.7952000000005</v>
      </c>
      <c r="W2472" s="7"/>
      <c r="X2472" s="2">
        <v>2016</v>
      </c>
      <c r="Y2472" s="2"/>
    </row>
    <row r="2473" spans="1:25" s="11" customFormat="1" ht="89.25" customHeight="1" outlineLevel="1" x14ac:dyDescent="0.25">
      <c r="A2473" s="1"/>
      <c r="B2473" s="2" t="s">
        <v>6899</v>
      </c>
      <c r="C2473" s="3" t="s">
        <v>83</v>
      </c>
      <c r="D2473" s="19" t="s">
        <v>4765</v>
      </c>
      <c r="E2473" s="19" t="s">
        <v>4766</v>
      </c>
      <c r="F2473" s="19" t="s">
        <v>4767</v>
      </c>
      <c r="G2473" s="19" t="s">
        <v>4768</v>
      </c>
      <c r="H2473" s="2" t="s">
        <v>694</v>
      </c>
      <c r="I2473" s="4">
        <v>0</v>
      </c>
      <c r="J2473" s="5">
        <v>710000000</v>
      </c>
      <c r="K2473" s="5" t="s">
        <v>89</v>
      </c>
      <c r="L2473" s="6" t="s">
        <v>754</v>
      </c>
      <c r="M2473" s="6" t="s">
        <v>682</v>
      </c>
      <c r="N2473" s="7" t="s">
        <v>92</v>
      </c>
      <c r="O2473" s="7" t="s">
        <v>93</v>
      </c>
      <c r="P2473" s="3" t="s">
        <v>673</v>
      </c>
      <c r="Q2473" s="8">
        <v>796</v>
      </c>
      <c r="R2473" s="7" t="s">
        <v>118</v>
      </c>
      <c r="S2473" s="9">
        <v>3</v>
      </c>
      <c r="T2473" s="9">
        <v>4705.3599999999997</v>
      </c>
      <c r="U2473" s="9">
        <f t="shared" si="1734"/>
        <v>14116.079999999998</v>
      </c>
      <c r="V2473" s="9">
        <f t="shared" si="1726"/>
        <v>15810.009599999999</v>
      </c>
      <c r="W2473" s="7"/>
      <c r="X2473" s="2">
        <v>2016</v>
      </c>
      <c r="Y2473" s="2"/>
    </row>
    <row r="2474" spans="1:25" s="11" customFormat="1" ht="89.25" customHeight="1" outlineLevel="1" x14ac:dyDescent="0.25">
      <c r="A2474" s="1"/>
      <c r="B2474" s="2" t="s">
        <v>6900</v>
      </c>
      <c r="C2474" s="3" t="s">
        <v>83</v>
      </c>
      <c r="D2474" s="19" t="s">
        <v>4769</v>
      </c>
      <c r="E2474" s="19" t="s">
        <v>4770</v>
      </c>
      <c r="F2474" s="19" t="s">
        <v>4771</v>
      </c>
      <c r="G2474" s="19" t="s">
        <v>4772</v>
      </c>
      <c r="H2474" s="2" t="s">
        <v>694</v>
      </c>
      <c r="I2474" s="4">
        <v>0</v>
      </c>
      <c r="J2474" s="5">
        <v>710000000</v>
      </c>
      <c r="K2474" s="5" t="s">
        <v>89</v>
      </c>
      <c r="L2474" s="6" t="s">
        <v>754</v>
      </c>
      <c r="M2474" s="6" t="s">
        <v>682</v>
      </c>
      <c r="N2474" s="7" t="s">
        <v>92</v>
      </c>
      <c r="O2474" s="7" t="s">
        <v>93</v>
      </c>
      <c r="P2474" s="3" t="s">
        <v>673</v>
      </c>
      <c r="Q2474" s="8">
        <v>796</v>
      </c>
      <c r="R2474" s="7" t="s">
        <v>118</v>
      </c>
      <c r="S2474" s="9">
        <v>1</v>
      </c>
      <c r="T2474" s="9">
        <v>24466.52</v>
      </c>
      <c r="U2474" s="9">
        <f t="shared" si="1734"/>
        <v>24466.52</v>
      </c>
      <c r="V2474" s="9">
        <f t="shared" si="1726"/>
        <v>27402.502400000005</v>
      </c>
      <c r="W2474" s="7"/>
      <c r="X2474" s="2">
        <v>2016</v>
      </c>
      <c r="Y2474" s="2"/>
    </row>
    <row r="2475" spans="1:25" s="11" customFormat="1" ht="89.25" customHeight="1" outlineLevel="1" x14ac:dyDescent="0.25">
      <c r="A2475" s="1"/>
      <c r="B2475" s="2" t="s">
        <v>6901</v>
      </c>
      <c r="C2475" s="3" t="s">
        <v>83</v>
      </c>
      <c r="D2475" s="19" t="s">
        <v>4773</v>
      </c>
      <c r="E2475" s="19" t="s">
        <v>3296</v>
      </c>
      <c r="F2475" s="19" t="s">
        <v>4774</v>
      </c>
      <c r="G2475" s="19" t="s">
        <v>4775</v>
      </c>
      <c r="H2475" s="2" t="s">
        <v>694</v>
      </c>
      <c r="I2475" s="4">
        <v>0</v>
      </c>
      <c r="J2475" s="5">
        <v>710000000</v>
      </c>
      <c r="K2475" s="5" t="s">
        <v>89</v>
      </c>
      <c r="L2475" s="6" t="s">
        <v>754</v>
      </c>
      <c r="M2475" s="6" t="s">
        <v>682</v>
      </c>
      <c r="N2475" s="7" t="s">
        <v>92</v>
      </c>
      <c r="O2475" s="7" t="s">
        <v>93</v>
      </c>
      <c r="P2475" s="3" t="s">
        <v>673</v>
      </c>
      <c r="Q2475" s="8">
        <v>796</v>
      </c>
      <c r="R2475" s="7" t="s">
        <v>118</v>
      </c>
      <c r="S2475" s="9">
        <v>10</v>
      </c>
      <c r="T2475" s="9">
        <v>188.39</v>
      </c>
      <c r="U2475" s="9">
        <f t="shared" si="1734"/>
        <v>1883.8999999999999</v>
      </c>
      <c r="V2475" s="9">
        <f t="shared" si="1726"/>
        <v>2109.9679999999998</v>
      </c>
      <c r="W2475" s="7"/>
      <c r="X2475" s="2">
        <v>2016</v>
      </c>
      <c r="Y2475" s="2"/>
    </row>
    <row r="2476" spans="1:25" s="11" customFormat="1" ht="89.25" customHeight="1" outlineLevel="1" x14ac:dyDescent="0.25">
      <c r="A2476" s="1"/>
      <c r="B2476" s="2" t="s">
        <v>6902</v>
      </c>
      <c r="C2476" s="3" t="s">
        <v>83</v>
      </c>
      <c r="D2476" s="19" t="s">
        <v>4776</v>
      </c>
      <c r="E2476" s="19" t="s">
        <v>4777</v>
      </c>
      <c r="F2476" s="19" t="s">
        <v>4778</v>
      </c>
      <c r="G2476" s="19" t="s">
        <v>4779</v>
      </c>
      <c r="H2476" s="2" t="s">
        <v>694</v>
      </c>
      <c r="I2476" s="4">
        <v>0</v>
      </c>
      <c r="J2476" s="5">
        <v>710000000</v>
      </c>
      <c r="K2476" s="5" t="s">
        <v>89</v>
      </c>
      <c r="L2476" s="6" t="s">
        <v>754</v>
      </c>
      <c r="M2476" s="6" t="s">
        <v>682</v>
      </c>
      <c r="N2476" s="7" t="s">
        <v>92</v>
      </c>
      <c r="O2476" s="7" t="s">
        <v>93</v>
      </c>
      <c r="P2476" s="3" t="s">
        <v>673</v>
      </c>
      <c r="Q2476" s="8">
        <v>796</v>
      </c>
      <c r="R2476" s="7" t="s">
        <v>118</v>
      </c>
      <c r="S2476" s="9">
        <v>2</v>
      </c>
      <c r="T2476" s="9">
        <v>6595.98</v>
      </c>
      <c r="U2476" s="9">
        <f t="shared" si="1734"/>
        <v>13191.96</v>
      </c>
      <c r="V2476" s="9">
        <f t="shared" si="1726"/>
        <v>14774.995200000001</v>
      </c>
      <c r="W2476" s="7"/>
      <c r="X2476" s="2">
        <v>2016</v>
      </c>
      <c r="Y2476" s="2"/>
    </row>
    <row r="2477" spans="1:25" s="11" customFormat="1" ht="102" customHeight="1" outlineLevel="1" x14ac:dyDescent="0.25">
      <c r="A2477" s="1"/>
      <c r="B2477" s="2" t="s">
        <v>6903</v>
      </c>
      <c r="C2477" s="3" t="s">
        <v>83</v>
      </c>
      <c r="D2477" s="19" t="s">
        <v>2926</v>
      </c>
      <c r="E2477" s="19" t="s">
        <v>2927</v>
      </c>
      <c r="F2477" s="19" t="s">
        <v>2928</v>
      </c>
      <c r="G2477" s="19" t="s">
        <v>4780</v>
      </c>
      <c r="H2477" s="2" t="s">
        <v>694</v>
      </c>
      <c r="I2477" s="4">
        <v>0</v>
      </c>
      <c r="J2477" s="5">
        <v>710000000</v>
      </c>
      <c r="K2477" s="5" t="s">
        <v>89</v>
      </c>
      <c r="L2477" s="6" t="s">
        <v>754</v>
      </c>
      <c r="M2477" s="6" t="s">
        <v>682</v>
      </c>
      <c r="N2477" s="7" t="s">
        <v>92</v>
      </c>
      <c r="O2477" s="7" t="s">
        <v>93</v>
      </c>
      <c r="P2477" s="3" t="s">
        <v>673</v>
      </c>
      <c r="Q2477" s="8">
        <v>796</v>
      </c>
      <c r="R2477" s="7" t="s">
        <v>118</v>
      </c>
      <c r="S2477" s="9">
        <v>12</v>
      </c>
      <c r="T2477" s="9">
        <v>94.2</v>
      </c>
      <c r="U2477" s="9">
        <f t="shared" si="1734"/>
        <v>1130.4000000000001</v>
      </c>
      <c r="V2477" s="9">
        <f t="shared" si="1726"/>
        <v>1266.0480000000002</v>
      </c>
      <c r="W2477" s="7"/>
      <c r="X2477" s="2">
        <v>2016</v>
      </c>
      <c r="Y2477" s="2"/>
    </row>
    <row r="2478" spans="1:25" s="11" customFormat="1" ht="89.25" customHeight="1" outlineLevel="1" x14ac:dyDescent="0.25">
      <c r="A2478" s="1"/>
      <c r="B2478" s="2" t="s">
        <v>6904</v>
      </c>
      <c r="C2478" s="3" t="s">
        <v>83</v>
      </c>
      <c r="D2478" s="3" t="s">
        <v>2325</v>
      </c>
      <c r="E2478" s="3" t="s">
        <v>2326</v>
      </c>
      <c r="F2478" s="3" t="s">
        <v>2327</v>
      </c>
      <c r="G2478" s="3" t="s">
        <v>4781</v>
      </c>
      <c r="H2478" s="2" t="s">
        <v>694</v>
      </c>
      <c r="I2478" s="4">
        <v>0</v>
      </c>
      <c r="J2478" s="5">
        <v>710000000</v>
      </c>
      <c r="K2478" s="5" t="s">
        <v>89</v>
      </c>
      <c r="L2478" s="2" t="s">
        <v>754</v>
      </c>
      <c r="M2478" s="6" t="s">
        <v>730</v>
      </c>
      <c r="N2478" s="7" t="s">
        <v>92</v>
      </c>
      <c r="O2478" s="7" t="s">
        <v>93</v>
      </c>
      <c r="P2478" s="3" t="s">
        <v>673</v>
      </c>
      <c r="Q2478" s="8">
        <v>796</v>
      </c>
      <c r="R2478" s="7" t="s">
        <v>118</v>
      </c>
      <c r="S2478" s="9">
        <f>1+5</f>
        <v>6</v>
      </c>
      <c r="T2478" s="9">
        <v>6895</v>
      </c>
      <c r="U2478" s="9">
        <f t="shared" si="1734"/>
        <v>41370</v>
      </c>
      <c r="V2478" s="9">
        <f t="shared" si="1726"/>
        <v>46334.400000000001</v>
      </c>
      <c r="W2478" s="7"/>
      <c r="X2478" s="2">
        <v>2016</v>
      </c>
      <c r="Y2478" s="2"/>
    </row>
    <row r="2479" spans="1:25" s="11" customFormat="1" ht="89.25" customHeight="1" outlineLevel="1" x14ac:dyDescent="0.25">
      <c r="A2479" s="1"/>
      <c r="B2479" s="2" t="s">
        <v>6905</v>
      </c>
      <c r="C2479" s="3" t="s">
        <v>83</v>
      </c>
      <c r="D2479" s="3" t="s">
        <v>2325</v>
      </c>
      <c r="E2479" s="3" t="s">
        <v>2326</v>
      </c>
      <c r="F2479" s="3" t="s">
        <v>2327</v>
      </c>
      <c r="G2479" s="3" t="s">
        <v>4782</v>
      </c>
      <c r="H2479" s="2" t="s">
        <v>694</v>
      </c>
      <c r="I2479" s="4">
        <v>0</v>
      </c>
      <c r="J2479" s="5">
        <v>710000000</v>
      </c>
      <c r="K2479" s="5" t="s">
        <v>89</v>
      </c>
      <c r="L2479" s="2" t="s">
        <v>754</v>
      </c>
      <c r="M2479" s="6" t="s">
        <v>2682</v>
      </c>
      <c r="N2479" s="7" t="s">
        <v>92</v>
      </c>
      <c r="O2479" s="7" t="s">
        <v>93</v>
      </c>
      <c r="P2479" s="3" t="s">
        <v>673</v>
      </c>
      <c r="Q2479" s="8">
        <v>796</v>
      </c>
      <c r="R2479" s="7" t="s">
        <v>118</v>
      </c>
      <c r="S2479" s="9">
        <v>1</v>
      </c>
      <c r="T2479" s="9">
        <v>6895</v>
      </c>
      <c r="U2479" s="9">
        <f t="shared" si="1734"/>
        <v>6895</v>
      </c>
      <c r="V2479" s="9">
        <f t="shared" si="1726"/>
        <v>7722.4000000000005</v>
      </c>
      <c r="W2479" s="7"/>
      <c r="X2479" s="2">
        <v>2016</v>
      </c>
      <c r="Y2479" s="2"/>
    </row>
    <row r="2480" spans="1:25" s="11" customFormat="1" ht="89.25" customHeight="1" outlineLevel="1" x14ac:dyDescent="0.25">
      <c r="A2480" s="1"/>
      <c r="B2480" s="2" t="s">
        <v>6906</v>
      </c>
      <c r="C2480" s="3" t="s">
        <v>83</v>
      </c>
      <c r="D2480" s="3" t="s">
        <v>761</v>
      </c>
      <c r="E2480" s="3" t="s">
        <v>762</v>
      </c>
      <c r="F2480" s="3" t="s">
        <v>763</v>
      </c>
      <c r="G2480" s="3" t="s">
        <v>3489</v>
      </c>
      <c r="H2480" s="2" t="s">
        <v>765</v>
      </c>
      <c r="I2480" s="4">
        <v>0.5</v>
      </c>
      <c r="J2480" s="5">
        <v>710000000</v>
      </c>
      <c r="K2480" s="5" t="s">
        <v>89</v>
      </c>
      <c r="L2480" s="2" t="s">
        <v>754</v>
      </c>
      <c r="M2480" s="6" t="s">
        <v>1481</v>
      </c>
      <c r="N2480" s="7" t="s">
        <v>92</v>
      </c>
      <c r="O2480" s="7" t="s">
        <v>93</v>
      </c>
      <c r="P2480" s="3" t="s">
        <v>94</v>
      </c>
      <c r="Q2480" s="8">
        <v>796</v>
      </c>
      <c r="R2480" s="7" t="s">
        <v>118</v>
      </c>
      <c r="S2480" s="9">
        <v>50</v>
      </c>
      <c r="T2480" s="9">
        <v>14015</v>
      </c>
      <c r="U2480" s="9">
        <f t="shared" si="1734"/>
        <v>700750</v>
      </c>
      <c r="V2480" s="9">
        <f t="shared" si="1726"/>
        <v>784840.00000000012</v>
      </c>
      <c r="W2480" s="7" t="s">
        <v>97</v>
      </c>
      <c r="X2480" s="2">
        <v>2016</v>
      </c>
      <c r="Y2480" s="2"/>
    </row>
    <row r="2481" spans="1:25" s="11" customFormat="1" ht="89.25" customHeight="1" outlineLevel="1" x14ac:dyDescent="0.2">
      <c r="A2481" s="25"/>
      <c r="B2481" s="2" t="s">
        <v>6907</v>
      </c>
      <c r="C2481" s="3" t="s">
        <v>83</v>
      </c>
      <c r="D2481" s="3" t="s">
        <v>761</v>
      </c>
      <c r="E2481" s="3" t="s">
        <v>762</v>
      </c>
      <c r="F2481" s="3" t="s">
        <v>763</v>
      </c>
      <c r="G2481" s="3" t="s">
        <v>3490</v>
      </c>
      <c r="H2481" s="2" t="s">
        <v>765</v>
      </c>
      <c r="I2481" s="4">
        <v>0.5</v>
      </c>
      <c r="J2481" s="5">
        <v>710000000</v>
      </c>
      <c r="K2481" s="5" t="s">
        <v>89</v>
      </c>
      <c r="L2481" s="2" t="s">
        <v>754</v>
      </c>
      <c r="M2481" s="6" t="s">
        <v>1481</v>
      </c>
      <c r="N2481" s="7" t="s">
        <v>92</v>
      </c>
      <c r="O2481" s="7" t="s">
        <v>93</v>
      </c>
      <c r="P2481" s="3" t="s">
        <v>94</v>
      </c>
      <c r="Q2481" s="8">
        <v>796</v>
      </c>
      <c r="R2481" s="7" t="s">
        <v>118</v>
      </c>
      <c r="S2481" s="9">
        <v>1</v>
      </c>
      <c r="T2481" s="9">
        <v>53482</v>
      </c>
      <c r="U2481" s="9">
        <v>0</v>
      </c>
      <c r="V2481" s="9">
        <f t="shared" si="1726"/>
        <v>0</v>
      </c>
      <c r="W2481" s="7" t="s">
        <v>97</v>
      </c>
      <c r="X2481" s="2">
        <v>2016</v>
      </c>
      <c r="Y2481" s="2" t="s">
        <v>7793</v>
      </c>
    </row>
    <row r="2482" spans="1:25" s="11" customFormat="1" ht="89.25" customHeight="1" outlineLevel="1" x14ac:dyDescent="0.25">
      <c r="A2482" s="1"/>
      <c r="B2482" s="2" t="s">
        <v>7807</v>
      </c>
      <c r="C2482" s="3" t="s">
        <v>83</v>
      </c>
      <c r="D2482" s="3" t="s">
        <v>761</v>
      </c>
      <c r="E2482" s="3" t="s">
        <v>762</v>
      </c>
      <c r="F2482" s="3" t="s">
        <v>763</v>
      </c>
      <c r="G2482" s="3" t="s">
        <v>3490</v>
      </c>
      <c r="H2482" s="2" t="s">
        <v>765</v>
      </c>
      <c r="I2482" s="4">
        <v>0</v>
      </c>
      <c r="J2482" s="5">
        <v>710000000</v>
      </c>
      <c r="K2482" s="5" t="s">
        <v>89</v>
      </c>
      <c r="L2482" s="2" t="s">
        <v>754</v>
      </c>
      <c r="M2482" s="6" t="s">
        <v>1481</v>
      </c>
      <c r="N2482" s="7" t="s">
        <v>92</v>
      </c>
      <c r="O2482" s="7" t="s">
        <v>93</v>
      </c>
      <c r="P2482" s="3" t="s">
        <v>673</v>
      </c>
      <c r="Q2482" s="8">
        <v>796</v>
      </c>
      <c r="R2482" s="7" t="s">
        <v>118</v>
      </c>
      <c r="S2482" s="9">
        <v>1</v>
      </c>
      <c r="T2482" s="9">
        <v>53482</v>
      </c>
      <c r="U2482" s="9">
        <v>0</v>
      </c>
      <c r="V2482" s="9">
        <f t="shared" ref="V2482" si="1735">U2482*1.12</f>
        <v>0</v>
      </c>
      <c r="W2482" s="7"/>
      <c r="X2482" s="2">
        <v>2016</v>
      </c>
      <c r="Y2482" s="2" t="s">
        <v>8409</v>
      </c>
    </row>
    <row r="2483" spans="1:25" s="11" customFormat="1" ht="89.25" customHeight="1" outlineLevel="1" x14ac:dyDescent="0.25">
      <c r="A2483" s="1"/>
      <c r="B2483" s="2" t="s">
        <v>9739</v>
      </c>
      <c r="C2483" s="3" t="s">
        <v>83</v>
      </c>
      <c r="D2483" s="3" t="s">
        <v>761</v>
      </c>
      <c r="E2483" s="3" t="s">
        <v>762</v>
      </c>
      <c r="F2483" s="3" t="s">
        <v>763</v>
      </c>
      <c r="G2483" s="3" t="s">
        <v>3490</v>
      </c>
      <c r="H2483" s="2" t="s">
        <v>765</v>
      </c>
      <c r="I2483" s="4">
        <v>0</v>
      </c>
      <c r="J2483" s="5">
        <v>710000000</v>
      </c>
      <c r="K2483" s="5" t="s">
        <v>89</v>
      </c>
      <c r="L2483" s="6" t="s">
        <v>9737</v>
      </c>
      <c r="M2483" s="6" t="s">
        <v>1481</v>
      </c>
      <c r="N2483" s="7" t="s">
        <v>92</v>
      </c>
      <c r="O2483" s="7" t="s">
        <v>93</v>
      </c>
      <c r="P2483" s="3" t="s">
        <v>673</v>
      </c>
      <c r="Q2483" s="8">
        <v>796</v>
      </c>
      <c r="R2483" s="7" t="s">
        <v>118</v>
      </c>
      <c r="S2483" s="9">
        <v>2</v>
      </c>
      <c r="T2483" s="9">
        <v>53482</v>
      </c>
      <c r="U2483" s="9">
        <f t="shared" ref="U2483" si="1736">T2483*S2483</f>
        <v>106964</v>
      </c>
      <c r="V2483" s="9">
        <f t="shared" ref="V2483" si="1737">U2483*1.12</f>
        <v>119799.68000000001</v>
      </c>
      <c r="W2483" s="7"/>
      <c r="X2483" s="2">
        <v>2016</v>
      </c>
      <c r="Y2483" s="2"/>
    </row>
    <row r="2484" spans="1:25" s="11" customFormat="1" ht="89.25" customHeight="1" outlineLevel="1" x14ac:dyDescent="0.2">
      <c r="A2484" s="25"/>
      <c r="B2484" s="2" t="s">
        <v>6908</v>
      </c>
      <c r="C2484" s="3" t="s">
        <v>83</v>
      </c>
      <c r="D2484" s="3" t="s">
        <v>768</v>
      </c>
      <c r="E2484" s="3" t="s">
        <v>762</v>
      </c>
      <c r="F2484" s="3" t="s">
        <v>769</v>
      </c>
      <c r="G2484" s="3" t="s">
        <v>3491</v>
      </c>
      <c r="H2484" s="2" t="s">
        <v>765</v>
      </c>
      <c r="I2484" s="4">
        <v>0.5</v>
      </c>
      <c r="J2484" s="5">
        <v>710000000</v>
      </c>
      <c r="K2484" s="5" t="s">
        <v>89</v>
      </c>
      <c r="L2484" s="2" t="s">
        <v>754</v>
      </c>
      <c r="M2484" s="6" t="s">
        <v>1481</v>
      </c>
      <c r="N2484" s="7" t="s">
        <v>92</v>
      </c>
      <c r="O2484" s="7" t="s">
        <v>93</v>
      </c>
      <c r="P2484" s="3" t="s">
        <v>94</v>
      </c>
      <c r="Q2484" s="8">
        <v>796</v>
      </c>
      <c r="R2484" s="7" t="s">
        <v>118</v>
      </c>
      <c r="S2484" s="9">
        <v>1</v>
      </c>
      <c r="T2484" s="9">
        <v>89196</v>
      </c>
      <c r="U2484" s="9">
        <v>0</v>
      </c>
      <c r="V2484" s="9">
        <f t="shared" si="1726"/>
        <v>0</v>
      </c>
      <c r="W2484" s="7" t="s">
        <v>97</v>
      </c>
      <c r="X2484" s="2">
        <v>2016</v>
      </c>
      <c r="Y2484" s="2" t="s">
        <v>7793</v>
      </c>
    </row>
    <row r="2485" spans="1:25" s="11" customFormat="1" ht="89.25" customHeight="1" outlineLevel="1" x14ac:dyDescent="0.25">
      <c r="A2485" s="1"/>
      <c r="B2485" s="2" t="s">
        <v>7808</v>
      </c>
      <c r="C2485" s="3" t="s">
        <v>83</v>
      </c>
      <c r="D2485" s="3" t="s">
        <v>768</v>
      </c>
      <c r="E2485" s="3" t="s">
        <v>762</v>
      </c>
      <c r="F2485" s="3" t="s">
        <v>769</v>
      </c>
      <c r="G2485" s="3" t="s">
        <v>3491</v>
      </c>
      <c r="H2485" s="2" t="s">
        <v>765</v>
      </c>
      <c r="I2485" s="4">
        <v>0</v>
      </c>
      <c r="J2485" s="5">
        <v>710000000</v>
      </c>
      <c r="K2485" s="5" t="s">
        <v>89</v>
      </c>
      <c r="L2485" s="2" t="s">
        <v>754</v>
      </c>
      <c r="M2485" s="6" t="s">
        <v>1481</v>
      </c>
      <c r="N2485" s="7" t="s">
        <v>92</v>
      </c>
      <c r="O2485" s="7" t="s">
        <v>93</v>
      </c>
      <c r="P2485" s="3" t="s">
        <v>673</v>
      </c>
      <c r="Q2485" s="8">
        <v>796</v>
      </c>
      <c r="R2485" s="7" t="s">
        <v>118</v>
      </c>
      <c r="S2485" s="9">
        <v>1</v>
      </c>
      <c r="T2485" s="9">
        <v>89196</v>
      </c>
      <c r="U2485" s="9">
        <v>0</v>
      </c>
      <c r="V2485" s="9">
        <f t="shared" ref="V2485" si="1738">U2485*1.12</f>
        <v>0</v>
      </c>
      <c r="W2485" s="7"/>
      <c r="X2485" s="2">
        <v>2016</v>
      </c>
      <c r="Y2485" s="2" t="s">
        <v>8409</v>
      </c>
    </row>
    <row r="2486" spans="1:25" s="11" customFormat="1" ht="89.25" customHeight="1" outlineLevel="1" x14ac:dyDescent="0.25">
      <c r="A2486" s="1"/>
      <c r="B2486" s="2" t="s">
        <v>9740</v>
      </c>
      <c r="C2486" s="3" t="s">
        <v>83</v>
      </c>
      <c r="D2486" s="3" t="s">
        <v>768</v>
      </c>
      <c r="E2486" s="3" t="s">
        <v>762</v>
      </c>
      <c r="F2486" s="3" t="s">
        <v>769</v>
      </c>
      <c r="G2486" s="3" t="s">
        <v>3491</v>
      </c>
      <c r="H2486" s="2" t="s">
        <v>765</v>
      </c>
      <c r="I2486" s="4">
        <v>0</v>
      </c>
      <c r="J2486" s="5">
        <v>710000000</v>
      </c>
      <c r="K2486" s="5" t="s">
        <v>89</v>
      </c>
      <c r="L2486" s="6" t="s">
        <v>9737</v>
      </c>
      <c r="M2486" s="6" t="s">
        <v>1481</v>
      </c>
      <c r="N2486" s="7" t="s">
        <v>92</v>
      </c>
      <c r="O2486" s="7" t="s">
        <v>93</v>
      </c>
      <c r="P2486" s="3" t="s">
        <v>673</v>
      </c>
      <c r="Q2486" s="8">
        <v>796</v>
      </c>
      <c r="R2486" s="7" t="s">
        <v>118</v>
      </c>
      <c r="S2486" s="9">
        <v>2</v>
      </c>
      <c r="T2486" s="9">
        <v>89196</v>
      </c>
      <c r="U2486" s="9">
        <f t="shared" ref="U2486" si="1739">T2486*S2486</f>
        <v>178392</v>
      </c>
      <c r="V2486" s="9">
        <f t="shared" ref="V2486" si="1740">U2486*1.12</f>
        <v>199799.04000000001</v>
      </c>
      <c r="W2486" s="7"/>
      <c r="X2486" s="2">
        <v>2016</v>
      </c>
      <c r="Y2486" s="2"/>
    </row>
    <row r="2487" spans="1:25" s="11" customFormat="1" ht="89.25" customHeight="1" outlineLevel="1" x14ac:dyDescent="0.2">
      <c r="A2487" s="25"/>
      <c r="B2487" s="2" t="s">
        <v>6909</v>
      </c>
      <c r="C2487" s="3" t="s">
        <v>83</v>
      </c>
      <c r="D2487" s="3" t="s">
        <v>768</v>
      </c>
      <c r="E2487" s="3" t="s">
        <v>762</v>
      </c>
      <c r="F2487" s="3" t="s">
        <v>769</v>
      </c>
      <c r="G2487" s="3" t="s">
        <v>3492</v>
      </c>
      <c r="H2487" s="2" t="s">
        <v>765</v>
      </c>
      <c r="I2487" s="4">
        <v>0.5</v>
      </c>
      <c r="J2487" s="5">
        <v>710000000</v>
      </c>
      <c r="K2487" s="5" t="s">
        <v>89</v>
      </c>
      <c r="L2487" s="2" t="s">
        <v>754</v>
      </c>
      <c r="M2487" s="6" t="s">
        <v>1481</v>
      </c>
      <c r="N2487" s="7" t="s">
        <v>92</v>
      </c>
      <c r="O2487" s="7" t="s">
        <v>93</v>
      </c>
      <c r="P2487" s="3" t="s">
        <v>94</v>
      </c>
      <c r="Q2487" s="8">
        <v>796</v>
      </c>
      <c r="R2487" s="7" t="s">
        <v>118</v>
      </c>
      <c r="S2487" s="9">
        <v>1</v>
      </c>
      <c r="T2487" s="9">
        <v>89196</v>
      </c>
      <c r="U2487" s="9">
        <v>0</v>
      </c>
      <c r="V2487" s="9">
        <f t="shared" si="1726"/>
        <v>0</v>
      </c>
      <c r="W2487" s="7" t="s">
        <v>97</v>
      </c>
      <c r="X2487" s="2">
        <v>2016</v>
      </c>
      <c r="Y2487" s="2" t="s">
        <v>7793</v>
      </c>
    </row>
    <row r="2488" spans="1:25" s="11" customFormat="1" ht="89.25" customHeight="1" outlineLevel="1" x14ac:dyDescent="0.25">
      <c r="A2488" s="1"/>
      <c r="B2488" s="2" t="s">
        <v>7809</v>
      </c>
      <c r="C2488" s="3" t="s">
        <v>83</v>
      </c>
      <c r="D2488" s="3" t="s">
        <v>768</v>
      </c>
      <c r="E2488" s="3" t="s">
        <v>762</v>
      </c>
      <c r="F2488" s="3" t="s">
        <v>769</v>
      </c>
      <c r="G2488" s="3" t="s">
        <v>3492</v>
      </c>
      <c r="H2488" s="2" t="s">
        <v>765</v>
      </c>
      <c r="I2488" s="4">
        <v>0</v>
      </c>
      <c r="J2488" s="5">
        <v>710000000</v>
      </c>
      <c r="K2488" s="5" t="s">
        <v>89</v>
      </c>
      <c r="L2488" s="2" t="s">
        <v>754</v>
      </c>
      <c r="M2488" s="6" t="s">
        <v>1481</v>
      </c>
      <c r="N2488" s="7" t="s">
        <v>92</v>
      </c>
      <c r="O2488" s="7" t="s">
        <v>93</v>
      </c>
      <c r="P2488" s="3" t="s">
        <v>673</v>
      </c>
      <c r="Q2488" s="8">
        <v>796</v>
      </c>
      <c r="R2488" s="7" t="s">
        <v>118</v>
      </c>
      <c r="S2488" s="9">
        <v>1</v>
      </c>
      <c r="T2488" s="9">
        <v>89196</v>
      </c>
      <c r="U2488" s="9">
        <v>0</v>
      </c>
      <c r="V2488" s="9">
        <f t="shared" ref="V2488" si="1741">U2488*1.12</f>
        <v>0</v>
      </c>
      <c r="W2488" s="7"/>
      <c r="X2488" s="2">
        <v>2016</v>
      </c>
      <c r="Y2488" s="2" t="s">
        <v>8409</v>
      </c>
    </row>
    <row r="2489" spans="1:25" s="11" customFormat="1" ht="89.25" customHeight="1" outlineLevel="1" x14ac:dyDescent="0.25">
      <c r="A2489" s="1"/>
      <c r="B2489" s="2" t="s">
        <v>9741</v>
      </c>
      <c r="C2489" s="3" t="s">
        <v>83</v>
      </c>
      <c r="D2489" s="3" t="s">
        <v>768</v>
      </c>
      <c r="E2489" s="3" t="s">
        <v>762</v>
      </c>
      <c r="F2489" s="3" t="s">
        <v>769</v>
      </c>
      <c r="G2489" s="3" t="s">
        <v>3492</v>
      </c>
      <c r="H2489" s="2" t="s">
        <v>765</v>
      </c>
      <c r="I2489" s="4">
        <v>0</v>
      </c>
      <c r="J2489" s="5">
        <v>710000000</v>
      </c>
      <c r="K2489" s="5" t="s">
        <v>89</v>
      </c>
      <c r="L2489" s="6" t="s">
        <v>9737</v>
      </c>
      <c r="M2489" s="6" t="s">
        <v>1481</v>
      </c>
      <c r="N2489" s="7" t="s">
        <v>92</v>
      </c>
      <c r="O2489" s="7" t="s">
        <v>93</v>
      </c>
      <c r="P2489" s="3" t="s">
        <v>673</v>
      </c>
      <c r="Q2489" s="8">
        <v>796</v>
      </c>
      <c r="R2489" s="7" t="s">
        <v>118</v>
      </c>
      <c r="S2489" s="9">
        <v>2</v>
      </c>
      <c r="T2489" s="9">
        <v>89196</v>
      </c>
      <c r="U2489" s="9">
        <f t="shared" ref="U2489" si="1742">T2489*S2489</f>
        <v>178392</v>
      </c>
      <c r="V2489" s="9">
        <f t="shared" ref="V2489" si="1743">U2489*1.12</f>
        <v>199799.04000000001</v>
      </c>
      <c r="W2489" s="7"/>
      <c r="X2489" s="2">
        <v>2016</v>
      </c>
      <c r="Y2489" s="2"/>
    </row>
    <row r="2490" spans="1:25" s="11" customFormat="1" ht="89.25" customHeight="1" outlineLevel="1" x14ac:dyDescent="0.2">
      <c r="A2490" s="25"/>
      <c r="B2490" s="2" t="s">
        <v>6910</v>
      </c>
      <c r="C2490" s="3" t="s">
        <v>83</v>
      </c>
      <c r="D2490" s="3" t="s">
        <v>768</v>
      </c>
      <c r="E2490" s="3" t="s">
        <v>762</v>
      </c>
      <c r="F2490" s="3" t="s">
        <v>769</v>
      </c>
      <c r="G2490" s="3" t="s">
        <v>3493</v>
      </c>
      <c r="H2490" s="2" t="s">
        <v>765</v>
      </c>
      <c r="I2490" s="4">
        <v>0.5</v>
      </c>
      <c r="J2490" s="5">
        <v>710000000</v>
      </c>
      <c r="K2490" s="5" t="s">
        <v>89</v>
      </c>
      <c r="L2490" s="2" t="s">
        <v>754</v>
      </c>
      <c r="M2490" s="6" t="s">
        <v>1481</v>
      </c>
      <c r="N2490" s="7" t="s">
        <v>92</v>
      </c>
      <c r="O2490" s="7" t="s">
        <v>93</v>
      </c>
      <c r="P2490" s="3" t="s">
        <v>94</v>
      </c>
      <c r="Q2490" s="8">
        <v>796</v>
      </c>
      <c r="R2490" s="7" t="s">
        <v>118</v>
      </c>
      <c r="S2490" s="9">
        <v>1</v>
      </c>
      <c r="T2490" s="9">
        <v>89196</v>
      </c>
      <c r="U2490" s="9">
        <v>0</v>
      </c>
      <c r="V2490" s="9">
        <f t="shared" si="1726"/>
        <v>0</v>
      </c>
      <c r="W2490" s="7" t="s">
        <v>97</v>
      </c>
      <c r="X2490" s="2">
        <v>2016</v>
      </c>
      <c r="Y2490" s="2" t="s">
        <v>7793</v>
      </c>
    </row>
    <row r="2491" spans="1:25" s="11" customFormat="1" ht="89.25" customHeight="1" outlineLevel="1" x14ac:dyDescent="0.25">
      <c r="A2491" s="1"/>
      <c r="B2491" s="2" t="s">
        <v>7810</v>
      </c>
      <c r="C2491" s="3" t="s">
        <v>83</v>
      </c>
      <c r="D2491" s="3" t="s">
        <v>768</v>
      </c>
      <c r="E2491" s="3" t="s">
        <v>762</v>
      </c>
      <c r="F2491" s="3" t="s">
        <v>769</v>
      </c>
      <c r="G2491" s="3" t="s">
        <v>3493</v>
      </c>
      <c r="H2491" s="2" t="s">
        <v>765</v>
      </c>
      <c r="I2491" s="4">
        <v>0</v>
      </c>
      <c r="J2491" s="5">
        <v>710000000</v>
      </c>
      <c r="K2491" s="5" t="s">
        <v>89</v>
      </c>
      <c r="L2491" s="2" t="s">
        <v>754</v>
      </c>
      <c r="M2491" s="6" t="s">
        <v>1481</v>
      </c>
      <c r="N2491" s="7" t="s">
        <v>92</v>
      </c>
      <c r="O2491" s="7" t="s">
        <v>93</v>
      </c>
      <c r="P2491" s="3" t="s">
        <v>673</v>
      </c>
      <c r="Q2491" s="8">
        <v>796</v>
      </c>
      <c r="R2491" s="7" t="s">
        <v>118</v>
      </c>
      <c r="S2491" s="9">
        <v>1</v>
      </c>
      <c r="T2491" s="9">
        <v>89196</v>
      </c>
      <c r="U2491" s="9">
        <v>0</v>
      </c>
      <c r="V2491" s="9">
        <f t="shared" ref="V2491" si="1744">U2491*1.12</f>
        <v>0</v>
      </c>
      <c r="W2491" s="7"/>
      <c r="X2491" s="2">
        <v>2016</v>
      </c>
      <c r="Y2491" s="2" t="s">
        <v>8409</v>
      </c>
    </row>
    <row r="2492" spans="1:25" s="11" customFormat="1" ht="89.25" customHeight="1" outlineLevel="1" x14ac:dyDescent="0.25">
      <c r="A2492" s="1"/>
      <c r="B2492" s="2" t="s">
        <v>9742</v>
      </c>
      <c r="C2492" s="3" t="s">
        <v>83</v>
      </c>
      <c r="D2492" s="3" t="s">
        <v>768</v>
      </c>
      <c r="E2492" s="3" t="s">
        <v>762</v>
      </c>
      <c r="F2492" s="3" t="s">
        <v>769</v>
      </c>
      <c r="G2492" s="3" t="s">
        <v>3493</v>
      </c>
      <c r="H2492" s="2" t="s">
        <v>765</v>
      </c>
      <c r="I2492" s="4">
        <v>0</v>
      </c>
      <c r="J2492" s="5">
        <v>710000000</v>
      </c>
      <c r="K2492" s="5" t="s">
        <v>89</v>
      </c>
      <c r="L2492" s="6" t="s">
        <v>9737</v>
      </c>
      <c r="M2492" s="6" t="s">
        <v>1481</v>
      </c>
      <c r="N2492" s="7" t="s">
        <v>92</v>
      </c>
      <c r="O2492" s="7" t="s">
        <v>93</v>
      </c>
      <c r="P2492" s="3" t="s">
        <v>673</v>
      </c>
      <c r="Q2492" s="8">
        <v>796</v>
      </c>
      <c r="R2492" s="7" t="s">
        <v>118</v>
      </c>
      <c r="S2492" s="9">
        <v>2</v>
      </c>
      <c r="T2492" s="9">
        <v>89196</v>
      </c>
      <c r="U2492" s="9">
        <f t="shared" ref="U2492" si="1745">T2492*S2492</f>
        <v>178392</v>
      </c>
      <c r="V2492" s="9">
        <f t="shared" ref="V2492" si="1746">U2492*1.12</f>
        <v>199799.04000000001</v>
      </c>
      <c r="W2492" s="7"/>
      <c r="X2492" s="2">
        <v>2016</v>
      </c>
      <c r="Y2492" s="2"/>
    </row>
    <row r="2493" spans="1:25" s="11" customFormat="1" ht="89.25" customHeight="1" outlineLevel="1" x14ac:dyDescent="0.25">
      <c r="A2493" s="1"/>
      <c r="B2493" s="2" t="s">
        <v>6911</v>
      </c>
      <c r="C2493" s="3" t="s">
        <v>83</v>
      </c>
      <c r="D2493" s="3" t="s">
        <v>761</v>
      </c>
      <c r="E2493" s="3" t="s">
        <v>762</v>
      </c>
      <c r="F2493" s="3" t="s">
        <v>763</v>
      </c>
      <c r="G2493" s="3" t="s">
        <v>3494</v>
      </c>
      <c r="H2493" s="2" t="s">
        <v>765</v>
      </c>
      <c r="I2493" s="4">
        <v>0.5</v>
      </c>
      <c r="J2493" s="5">
        <v>710000000</v>
      </c>
      <c r="K2493" s="5" t="s">
        <v>89</v>
      </c>
      <c r="L2493" s="2" t="s">
        <v>754</v>
      </c>
      <c r="M2493" s="6" t="s">
        <v>689</v>
      </c>
      <c r="N2493" s="7" t="s">
        <v>92</v>
      </c>
      <c r="O2493" s="7" t="s">
        <v>93</v>
      </c>
      <c r="P2493" s="3" t="s">
        <v>94</v>
      </c>
      <c r="Q2493" s="8">
        <v>796</v>
      </c>
      <c r="R2493" s="7" t="s">
        <v>118</v>
      </c>
      <c r="S2493" s="9">
        <v>4</v>
      </c>
      <c r="T2493" s="9">
        <v>15759.82</v>
      </c>
      <c r="U2493" s="9">
        <f t="shared" si="1734"/>
        <v>63039.28</v>
      </c>
      <c r="V2493" s="9">
        <f t="shared" ref="V2493:V2576" si="1747">U2493*1.12</f>
        <v>70603.993600000002</v>
      </c>
      <c r="W2493" s="7" t="s">
        <v>97</v>
      </c>
      <c r="X2493" s="2">
        <v>2016</v>
      </c>
      <c r="Y2493" s="2"/>
    </row>
    <row r="2494" spans="1:25" s="11" customFormat="1" ht="89.25" customHeight="1" outlineLevel="1" x14ac:dyDescent="0.25">
      <c r="A2494" s="1"/>
      <c r="B2494" s="2" t="s">
        <v>6912</v>
      </c>
      <c r="C2494" s="3" t="s">
        <v>83</v>
      </c>
      <c r="D2494" s="3" t="s">
        <v>761</v>
      </c>
      <c r="E2494" s="3" t="s">
        <v>762</v>
      </c>
      <c r="F2494" s="3" t="s">
        <v>763</v>
      </c>
      <c r="G2494" s="3" t="s">
        <v>3495</v>
      </c>
      <c r="H2494" s="2" t="s">
        <v>765</v>
      </c>
      <c r="I2494" s="4">
        <v>0.5</v>
      </c>
      <c r="J2494" s="5">
        <v>710000000</v>
      </c>
      <c r="K2494" s="5" t="s">
        <v>89</v>
      </c>
      <c r="L2494" s="2" t="s">
        <v>754</v>
      </c>
      <c r="M2494" s="6" t="s">
        <v>2682</v>
      </c>
      <c r="N2494" s="7" t="s">
        <v>92</v>
      </c>
      <c r="O2494" s="7" t="s">
        <v>93</v>
      </c>
      <c r="P2494" s="3" t="s">
        <v>94</v>
      </c>
      <c r="Q2494" s="8">
        <v>796</v>
      </c>
      <c r="R2494" s="7" t="s">
        <v>118</v>
      </c>
      <c r="S2494" s="9">
        <v>24</v>
      </c>
      <c r="T2494" s="9">
        <v>2700</v>
      </c>
      <c r="U2494" s="9">
        <f t="shared" si="1734"/>
        <v>64800</v>
      </c>
      <c r="V2494" s="9">
        <f t="shared" si="1747"/>
        <v>72576</v>
      </c>
      <c r="W2494" s="7" t="s">
        <v>97</v>
      </c>
      <c r="X2494" s="2">
        <v>2016</v>
      </c>
      <c r="Y2494" s="2"/>
    </row>
    <row r="2495" spans="1:25" s="11" customFormat="1" ht="89.25" customHeight="1" outlineLevel="1" x14ac:dyDescent="0.25">
      <c r="A2495" s="1"/>
      <c r="B2495" s="2" t="s">
        <v>6913</v>
      </c>
      <c r="C2495" s="3" t="s">
        <v>83</v>
      </c>
      <c r="D2495" s="19" t="s">
        <v>4783</v>
      </c>
      <c r="E2495" s="19" t="s">
        <v>2569</v>
      </c>
      <c r="F2495" s="19" t="s">
        <v>4784</v>
      </c>
      <c r="G2495" s="19" t="s">
        <v>4785</v>
      </c>
      <c r="H2495" s="2" t="s">
        <v>765</v>
      </c>
      <c r="I2495" s="4">
        <v>0</v>
      </c>
      <c r="J2495" s="5">
        <v>710000000</v>
      </c>
      <c r="K2495" s="5" t="s">
        <v>89</v>
      </c>
      <c r="L2495" s="2" t="s">
        <v>754</v>
      </c>
      <c r="M2495" s="6" t="s">
        <v>1481</v>
      </c>
      <c r="N2495" s="7" t="s">
        <v>92</v>
      </c>
      <c r="O2495" s="7" t="s">
        <v>93</v>
      </c>
      <c r="P2495" s="3" t="s">
        <v>673</v>
      </c>
      <c r="Q2495" s="8" t="s">
        <v>228</v>
      </c>
      <c r="R2495" s="7" t="s">
        <v>229</v>
      </c>
      <c r="S2495" s="9">
        <v>10</v>
      </c>
      <c r="T2495" s="9">
        <v>4387</v>
      </c>
      <c r="U2495" s="9">
        <f t="shared" si="1734"/>
        <v>43870</v>
      </c>
      <c r="V2495" s="9">
        <f t="shared" si="1747"/>
        <v>49134.400000000001</v>
      </c>
      <c r="W2495" s="7"/>
      <c r="X2495" s="2">
        <v>2016</v>
      </c>
      <c r="Y2495" s="2"/>
    </row>
    <row r="2496" spans="1:25" s="11" customFormat="1" ht="89.25" customHeight="1" outlineLevel="1" x14ac:dyDescent="0.25">
      <c r="A2496" s="1"/>
      <c r="B2496" s="2" t="s">
        <v>6914</v>
      </c>
      <c r="C2496" s="3" t="s">
        <v>83</v>
      </c>
      <c r="D2496" s="19" t="s">
        <v>4786</v>
      </c>
      <c r="E2496" s="19" t="s">
        <v>4787</v>
      </c>
      <c r="F2496" s="19" t="s">
        <v>4788</v>
      </c>
      <c r="G2496" s="19" t="s">
        <v>4789</v>
      </c>
      <c r="H2496" s="2" t="s">
        <v>765</v>
      </c>
      <c r="I2496" s="4">
        <v>0</v>
      </c>
      <c r="J2496" s="5">
        <v>710000000</v>
      </c>
      <c r="K2496" s="5" t="s">
        <v>89</v>
      </c>
      <c r="L2496" s="2" t="s">
        <v>754</v>
      </c>
      <c r="M2496" s="6" t="s">
        <v>1481</v>
      </c>
      <c r="N2496" s="7" t="s">
        <v>92</v>
      </c>
      <c r="O2496" s="7" t="s">
        <v>93</v>
      </c>
      <c r="P2496" s="3" t="s">
        <v>673</v>
      </c>
      <c r="Q2496" s="8">
        <v>796</v>
      </c>
      <c r="R2496" s="7" t="s">
        <v>118</v>
      </c>
      <c r="S2496" s="9">
        <v>1000</v>
      </c>
      <c r="T2496" s="9">
        <v>20</v>
      </c>
      <c r="U2496" s="9">
        <f t="shared" si="1734"/>
        <v>20000</v>
      </c>
      <c r="V2496" s="9">
        <f t="shared" si="1747"/>
        <v>22400.000000000004</v>
      </c>
      <c r="W2496" s="7"/>
      <c r="X2496" s="2">
        <v>2016</v>
      </c>
      <c r="Y2496" s="2"/>
    </row>
    <row r="2497" spans="1:25" s="11" customFormat="1" ht="89.25" customHeight="1" outlineLevel="1" x14ac:dyDescent="0.25">
      <c r="A2497" s="1"/>
      <c r="B2497" s="2" t="s">
        <v>6915</v>
      </c>
      <c r="C2497" s="3" t="s">
        <v>83</v>
      </c>
      <c r="D2497" s="19" t="s">
        <v>4790</v>
      </c>
      <c r="E2497" s="19" t="s">
        <v>4787</v>
      </c>
      <c r="F2497" s="19" t="s">
        <v>4791</v>
      </c>
      <c r="G2497" s="19" t="s">
        <v>4792</v>
      </c>
      <c r="H2497" s="2" t="s">
        <v>765</v>
      </c>
      <c r="I2497" s="4">
        <v>0</v>
      </c>
      <c r="J2497" s="5">
        <v>710000000</v>
      </c>
      <c r="K2497" s="5" t="s">
        <v>89</v>
      </c>
      <c r="L2497" s="2" t="s">
        <v>754</v>
      </c>
      <c r="M2497" s="6" t="s">
        <v>1481</v>
      </c>
      <c r="N2497" s="7" t="s">
        <v>92</v>
      </c>
      <c r="O2497" s="7" t="s">
        <v>93</v>
      </c>
      <c r="P2497" s="3" t="s">
        <v>673</v>
      </c>
      <c r="Q2497" s="8">
        <v>796</v>
      </c>
      <c r="R2497" s="7" t="s">
        <v>118</v>
      </c>
      <c r="S2497" s="9">
        <v>300</v>
      </c>
      <c r="T2497" s="9">
        <v>20</v>
      </c>
      <c r="U2497" s="9">
        <f t="shared" si="1734"/>
        <v>6000</v>
      </c>
      <c r="V2497" s="9">
        <f t="shared" si="1747"/>
        <v>6720.0000000000009</v>
      </c>
      <c r="W2497" s="7"/>
      <c r="X2497" s="2">
        <v>2016</v>
      </c>
      <c r="Y2497" s="2"/>
    </row>
    <row r="2498" spans="1:25" s="11" customFormat="1" ht="89.25" customHeight="1" outlineLevel="1" x14ac:dyDescent="0.25">
      <c r="A2498" s="1"/>
      <c r="B2498" s="2" t="s">
        <v>6916</v>
      </c>
      <c r="C2498" s="3" t="s">
        <v>83</v>
      </c>
      <c r="D2498" s="19" t="s">
        <v>4793</v>
      </c>
      <c r="E2498" s="19" t="s">
        <v>2796</v>
      </c>
      <c r="F2498" s="19" t="s">
        <v>4794</v>
      </c>
      <c r="G2498" s="19" t="s">
        <v>4795</v>
      </c>
      <c r="H2498" s="2" t="s">
        <v>765</v>
      </c>
      <c r="I2498" s="4">
        <v>0</v>
      </c>
      <c r="J2498" s="5">
        <v>710000000</v>
      </c>
      <c r="K2498" s="5" t="s">
        <v>89</v>
      </c>
      <c r="L2498" s="2" t="s">
        <v>754</v>
      </c>
      <c r="M2498" s="6" t="s">
        <v>1481</v>
      </c>
      <c r="N2498" s="7" t="s">
        <v>92</v>
      </c>
      <c r="O2498" s="7" t="s">
        <v>93</v>
      </c>
      <c r="P2498" s="3" t="s">
        <v>673</v>
      </c>
      <c r="Q2498" s="8">
        <v>796</v>
      </c>
      <c r="R2498" s="7" t="s">
        <v>118</v>
      </c>
      <c r="S2498" s="9">
        <v>50</v>
      </c>
      <c r="T2498" s="9">
        <v>1330</v>
      </c>
      <c r="U2498" s="9">
        <f t="shared" si="1734"/>
        <v>66500</v>
      </c>
      <c r="V2498" s="9">
        <f t="shared" si="1747"/>
        <v>74480</v>
      </c>
      <c r="W2498" s="7"/>
      <c r="X2498" s="2">
        <v>2016</v>
      </c>
      <c r="Y2498" s="2"/>
    </row>
    <row r="2499" spans="1:25" s="11" customFormat="1" ht="89.25" customHeight="1" outlineLevel="1" x14ac:dyDescent="0.2">
      <c r="A2499" s="25"/>
      <c r="B2499" s="2" t="s">
        <v>6917</v>
      </c>
      <c r="C2499" s="3" t="s">
        <v>83</v>
      </c>
      <c r="D2499" s="19" t="s">
        <v>4796</v>
      </c>
      <c r="E2499" s="19" t="s">
        <v>4797</v>
      </c>
      <c r="F2499" s="19" t="s">
        <v>4798</v>
      </c>
      <c r="G2499" s="19"/>
      <c r="H2499" s="2" t="s">
        <v>765</v>
      </c>
      <c r="I2499" s="4">
        <v>0</v>
      </c>
      <c r="J2499" s="5">
        <v>710000000</v>
      </c>
      <c r="K2499" s="5" t="s">
        <v>89</v>
      </c>
      <c r="L2499" s="2" t="s">
        <v>754</v>
      </c>
      <c r="M2499" s="6" t="s">
        <v>1481</v>
      </c>
      <c r="N2499" s="7" t="s">
        <v>92</v>
      </c>
      <c r="O2499" s="7" t="s">
        <v>93</v>
      </c>
      <c r="P2499" s="3" t="s">
        <v>673</v>
      </c>
      <c r="Q2499" s="8">
        <v>796</v>
      </c>
      <c r="R2499" s="7" t="s">
        <v>118</v>
      </c>
      <c r="S2499" s="9">
        <v>1</v>
      </c>
      <c r="T2499" s="9">
        <v>26429</v>
      </c>
      <c r="U2499" s="9">
        <v>0</v>
      </c>
      <c r="V2499" s="9">
        <f t="shared" si="1747"/>
        <v>0</v>
      </c>
      <c r="W2499" s="7"/>
      <c r="X2499" s="2">
        <v>2016</v>
      </c>
      <c r="Y2499" s="2">
        <v>6</v>
      </c>
    </row>
    <row r="2500" spans="1:25" s="11" customFormat="1" ht="89.25" customHeight="1" outlineLevel="1" x14ac:dyDescent="0.25">
      <c r="A2500" s="1"/>
      <c r="B2500" s="2" t="s">
        <v>8380</v>
      </c>
      <c r="C2500" s="3" t="s">
        <v>83</v>
      </c>
      <c r="D2500" s="19" t="s">
        <v>4796</v>
      </c>
      <c r="E2500" s="19" t="s">
        <v>4797</v>
      </c>
      <c r="F2500" s="19" t="s">
        <v>4798</v>
      </c>
      <c r="G2500" s="19" t="s">
        <v>8416</v>
      </c>
      <c r="H2500" s="2" t="s">
        <v>765</v>
      </c>
      <c r="I2500" s="4">
        <v>0</v>
      </c>
      <c r="J2500" s="5">
        <v>710000000</v>
      </c>
      <c r="K2500" s="5" t="s">
        <v>89</v>
      </c>
      <c r="L2500" s="2" t="s">
        <v>754</v>
      </c>
      <c r="M2500" s="6" t="s">
        <v>1481</v>
      </c>
      <c r="N2500" s="7" t="s">
        <v>92</v>
      </c>
      <c r="O2500" s="7" t="s">
        <v>93</v>
      </c>
      <c r="P2500" s="3" t="s">
        <v>673</v>
      </c>
      <c r="Q2500" s="8">
        <v>796</v>
      </c>
      <c r="R2500" s="7" t="s">
        <v>118</v>
      </c>
      <c r="S2500" s="9">
        <v>1</v>
      </c>
      <c r="T2500" s="9">
        <v>26429</v>
      </c>
      <c r="U2500" s="9">
        <f t="shared" ref="U2500" si="1748">T2500*S2500</f>
        <v>26429</v>
      </c>
      <c r="V2500" s="9">
        <f t="shared" ref="V2500" si="1749">U2500*1.12</f>
        <v>29600.480000000003</v>
      </c>
      <c r="W2500" s="7"/>
      <c r="X2500" s="2">
        <v>2016</v>
      </c>
      <c r="Y2500" s="2"/>
    </row>
    <row r="2501" spans="1:25" s="11" customFormat="1" ht="89.25" customHeight="1" outlineLevel="1" x14ac:dyDescent="0.25">
      <c r="A2501" s="1"/>
      <c r="B2501" s="2" t="s">
        <v>6918</v>
      </c>
      <c r="C2501" s="3" t="s">
        <v>83</v>
      </c>
      <c r="D2501" s="19" t="s">
        <v>4799</v>
      </c>
      <c r="E2501" s="19" t="s">
        <v>4800</v>
      </c>
      <c r="F2501" s="19" t="s">
        <v>4801</v>
      </c>
      <c r="G2501" s="19"/>
      <c r="H2501" s="2" t="s">
        <v>765</v>
      </c>
      <c r="I2501" s="4">
        <v>0</v>
      </c>
      <c r="J2501" s="5">
        <v>710000000</v>
      </c>
      <c r="K2501" s="5" t="s">
        <v>89</v>
      </c>
      <c r="L2501" s="2" t="s">
        <v>754</v>
      </c>
      <c r="M2501" s="6" t="s">
        <v>1481</v>
      </c>
      <c r="N2501" s="7" t="s">
        <v>92</v>
      </c>
      <c r="O2501" s="7" t="s">
        <v>93</v>
      </c>
      <c r="P2501" s="3" t="s">
        <v>673</v>
      </c>
      <c r="Q2501" s="8">
        <v>796</v>
      </c>
      <c r="R2501" s="7" t="s">
        <v>118</v>
      </c>
      <c r="S2501" s="9">
        <v>10</v>
      </c>
      <c r="T2501" s="9">
        <v>1786</v>
      </c>
      <c r="U2501" s="9">
        <f t="shared" si="1734"/>
        <v>17860</v>
      </c>
      <c r="V2501" s="9">
        <f t="shared" si="1747"/>
        <v>20003.2</v>
      </c>
      <c r="W2501" s="7"/>
      <c r="X2501" s="2">
        <v>2016</v>
      </c>
      <c r="Y2501" s="2"/>
    </row>
    <row r="2502" spans="1:25" s="11" customFormat="1" ht="89.25" customHeight="1" outlineLevel="1" x14ac:dyDescent="0.25">
      <c r="A2502" s="1"/>
      <c r="B2502" s="2" t="s">
        <v>6919</v>
      </c>
      <c r="C2502" s="3" t="s">
        <v>83</v>
      </c>
      <c r="D2502" s="19" t="s">
        <v>4802</v>
      </c>
      <c r="E2502" s="19" t="s">
        <v>4803</v>
      </c>
      <c r="F2502" s="19" t="s">
        <v>4804</v>
      </c>
      <c r="G2502" s="19"/>
      <c r="H2502" s="2" t="s">
        <v>765</v>
      </c>
      <c r="I2502" s="4">
        <v>0</v>
      </c>
      <c r="J2502" s="5">
        <v>710000000</v>
      </c>
      <c r="K2502" s="5" t="s">
        <v>89</v>
      </c>
      <c r="L2502" s="2" t="s">
        <v>754</v>
      </c>
      <c r="M2502" s="6" t="s">
        <v>787</v>
      </c>
      <c r="N2502" s="7" t="s">
        <v>92</v>
      </c>
      <c r="O2502" s="7" t="s">
        <v>93</v>
      </c>
      <c r="P2502" s="3" t="s">
        <v>673</v>
      </c>
      <c r="Q2502" s="8">
        <v>796</v>
      </c>
      <c r="R2502" s="7" t="s">
        <v>118</v>
      </c>
      <c r="S2502" s="9">
        <f>500+1615+100+100</f>
        <v>2315</v>
      </c>
      <c r="T2502" s="9">
        <v>223</v>
      </c>
      <c r="U2502" s="9">
        <f t="shared" si="1734"/>
        <v>516245</v>
      </c>
      <c r="V2502" s="9">
        <f t="shared" si="1747"/>
        <v>578194.4</v>
      </c>
      <c r="W2502" s="7"/>
      <c r="X2502" s="2">
        <v>2016</v>
      </c>
      <c r="Y2502" s="2"/>
    </row>
    <row r="2503" spans="1:25" s="11" customFormat="1" ht="89.25" customHeight="1" outlineLevel="1" x14ac:dyDescent="0.2">
      <c r="A2503" s="25"/>
      <c r="B2503" s="2" t="s">
        <v>6920</v>
      </c>
      <c r="C2503" s="3" t="s">
        <v>83</v>
      </c>
      <c r="D2503" s="19" t="s">
        <v>4805</v>
      </c>
      <c r="E2503" s="19" t="s">
        <v>4803</v>
      </c>
      <c r="F2503" s="19" t="s">
        <v>4806</v>
      </c>
      <c r="G2503" s="19"/>
      <c r="H2503" s="2" t="s">
        <v>765</v>
      </c>
      <c r="I2503" s="4">
        <v>0</v>
      </c>
      <c r="J2503" s="5">
        <v>710000000</v>
      </c>
      <c r="K2503" s="5" t="s">
        <v>89</v>
      </c>
      <c r="L2503" s="2" t="s">
        <v>754</v>
      </c>
      <c r="M2503" s="6" t="s">
        <v>1481</v>
      </c>
      <c r="N2503" s="7" t="s">
        <v>92</v>
      </c>
      <c r="O2503" s="7" t="s">
        <v>93</v>
      </c>
      <c r="P2503" s="3" t="s">
        <v>673</v>
      </c>
      <c r="Q2503" s="8">
        <v>796</v>
      </c>
      <c r="R2503" s="7" t="s">
        <v>118</v>
      </c>
      <c r="S2503" s="9">
        <v>50</v>
      </c>
      <c r="T2503" s="9">
        <v>1136</v>
      </c>
      <c r="U2503" s="9">
        <v>0</v>
      </c>
      <c r="V2503" s="9">
        <f t="shared" si="1747"/>
        <v>0</v>
      </c>
      <c r="W2503" s="7"/>
      <c r="X2503" s="2">
        <v>2016</v>
      </c>
      <c r="Y2503" s="2" t="s">
        <v>8375</v>
      </c>
    </row>
    <row r="2504" spans="1:25" s="11" customFormat="1" ht="102" customHeight="1" outlineLevel="1" x14ac:dyDescent="0.25">
      <c r="A2504" s="1"/>
      <c r="B2504" s="2" t="s">
        <v>8374</v>
      </c>
      <c r="C2504" s="3" t="s">
        <v>83</v>
      </c>
      <c r="D2504" s="19" t="s">
        <v>4807</v>
      </c>
      <c r="E2504" s="19" t="s">
        <v>4803</v>
      </c>
      <c r="F2504" s="19" t="s">
        <v>4808</v>
      </c>
      <c r="G2504" s="19" t="s">
        <v>8417</v>
      </c>
      <c r="H2504" s="2" t="s">
        <v>765</v>
      </c>
      <c r="I2504" s="4">
        <v>0</v>
      </c>
      <c r="J2504" s="5">
        <v>710000000</v>
      </c>
      <c r="K2504" s="5" t="s">
        <v>89</v>
      </c>
      <c r="L2504" s="2" t="s">
        <v>754</v>
      </c>
      <c r="M2504" s="6" t="s">
        <v>1481</v>
      </c>
      <c r="N2504" s="7" t="s">
        <v>92</v>
      </c>
      <c r="O2504" s="7" t="s">
        <v>93</v>
      </c>
      <c r="P2504" s="3" t="s">
        <v>673</v>
      </c>
      <c r="Q2504" s="8">
        <v>796</v>
      </c>
      <c r="R2504" s="7" t="s">
        <v>118</v>
      </c>
      <c r="S2504" s="9">
        <v>50</v>
      </c>
      <c r="T2504" s="9">
        <v>1136</v>
      </c>
      <c r="U2504" s="9">
        <f t="shared" ref="U2504" si="1750">T2504*S2504</f>
        <v>56800</v>
      </c>
      <c r="V2504" s="9">
        <f t="shared" ref="V2504" si="1751">U2504*1.12</f>
        <v>63616.000000000007</v>
      </c>
      <c r="W2504" s="7"/>
      <c r="X2504" s="2">
        <v>2016</v>
      </c>
      <c r="Y2504" s="2"/>
    </row>
    <row r="2505" spans="1:25" s="11" customFormat="1" ht="89.25" customHeight="1" outlineLevel="1" x14ac:dyDescent="0.2">
      <c r="A2505" s="25"/>
      <c r="B2505" s="2" t="s">
        <v>6921</v>
      </c>
      <c r="C2505" s="3" t="s">
        <v>83</v>
      </c>
      <c r="D2505" s="19" t="s">
        <v>4807</v>
      </c>
      <c r="E2505" s="19" t="s">
        <v>4803</v>
      </c>
      <c r="F2505" s="19" t="s">
        <v>4808</v>
      </c>
      <c r="G2505" s="19"/>
      <c r="H2505" s="2" t="s">
        <v>765</v>
      </c>
      <c r="I2505" s="4">
        <v>0</v>
      </c>
      <c r="J2505" s="5">
        <v>710000000</v>
      </c>
      <c r="K2505" s="5" t="s">
        <v>89</v>
      </c>
      <c r="L2505" s="2" t="s">
        <v>754</v>
      </c>
      <c r="M2505" s="6" t="s">
        <v>1481</v>
      </c>
      <c r="N2505" s="7" t="s">
        <v>92</v>
      </c>
      <c r="O2505" s="7" t="s">
        <v>93</v>
      </c>
      <c r="P2505" s="3" t="s">
        <v>673</v>
      </c>
      <c r="Q2505" s="8">
        <v>796</v>
      </c>
      <c r="R2505" s="7" t="s">
        <v>118</v>
      </c>
      <c r="S2505" s="9">
        <v>20</v>
      </c>
      <c r="T2505" s="9">
        <v>777</v>
      </c>
      <c r="U2505" s="9">
        <v>0</v>
      </c>
      <c r="V2505" s="9">
        <f t="shared" si="1747"/>
        <v>0</v>
      </c>
      <c r="W2505" s="7"/>
      <c r="X2505" s="2">
        <v>2016</v>
      </c>
      <c r="Y2505" s="2" t="s">
        <v>8379</v>
      </c>
    </row>
    <row r="2506" spans="1:25" s="11" customFormat="1" ht="102" customHeight="1" outlineLevel="1" x14ac:dyDescent="0.25">
      <c r="A2506" s="1"/>
      <c r="B2506" s="2" t="s">
        <v>8381</v>
      </c>
      <c r="C2506" s="3" t="s">
        <v>83</v>
      </c>
      <c r="D2506" s="19" t="s">
        <v>8376</v>
      </c>
      <c r="E2506" s="19" t="s">
        <v>8377</v>
      </c>
      <c r="F2506" s="19" t="s">
        <v>8378</v>
      </c>
      <c r="G2506" s="19" t="s">
        <v>8418</v>
      </c>
      <c r="H2506" s="2" t="s">
        <v>765</v>
      </c>
      <c r="I2506" s="4">
        <v>0</v>
      </c>
      <c r="J2506" s="5">
        <v>710000000</v>
      </c>
      <c r="K2506" s="5" t="s">
        <v>89</v>
      </c>
      <c r="L2506" s="2" t="s">
        <v>754</v>
      </c>
      <c r="M2506" s="6" t="s">
        <v>1481</v>
      </c>
      <c r="N2506" s="7" t="s">
        <v>92</v>
      </c>
      <c r="O2506" s="7" t="s">
        <v>93</v>
      </c>
      <c r="P2506" s="3" t="s">
        <v>673</v>
      </c>
      <c r="Q2506" s="8">
        <v>796</v>
      </c>
      <c r="R2506" s="7" t="s">
        <v>118</v>
      </c>
      <c r="S2506" s="9">
        <v>20</v>
      </c>
      <c r="T2506" s="9">
        <v>777</v>
      </c>
      <c r="U2506" s="9">
        <f t="shared" ref="U2506" si="1752">T2506*S2506</f>
        <v>15540</v>
      </c>
      <c r="V2506" s="9">
        <f t="shared" ref="V2506" si="1753">U2506*1.12</f>
        <v>17404.800000000003</v>
      </c>
      <c r="W2506" s="7"/>
      <c r="X2506" s="2">
        <v>2016</v>
      </c>
      <c r="Y2506" s="2"/>
    </row>
    <row r="2507" spans="1:25" s="11" customFormat="1" ht="89.25" customHeight="1" outlineLevel="1" x14ac:dyDescent="0.25">
      <c r="A2507" s="1"/>
      <c r="B2507" s="2" t="s">
        <v>6922</v>
      </c>
      <c r="C2507" s="3" t="s">
        <v>83</v>
      </c>
      <c r="D2507" s="3" t="s">
        <v>4802</v>
      </c>
      <c r="E2507" s="3" t="s">
        <v>4803</v>
      </c>
      <c r="F2507" s="3" t="s">
        <v>4804</v>
      </c>
      <c r="G2507" s="3"/>
      <c r="H2507" s="2" t="s">
        <v>765</v>
      </c>
      <c r="I2507" s="4">
        <v>0</v>
      </c>
      <c r="J2507" s="5">
        <v>710000000</v>
      </c>
      <c r="K2507" s="3" t="s">
        <v>89</v>
      </c>
      <c r="L2507" s="2" t="s">
        <v>754</v>
      </c>
      <c r="M2507" s="3" t="s">
        <v>91</v>
      </c>
      <c r="N2507" s="3" t="s">
        <v>92</v>
      </c>
      <c r="O2507" s="3" t="s">
        <v>93</v>
      </c>
      <c r="P2507" s="3" t="s">
        <v>673</v>
      </c>
      <c r="Q2507" s="3">
        <v>796</v>
      </c>
      <c r="R2507" s="3" t="s">
        <v>118</v>
      </c>
      <c r="S2507" s="9">
        <v>118</v>
      </c>
      <c r="T2507" s="9">
        <v>245</v>
      </c>
      <c r="U2507" s="9">
        <f t="shared" si="1734"/>
        <v>28910</v>
      </c>
      <c r="V2507" s="9">
        <f t="shared" si="1747"/>
        <v>32379.200000000004</v>
      </c>
      <c r="W2507" s="3"/>
      <c r="X2507" s="2">
        <v>2016</v>
      </c>
      <c r="Y2507" s="3"/>
    </row>
    <row r="2508" spans="1:25" s="11" customFormat="1" ht="89.25" customHeight="1" outlineLevel="1" x14ac:dyDescent="0.25">
      <c r="A2508" s="1"/>
      <c r="B2508" s="2" t="s">
        <v>6923</v>
      </c>
      <c r="C2508" s="3" t="s">
        <v>83</v>
      </c>
      <c r="D2508" s="3" t="s">
        <v>4809</v>
      </c>
      <c r="E2508" s="3" t="s">
        <v>4803</v>
      </c>
      <c r="F2508" s="3" t="s">
        <v>4810</v>
      </c>
      <c r="G2508" s="3"/>
      <c r="H2508" s="2" t="s">
        <v>765</v>
      </c>
      <c r="I2508" s="4">
        <v>0</v>
      </c>
      <c r="J2508" s="5">
        <v>710000000</v>
      </c>
      <c r="K2508" s="3" t="s">
        <v>89</v>
      </c>
      <c r="L2508" s="2" t="s">
        <v>754</v>
      </c>
      <c r="M2508" s="3" t="s">
        <v>91</v>
      </c>
      <c r="N2508" s="3" t="s">
        <v>92</v>
      </c>
      <c r="O2508" s="3" t="s">
        <v>93</v>
      </c>
      <c r="P2508" s="3" t="s">
        <v>673</v>
      </c>
      <c r="Q2508" s="3">
        <v>796</v>
      </c>
      <c r="R2508" s="3" t="s">
        <v>118</v>
      </c>
      <c r="S2508" s="9">
        <v>65</v>
      </c>
      <c r="T2508" s="9">
        <v>295</v>
      </c>
      <c r="U2508" s="9">
        <f t="shared" si="1734"/>
        <v>19175</v>
      </c>
      <c r="V2508" s="9">
        <f t="shared" si="1747"/>
        <v>21476.000000000004</v>
      </c>
      <c r="W2508" s="3"/>
      <c r="X2508" s="2">
        <v>2016</v>
      </c>
      <c r="Y2508" s="3"/>
    </row>
    <row r="2509" spans="1:25" s="11" customFormat="1" ht="89.25" customHeight="1" outlineLevel="1" x14ac:dyDescent="0.25">
      <c r="A2509" s="1"/>
      <c r="B2509" s="2" t="s">
        <v>6924</v>
      </c>
      <c r="C2509" s="3" t="s">
        <v>83</v>
      </c>
      <c r="D2509" s="19" t="s">
        <v>4811</v>
      </c>
      <c r="E2509" s="19" t="s">
        <v>4812</v>
      </c>
      <c r="F2509" s="19" t="s">
        <v>4813</v>
      </c>
      <c r="G2509" s="19" t="s">
        <v>4814</v>
      </c>
      <c r="H2509" s="2" t="s">
        <v>765</v>
      </c>
      <c r="I2509" s="4">
        <v>0</v>
      </c>
      <c r="J2509" s="5">
        <v>710000000</v>
      </c>
      <c r="K2509" s="5" t="s">
        <v>89</v>
      </c>
      <c r="L2509" s="2" t="s">
        <v>754</v>
      </c>
      <c r="M2509" s="6" t="s">
        <v>1481</v>
      </c>
      <c r="N2509" s="7" t="s">
        <v>92</v>
      </c>
      <c r="O2509" s="7" t="s">
        <v>93</v>
      </c>
      <c r="P2509" s="3" t="s">
        <v>673</v>
      </c>
      <c r="Q2509" s="8">
        <v>796</v>
      </c>
      <c r="R2509" s="7" t="s">
        <v>118</v>
      </c>
      <c r="S2509" s="9">
        <v>5</v>
      </c>
      <c r="T2509" s="9">
        <v>27321.4</v>
      </c>
      <c r="U2509" s="9">
        <f t="shared" si="1734"/>
        <v>136607</v>
      </c>
      <c r="V2509" s="9">
        <f t="shared" si="1747"/>
        <v>152999.84000000003</v>
      </c>
      <c r="W2509" s="7"/>
      <c r="X2509" s="2">
        <v>2016</v>
      </c>
      <c r="Y2509" s="2"/>
    </row>
    <row r="2510" spans="1:25" s="11" customFormat="1" ht="89.25" customHeight="1" outlineLevel="1" x14ac:dyDescent="0.2">
      <c r="A2510" s="25"/>
      <c r="B2510" s="2" t="s">
        <v>6925</v>
      </c>
      <c r="C2510" s="3" t="s">
        <v>83</v>
      </c>
      <c r="D2510" s="19" t="s">
        <v>4815</v>
      </c>
      <c r="E2510" s="19" t="s">
        <v>4816</v>
      </c>
      <c r="F2510" s="19" t="s">
        <v>4817</v>
      </c>
      <c r="G2510" s="19"/>
      <c r="H2510" s="2" t="s">
        <v>765</v>
      </c>
      <c r="I2510" s="4">
        <v>0</v>
      </c>
      <c r="J2510" s="5">
        <v>710000000</v>
      </c>
      <c r="K2510" s="5" t="s">
        <v>89</v>
      </c>
      <c r="L2510" s="2" t="s">
        <v>754</v>
      </c>
      <c r="M2510" s="6" t="s">
        <v>1481</v>
      </c>
      <c r="N2510" s="7" t="s">
        <v>92</v>
      </c>
      <c r="O2510" s="7" t="s">
        <v>93</v>
      </c>
      <c r="P2510" s="3" t="s">
        <v>673</v>
      </c>
      <c r="Q2510" s="8" t="s">
        <v>2439</v>
      </c>
      <c r="R2510" s="7" t="s">
        <v>3092</v>
      </c>
      <c r="S2510" s="9">
        <v>900</v>
      </c>
      <c r="T2510" s="9">
        <v>16</v>
      </c>
      <c r="U2510" s="9">
        <v>0</v>
      </c>
      <c r="V2510" s="9">
        <f t="shared" si="1747"/>
        <v>0</v>
      </c>
      <c r="W2510" s="7"/>
      <c r="X2510" s="2">
        <v>2016</v>
      </c>
      <c r="Y2510" s="2">
        <v>6</v>
      </c>
    </row>
    <row r="2511" spans="1:25" s="11" customFormat="1" ht="89.25" customHeight="1" outlineLevel="1" x14ac:dyDescent="0.25">
      <c r="A2511" s="1"/>
      <c r="B2511" s="2" t="s">
        <v>8382</v>
      </c>
      <c r="C2511" s="3" t="s">
        <v>83</v>
      </c>
      <c r="D2511" s="19" t="s">
        <v>4815</v>
      </c>
      <c r="E2511" s="19" t="s">
        <v>4816</v>
      </c>
      <c r="F2511" s="19" t="s">
        <v>4817</v>
      </c>
      <c r="G2511" s="19" t="s">
        <v>8383</v>
      </c>
      <c r="H2511" s="2" t="s">
        <v>765</v>
      </c>
      <c r="I2511" s="4">
        <v>0</v>
      </c>
      <c r="J2511" s="5">
        <v>710000000</v>
      </c>
      <c r="K2511" s="5" t="s">
        <v>89</v>
      </c>
      <c r="L2511" s="2" t="s">
        <v>754</v>
      </c>
      <c r="M2511" s="6" t="s">
        <v>1481</v>
      </c>
      <c r="N2511" s="7" t="s">
        <v>92</v>
      </c>
      <c r="O2511" s="7" t="s">
        <v>93</v>
      </c>
      <c r="P2511" s="3" t="s">
        <v>673</v>
      </c>
      <c r="Q2511" s="8" t="s">
        <v>2439</v>
      </c>
      <c r="R2511" s="7" t="s">
        <v>3092</v>
      </c>
      <c r="S2511" s="9">
        <v>900</v>
      </c>
      <c r="T2511" s="9">
        <v>16</v>
      </c>
      <c r="U2511" s="9">
        <f t="shared" ref="U2511" si="1754">T2511*S2511</f>
        <v>14400</v>
      </c>
      <c r="V2511" s="9">
        <f t="shared" ref="V2511" si="1755">U2511*1.12</f>
        <v>16128.000000000002</v>
      </c>
      <c r="W2511" s="7"/>
      <c r="X2511" s="2">
        <v>2016</v>
      </c>
      <c r="Y2511" s="2"/>
    </row>
    <row r="2512" spans="1:25" s="11" customFormat="1" ht="409.5" customHeight="1" outlineLevel="1" x14ac:dyDescent="0.2">
      <c r="A2512" s="25"/>
      <c r="B2512" s="2" t="s">
        <v>6926</v>
      </c>
      <c r="C2512" s="3" t="s">
        <v>83</v>
      </c>
      <c r="D2512" s="19" t="s">
        <v>4818</v>
      </c>
      <c r="E2512" s="19" t="s">
        <v>3892</v>
      </c>
      <c r="F2512" s="19" t="s">
        <v>4819</v>
      </c>
      <c r="G2512" s="19" t="s">
        <v>4820</v>
      </c>
      <c r="H2512" s="2" t="s">
        <v>765</v>
      </c>
      <c r="I2512" s="4">
        <v>0</v>
      </c>
      <c r="J2512" s="5">
        <v>710000000</v>
      </c>
      <c r="K2512" s="5" t="s">
        <v>89</v>
      </c>
      <c r="L2512" s="2" t="s">
        <v>754</v>
      </c>
      <c r="M2512" s="6" t="s">
        <v>1481</v>
      </c>
      <c r="N2512" s="7" t="s">
        <v>92</v>
      </c>
      <c r="O2512" s="7" t="s">
        <v>93</v>
      </c>
      <c r="P2512" s="3" t="s">
        <v>673</v>
      </c>
      <c r="Q2512" s="8" t="s">
        <v>117</v>
      </c>
      <c r="R2512" s="7" t="s">
        <v>118</v>
      </c>
      <c r="S2512" s="9">
        <v>2</v>
      </c>
      <c r="T2512" s="9">
        <v>129464</v>
      </c>
      <c r="U2512" s="9">
        <v>0</v>
      </c>
      <c r="V2512" s="9">
        <f t="shared" si="1747"/>
        <v>0</v>
      </c>
      <c r="W2512" s="7"/>
      <c r="X2512" s="2">
        <v>2016</v>
      </c>
      <c r="Y2512" s="2">
        <v>6</v>
      </c>
    </row>
    <row r="2513" spans="1:25" s="11" customFormat="1" ht="409.5" customHeight="1" outlineLevel="1" x14ac:dyDescent="0.25">
      <c r="A2513" s="1"/>
      <c r="B2513" s="2" t="s">
        <v>8384</v>
      </c>
      <c r="C2513" s="3" t="s">
        <v>83</v>
      </c>
      <c r="D2513" s="19" t="s">
        <v>4818</v>
      </c>
      <c r="E2513" s="19" t="s">
        <v>3892</v>
      </c>
      <c r="F2513" s="19" t="s">
        <v>4819</v>
      </c>
      <c r="G2513" s="19" t="s">
        <v>8419</v>
      </c>
      <c r="H2513" s="2" t="s">
        <v>765</v>
      </c>
      <c r="I2513" s="4">
        <v>0</v>
      </c>
      <c r="J2513" s="5">
        <v>710000000</v>
      </c>
      <c r="K2513" s="5" t="s">
        <v>89</v>
      </c>
      <c r="L2513" s="2" t="s">
        <v>754</v>
      </c>
      <c r="M2513" s="6" t="s">
        <v>1481</v>
      </c>
      <c r="N2513" s="7" t="s">
        <v>92</v>
      </c>
      <c r="O2513" s="7" t="s">
        <v>93</v>
      </c>
      <c r="P2513" s="3" t="s">
        <v>673</v>
      </c>
      <c r="Q2513" s="8" t="s">
        <v>117</v>
      </c>
      <c r="R2513" s="7" t="s">
        <v>118</v>
      </c>
      <c r="S2513" s="9">
        <v>2</v>
      </c>
      <c r="T2513" s="9">
        <v>129464</v>
      </c>
      <c r="U2513" s="9">
        <v>0</v>
      </c>
      <c r="V2513" s="9">
        <f t="shared" ref="V2513" si="1756">U2513*1.12</f>
        <v>0</v>
      </c>
      <c r="W2513" s="7"/>
      <c r="X2513" s="2">
        <v>2016</v>
      </c>
      <c r="Y2513" s="2" t="s">
        <v>7460</v>
      </c>
    </row>
    <row r="2514" spans="1:25" s="11" customFormat="1" ht="369.75" customHeight="1" outlineLevel="1" x14ac:dyDescent="0.25">
      <c r="A2514" s="1"/>
      <c r="B2514" s="2" t="s">
        <v>6927</v>
      </c>
      <c r="C2514" s="3" t="s">
        <v>83</v>
      </c>
      <c r="D2514" s="19" t="s">
        <v>4821</v>
      </c>
      <c r="E2514" s="19" t="s">
        <v>3892</v>
      </c>
      <c r="F2514" s="19" t="s">
        <v>4822</v>
      </c>
      <c r="G2514" s="19" t="s">
        <v>8385</v>
      </c>
      <c r="H2514" s="2" t="s">
        <v>765</v>
      </c>
      <c r="I2514" s="4">
        <v>0</v>
      </c>
      <c r="J2514" s="5">
        <v>710000000</v>
      </c>
      <c r="K2514" s="5" t="s">
        <v>89</v>
      </c>
      <c r="L2514" s="2" t="s">
        <v>754</v>
      </c>
      <c r="M2514" s="6" t="s">
        <v>1481</v>
      </c>
      <c r="N2514" s="7" t="s">
        <v>92</v>
      </c>
      <c r="O2514" s="7" t="s">
        <v>93</v>
      </c>
      <c r="P2514" s="3" t="s">
        <v>673</v>
      </c>
      <c r="Q2514" s="8" t="s">
        <v>117</v>
      </c>
      <c r="R2514" s="7" t="s">
        <v>118</v>
      </c>
      <c r="S2514" s="9">
        <v>2</v>
      </c>
      <c r="T2514" s="9">
        <v>142857</v>
      </c>
      <c r="U2514" s="9">
        <v>0</v>
      </c>
      <c r="V2514" s="9">
        <f t="shared" si="1747"/>
        <v>0</v>
      </c>
      <c r="W2514" s="7"/>
      <c r="X2514" s="2">
        <v>2016</v>
      </c>
      <c r="Y2514" s="2" t="s">
        <v>7460</v>
      </c>
    </row>
    <row r="2515" spans="1:25" s="11" customFormat="1" ht="409.5" customHeight="1" outlineLevel="1" x14ac:dyDescent="0.25">
      <c r="A2515" s="1"/>
      <c r="B2515" s="2" t="s">
        <v>6928</v>
      </c>
      <c r="C2515" s="3" t="s">
        <v>83</v>
      </c>
      <c r="D2515" s="19" t="s">
        <v>4823</v>
      </c>
      <c r="E2515" s="19" t="s">
        <v>4824</v>
      </c>
      <c r="F2515" s="19" t="s">
        <v>4825</v>
      </c>
      <c r="G2515" s="19" t="s">
        <v>4826</v>
      </c>
      <c r="H2515" s="2" t="s">
        <v>765</v>
      </c>
      <c r="I2515" s="4">
        <v>0</v>
      </c>
      <c r="J2515" s="5">
        <v>710000000</v>
      </c>
      <c r="K2515" s="5" t="s">
        <v>89</v>
      </c>
      <c r="L2515" s="2" t="s">
        <v>754</v>
      </c>
      <c r="M2515" s="6" t="s">
        <v>1481</v>
      </c>
      <c r="N2515" s="7" t="s">
        <v>92</v>
      </c>
      <c r="O2515" s="7" t="s">
        <v>93</v>
      </c>
      <c r="P2515" s="3" t="s">
        <v>673</v>
      </c>
      <c r="Q2515" s="8" t="s">
        <v>117</v>
      </c>
      <c r="R2515" s="7" t="s">
        <v>118</v>
      </c>
      <c r="S2515" s="9">
        <v>1</v>
      </c>
      <c r="T2515" s="9">
        <v>1572500</v>
      </c>
      <c r="U2515" s="9">
        <f t="shared" si="1734"/>
        <v>1572500</v>
      </c>
      <c r="V2515" s="9">
        <f t="shared" si="1747"/>
        <v>1761200.0000000002</v>
      </c>
      <c r="W2515" s="7"/>
      <c r="X2515" s="2">
        <v>2016</v>
      </c>
      <c r="Y2515" s="2"/>
    </row>
    <row r="2516" spans="1:25" s="11" customFormat="1" ht="409.5" customHeight="1" outlineLevel="1" x14ac:dyDescent="0.2">
      <c r="A2516" s="25"/>
      <c r="B2516" s="2" t="s">
        <v>6929</v>
      </c>
      <c r="C2516" s="3" t="s">
        <v>83</v>
      </c>
      <c r="D2516" s="19" t="s">
        <v>4827</v>
      </c>
      <c r="E2516" s="19" t="s">
        <v>4828</v>
      </c>
      <c r="F2516" s="19" t="s">
        <v>4829</v>
      </c>
      <c r="G2516" s="19" t="s">
        <v>8386</v>
      </c>
      <c r="H2516" s="2" t="s">
        <v>765</v>
      </c>
      <c r="I2516" s="4">
        <v>0</v>
      </c>
      <c r="J2516" s="5">
        <v>710000000</v>
      </c>
      <c r="K2516" s="5" t="s">
        <v>89</v>
      </c>
      <c r="L2516" s="2" t="s">
        <v>754</v>
      </c>
      <c r="M2516" s="6" t="s">
        <v>1481</v>
      </c>
      <c r="N2516" s="7" t="s">
        <v>92</v>
      </c>
      <c r="O2516" s="7" t="s">
        <v>93</v>
      </c>
      <c r="P2516" s="3" t="s">
        <v>673</v>
      </c>
      <c r="Q2516" s="8" t="s">
        <v>861</v>
      </c>
      <c r="R2516" s="7" t="s">
        <v>812</v>
      </c>
      <c r="S2516" s="9">
        <v>1</v>
      </c>
      <c r="T2516" s="9">
        <v>1660714</v>
      </c>
      <c r="U2516" s="9">
        <v>0</v>
      </c>
      <c r="V2516" s="9">
        <f t="shared" si="1747"/>
        <v>0</v>
      </c>
      <c r="W2516" s="7"/>
      <c r="X2516" s="2">
        <v>2016</v>
      </c>
      <c r="Y2516" s="2">
        <v>6</v>
      </c>
    </row>
    <row r="2517" spans="1:25" s="11" customFormat="1" ht="409.5" customHeight="1" outlineLevel="1" x14ac:dyDescent="0.25">
      <c r="A2517" s="1"/>
      <c r="B2517" s="2" t="s">
        <v>8392</v>
      </c>
      <c r="C2517" s="3" t="s">
        <v>83</v>
      </c>
      <c r="D2517" s="19" t="s">
        <v>4827</v>
      </c>
      <c r="E2517" s="19" t="s">
        <v>4828</v>
      </c>
      <c r="F2517" s="19" t="s">
        <v>4829</v>
      </c>
      <c r="G2517" s="19" t="s">
        <v>8393</v>
      </c>
      <c r="H2517" s="2" t="s">
        <v>765</v>
      </c>
      <c r="I2517" s="4">
        <v>0</v>
      </c>
      <c r="J2517" s="5">
        <v>710000000</v>
      </c>
      <c r="K2517" s="5" t="s">
        <v>89</v>
      </c>
      <c r="L2517" s="2" t="s">
        <v>754</v>
      </c>
      <c r="M2517" s="6" t="s">
        <v>1481</v>
      </c>
      <c r="N2517" s="7" t="s">
        <v>92</v>
      </c>
      <c r="O2517" s="7" t="s">
        <v>93</v>
      </c>
      <c r="P2517" s="3" t="s">
        <v>673</v>
      </c>
      <c r="Q2517" s="8" t="s">
        <v>861</v>
      </c>
      <c r="R2517" s="7" t="s">
        <v>812</v>
      </c>
      <c r="S2517" s="9">
        <v>1</v>
      </c>
      <c r="T2517" s="9">
        <v>1660714</v>
      </c>
      <c r="U2517" s="9">
        <f t="shared" ref="U2517" si="1757">T2517*S2517</f>
        <v>1660714</v>
      </c>
      <c r="V2517" s="9">
        <f t="shared" ref="V2517" si="1758">U2517*1.12</f>
        <v>1859999.6800000002</v>
      </c>
      <c r="W2517" s="7"/>
      <c r="X2517" s="2">
        <v>2016</v>
      </c>
      <c r="Y2517" s="2"/>
    </row>
    <row r="2518" spans="1:25" s="11" customFormat="1" ht="409.5" customHeight="1" outlineLevel="1" x14ac:dyDescent="0.2">
      <c r="A2518" s="25"/>
      <c r="B2518" s="2" t="s">
        <v>6930</v>
      </c>
      <c r="C2518" s="3" t="s">
        <v>83</v>
      </c>
      <c r="D2518" s="19" t="s">
        <v>4830</v>
      </c>
      <c r="E2518" s="19" t="s">
        <v>2803</v>
      </c>
      <c r="F2518" s="19" t="s">
        <v>4831</v>
      </c>
      <c r="G2518" s="19" t="s">
        <v>8387</v>
      </c>
      <c r="H2518" s="2" t="s">
        <v>765</v>
      </c>
      <c r="I2518" s="4">
        <v>0</v>
      </c>
      <c r="J2518" s="5">
        <v>710000000</v>
      </c>
      <c r="K2518" s="5" t="s">
        <v>89</v>
      </c>
      <c r="L2518" s="2" t="s">
        <v>754</v>
      </c>
      <c r="M2518" s="6" t="s">
        <v>1481</v>
      </c>
      <c r="N2518" s="7" t="s">
        <v>92</v>
      </c>
      <c r="O2518" s="7" t="s">
        <v>93</v>
      </c>
      <c r="P2518" s="3" t="s">
        <v>673</v>
      </c>
      <c r="Q2518" s="8" t="s">
        <v>2439</v>
      </c>
      <c r="R2518" s="7" t="s">
        <v>3092</v>
      </c>
      <c r="S2518" s="9">
        <v>2000</v>
      </c>
      <c r="T2518" s="9">
        <v>194</v>
      </c>
      <c r="U2518" s="9">
        <v>0</v>
      </c>
      <c r="V2518" s="9">
        <f t="shared" si="1747"/>
        <v>0</v>
      </c>
      <c r="W2518" s="7"/>
      <c r="X2518" s="2">
        <v>2016</v>
      </c>
      <c r="Y2518" s="2">
        <v>6</v>
      </c>
    </row>
    <row r="2519" spans="1:25" s="11" customFormat="1" ht="409.5" customHeight="1" outlineLevel="1" x14ac:dyDescent="0.25">
      <c r="A2519" s="16"/>
      <c r="B2519" s="2" t="s">
        <v>8390</v>
      </c>
      <c r="C2519" s="3" t="s">
        <v>83</v>
      </c>
      <c r="D2519" s="19" t="s">
        <v>4830</v>
      </c>
      <c r="E2519" s="19" t="s">
        <v>2803</v>
      </c>
      <c r="F2519" s="19" t="s">
        <v>4831</v>
      </c>
      <c r="G2519" s="19" t="s">
        <v>8391</v>
      </c>
      <c r="H2519" s="2" t="s">
        <v>765</v>
      </c>
      <c r="I2519" s="4">
        <v>0</v>
      </c>
      <c r="J2519" s="5">
        <v>710000000</v>
      </c>
      <c r="K2519" s="5" t="s">
        <v>89</v>
      </c>
      <c r="L2519" s="2" t="s">
        <v>754</v>
      </c>
      <c r="M2519" s="6" t="s">
        <v>1481</v>
      </c>
      <c r="N2519" s="7" t="s">
        <v>92</v>
      </c>
      <c r="O2519" s="7" t="s">
        <v>93</v>
      </c>
      <c r="P2519" s="3" t="s">
        <v>673</v>
      </c>
      <c r="Q2519" s="8" t="s">
        <v>2439</v>
      </c>
      <c r="R2519" s="7" t="s">
        <v>3092</v>
      </c>
      <c r="S2519" s="9">
        <v>2000</v>
      </c>
      <c r="T2519" s="9">
        <v>194</v>
      </c>
      <c r="U2519" s="9">
        <v>0</v>
      </c>
      <c r="V2519" s="9">
        <f t="shared" ref="V2519" si="1759">U2519*1.12</f>
        <v>0</v>
      </c>
      <c r="W2519" s="7"/>
      <c r="X2519" s="2">
        <v>2016</v>
      </c>
      <c r="Y2519" s="2" t="s">
        <v>8409</v>
      </c>
    </row>
    <row r="2520" spans="1:25" s="11" customFormat="1" ht="409.5" customHeight="1" outlineLevel="1" x14ac:dyDescent="0.25">
      <c r="A2520" s="16"/>
      <c r="B2520" s="2" t="s">
        <v>9095</v>
      </c>
      <c r="C2520" s="3" t="s">
        <v>83</v>
      </c>
      <c r="D2520" s="19" t="s">
        <v>4830</v>
      </c>
      <c r="E2520" s="19" t="s">
        <v>2803</v>
      </c>
      <c r="F2520" s="19" t="s">
        <v>4831</v>
      </c>
      <c r="G2520" s="19" t="s">
        <v>8391</v>
      </c>
      <c r="H2520" s="2" t="s">
        <v>765</v>
      </c>
      <c r="I2520" s="4">
        <v>0</v>
      </c>
      <c r="J2520" s="5">
        <v>710000000</v>
      </c>
      <c r="K2520" s="5" t="s">
        <v>89</v>
      </c>
      <c r="L2520" s="5" t="s">
        <v>9096</v>
      </c>
      <c r="M2520" s="6" t="s">
        <v>1481</v>
      </c>
      <c r="N2520" s="7" t="s">
        <v>92</v>
      </c>
      <c r="O2520" s="7" t="s">
        <v>93</v>
      </c>
      <c r="P2520" s="3" t="s">
        <v>673</v>
      </c>
      <c r="Q2520" s="8" t="s">
        <v>2439</v>
      </c>
      <c r="R2520" s="7" t="s">
        <v>3092</v>
      </c>
      <c r="S2520" s="9">
        <f>2000+2000</f>
        <v>4000</v>
      </c>
      <c r="T2520" s="9">
        <v>194</v>
      </c>
      <c r="U2520" s="9">
        <f t="shared" ref="U2520" si="1760">T2520*S2520</f>
        <v>776000</v>
      </c>
      <c r="V2520" s="9">
        <f t="shared" ref="V2520" si="1761">U2520*1.12</f>
        <v>869120.00000000012</v>
      </c>
      <c r="W2520" s="7"/>
      <c r="X2520" s="2">
        <v>2016</v>
      </c>
      <c r="Y2520" s="2"/>
    </row>
    <row r="2521" spans="1:25" s="11" customFormat="1" ht="409.5" customHeight="1" outlineLevel="1" x14ac:dyDescent="0.25">
      <c r="A2521" s="1"/>
      <c r="B2521" s="2" t="s">
        <v>6931</v>
      </c>
      <c r="C2521" s="3" t="s">
        <v>83</v>
      </c>
      <c r="D2521" s="19" t="s">
        <v>4832</v>
      </c>
      <c r="E2521" s="19" t="s">
        <v>4833</v>
      </c>
      <c r="F2521" s="19" t="s">
        <v>4834</v>
      </c>
      <c r="G2521" s="19" t="s">
        <v>8388</v>
      </c>
      <c r="H2521" s="2" t="s">
        <v>765</v>
      </c>
      <c r="I2521" s="4">
        <v>0</v>
      </c>
      <c r="J2521" s="5">
        <v>710000000</v>
      </c>
      <c r="K2521" s="5" t="s">
        <v>89</v>
      </c>
      <c r="L2521" s="2" t="s">
        <v>754</v>
      </c>
      <c r="M2521" s="6" t="s">
        <v>1481</v>
      </c>
      <c r="N2521" s="7" t="s">
        <v>92</v>
      </c>
      <c r="O2521" s="7" t="s">
        <v>93</v>
      </c>
      <c r="P2521" s="3" t="s">
        <v>673</v>
      </c>
      <c r="Q2521" s="8" t="s">
        <v>861</v>
      </c>
      <c r="R2521" s="7" t="s">
        <v>812</v>
      </c>
      <c r="S2521" s="9">
        <v>10</v>
      </c>
      <c r="T2521" s="9">
        <v>218621</v>
      </c>
      <c r="U2521" s="9">
        <v>0</v>
      </c>
      <c r="V2521" s="9">
        <f t="shared" si="1747"/>
        <v>0</v>
      </c>
      <c r="W2521" s="7"/>
      <c r="X2521" s="2">
        <v>2016</v>
      </c>
      <c r="Y2521" s="2" t="s">
        <v>7460</v>
      </c>
    </row>
    <row r="2522" spans="1:25" s="11" customFormat="1" ht="395.25" customHeight="1" outlineLevel="1" x14ac:dyDescent="0.25">
      <c r="A2522" s="1"/>
      <c r="B2522" s="2" t="s">
        <v>6932</v>
      </c>
      <c r="C2522" s="3" t="s">
        <v>83</v>
      </c>
      <c r="D2522" s="19" t="s">
        <v>4835</v>
      </c>
      <c r="E2522" s="19" t="s">
        <v>4836</v>
      </c>
      <c r="F2522" s="19" t="s">
        <v>4837</v>
      </c>
      <c r="G2522" s="19" t="s">
        <v>8389</v>
      </c>
      <c r="H2522" s="2" t="s">
        <v>765</v>
      </c>
      <c r="I2522" s="4">
        <v>0</v>
      </c>
      <c r="J2522" s="5">
        <v>710000000</v>
      </c>
      <c r="K2522" s="5" t="s">
        <v>89</v>
      </c>
      <c r="L2522" s="2" t="s">
        <v>754</v>
      </c>
      <c r="M2522" s="6" t="s">
        <v>1481</v>
      </c>
      <c r="N2522" s="7" t="s">
        <v>92</v>
      </c>
      <c r="O2522" s="7" t="s">
        <v>93</v>
      </c>
      <c r="P2522" s="3" t="s">
        <v>673</v>
      </c>
      <c r="Q2522" s="8" t="s">
        <v>117</v>
      </c>
      <c r="R2522" s="7" t="s">
        <v>118</v>
      </c>
      <c r="S2522" s="9">
        <v>10</v>
      </c>
      <c r="T2522" s="9">
        <v>17526</v>
      </c>
      <c r="U2522" s="9">
        <v>0</v>
      </c>
      <c r="V2522" s="9">
        <f t="shared" si="1747"/>
        <v>0</v>
      </c>
      <c r="W2522" s="7"/>
      <c r="X2522" s="2">
        <v>2016</v>
      </c>
      <c r="Y2522" s="2" t="s">
        <v>7460</v>
      </c>
    </row>
    <row r="2523" spans="1:25" s="11" customFormat="1" ht="89.25" customHeight="1" outlineLevel="1" x14ac:dyDescent="0.25">
      <c r="A2523" s="16"/>
      <c r="B2523" s="2" t="s">
        <v>6933</v>
      </c>
      <c r="C2523" s="3" t="s">
        <v>83</v>
      </c>
      <c r="D2523" s="3" t="s">
        <v>4838</v>
      </c>
      <c r="E2523" s="3" t="s">
        <v>4839</v>
      </c>
      <c r="F2523" s="3" t="s">
        <v>2470</v>
      </c>
      <c r="G2523" s="3" t="s">
        <v>4840</v>
      </c>
      <c r="H2523" s="2" t="s">
        <v>694</v>
      </c>
      <c r="I2523" s="4">
        <v>0</v>
      </c>
      <c r="J2523" s="5">
        <v>710000000</v>
      </c>
      <c r="K2523" s="3" t="s">
        <v>89</v>
      </c>
      <c r="L2523" s="2" t="s">
        <v>754</v>
      </c>
      <c r="M2523" s="3" t="s">
        <v>787</v>
      </c>
      <c r="N2523" s="3" t="s">
        <v>92</v>
      </c>
      <c r="O2523" s="3" t="s">
        <v>93</v>
      </c>
      <c r="P2523" s="3" t="s">
        <v>673</v>
      </c>
      <c r="Q2523" s="3">
        <v>796</v>
      </c>
      <c r="R2523" s="3" t="s">
        <v>118</v>
      </c>
      <c r="S2523" s="9">
        <f>180+400+115</f>
        <v>695</v>
      </c>
      <c r="T2523" s="9">
        <v>408.89</v>
      </c>
      <c r="U2523" s="9">
        <v>0</v>
      </c>
      <c r="V2523" s="9">
        <f t="shared" si="1747"/>
        <v>0</v>
      </c>
      <c r="W2523" s="3"/>
      <c r="X2523" s="2">
        <v>2016</v>
      </c>
      <c r="Y2523" s="2">
        <v>11.12</v>
      </c>
    </row>
    <row r="2524" spans="1:25" s="11" customFormat="1" ht="89.25" customHeight="1" outlineLevel="1" x14ac:dyDescent="0.25">
      <c r="A2524" s="16"/>
      <c r="B2524" s="2" t="s">
        <v>9087</v>
      </c>
      <c r="C2524" s="3" t="s">
        <v>83</v>
      </c>
      <c r="D2524" s="3" t="s">
        <v>4838</v>
      </c>
      <c r="E2524" s="3" t="s">
        <v>4839</v>
      </c>
      <c r="F2524" s="3" t="s">
        <v>2470</v>
      </c>
      <c r="G2524" s="3" t="s">
        <v>4840</v>
      </c>
      <c r="H2524" s="2" t="s">
        <v>694</v>
      </c>
      <c r="I2524" s="4">
        <v>0</v>
      </c>
      <c r="J2524" s="5">
        <v>710000000</v>
      </c>
      <c r="K2524" s="3" t="s">
        <v>89</v>
      </c>
      <c r="L2524" s="2" t="s">
        <v>1738</v>
      </c>
      <c r="M2524" s="3" t="s">
        <v>1481</v>
      </c>
      <c r="N2524" s="3" t="s">
        <v>92</v>
      </c>
      <c r="O2524" s="3" t="s">
        <v>93</v>
      </c>
      <c r="P2524" s="3" t="s">
        <v>673</v>
      </c>
      <c r="Q2524" s="3">
        <v>796</v>
      </c>
      <c r="R2524" s="3" t="s">
        <v>118</v>
      </c>
      <c r="S2524" s="9">
        <f>180+400+115</f>
        <v>695</v>
      </c>
      <c r="T2524" s="9">
        <v>408.89</v>
      </c>
      <c r="U2524" s="9">
        <f t="shared" ref="U2524" si="1762">T2524*S2524</f>
        <v>284178.55</v>
      </c>
      <c r="V2524" s="9">
        <f t="shared" ref="V2524" si="1763">U2524*1.12</f>
        <v>318279.97600000002</v>
      </c>
      <c r="W2524" s="3"/>
      <c r="X2524" s="2">
        <v>2016</v>
      </c>
      <c r="Y2524" s="3"/>
    </row>
    <row r="2525" spans="1:25" s="11" customFormat="1" ht="89.25" customHeight="1" outlineLevel="1" x14ac:dyDescent="0.25">
      <c r="A2525" s="16"/>
      <c r="B2525" s="2" t="s">
        <v>6934</v>
      </c>
      <c r="C2525" s="3" t="s">
        <v>83</v>
      </c>
      <c r="D2525" s="3" t="s">
        <v>4841</v>
      </c>
      <c r="E2525" s="3" t="s">
        <v>4842</v>
      </c>
      <c r="F2525" s="3" t="s">
        <v>4843</v>
      </c>
      <c r="G2525" s="3" t="s">
        <v>4844</v>
      </c>
      <c r="H2525" s="2" t="s">
        <v>694</v>
      </c>
      <c r="I2525" s="4">
        <v>0</v>
      </c>
      <c r="J2525" s="5">
        <v>710000000</v>
      </c>
      <c r="K2525" s="3" t="s">
        <v>89</v>
      </c>
      <c r="L2525" s="2" t="s">
        <v>754</v>
      </c>
      <c r="M2525" s="3" t="s">
        <v>787</v>
      </c>
      <c r="N2525" s="3" t="s">
        <v>92</v>
      </c>
      <c r="O2525" s="3" t="s">
        <v>93</v>
      </c>
      <c r="P2525" s="3" t="s">
        <v>673</v>
      </c>
      <c r="Q2525" s="3">
        <v>796</v>
      </c>
      <c r="R2525" s="3" t="s">
        <v>118</v>
      </c>
      <c r="S2525" s="9">
        <f>180+300</f>
        <v>480</v>
      </c>
      <c r="T2525" s="9">
        <v>91.25</v>
      </c>
      <c r="U2525" s="9">
        <v>0</v>
      </c>
      <c r="V2525" s="9">
        <f t="shared" si="1747"/>
        <v>0</v>
      </c>
      <c r="W2525" s="3"/>
      <c r="X2525" s="2">
        <v>2016</v>
      </c>
      <c r="Y2525" s="2">
        <v>11.12</v>
      </c>
    </row>
    <row r="2526" spans="1:25" s="11" customFormat="1" ht="89.25" customHeight="1" outlineLevel="1" x14ac:dyDescent="0.25">
      <c r="A2526" s="16"/>
      <c r="B2526" s="2" t="s">
        <v>9088</v>
      </c>
      <c r="C2526" s="3" t="s">
        <v>83</v>
      </c>
      <c r="D2526" s="3" t="s">
        <v>4841</v>
      </c>
      <c r="E2526" s="3" t="s">
        <v>4842</v>
      </c>
      <c r="F2526" s="3" t="s">
        <v>4843</v>
      </c>
      <c r="G2526" s="3" t="s">
        <v>4844</v>
      </c>
      <c r="H2526" s="2" t="s">
        <v>694</v>
      </c>
      <c r="I2526" s="4">
        <v>0</v>
      </c>
      <c r="J2526" s="5">
        <v>710000000</v>
      </c>
      <c r="K2526" s="3" t="s">
        <v>89</v>
      </c>
      <c r="L2526" s="2" t="s">
        <v>1738</v>
      </c>
      <c r="M2526" s="3" t="s">
        <v>1481</v>
      </c>
      <c r="N2526" s="3" t="s">
        <v>92</v>
      </c>
      <c r="O2526" s="3" t="s">
        <v>93</v>
      </c>
      <c r="P2526" s="3" t="s">
        <v>673</v>
      </c>
      <c r="Q2526" s="3">
        <v>796</v>
      </c>
      <c r="R2526" s="3" t="s">
        <v>118</v>
      </c>
      <c r="S2526" s="9">
        <f>180+300</f>
        <v>480</v>
      </c>
      <c r="T2526" s="9">
        <v>91.25</v>
      </c>
      <c r="U2526" s="9">
        <f t="shared" ref="U2526" si="1764">T2526*S2526</f>
        <v>43800</v>
      </c>
      <c r="V2526" s="9">
        <f t="shared" ref="V2526" si="1765">U2526*1.12</f>
        <v>49056.000000000007</v>
      </c>
      <c r="W2526" s="3"/>
      <c r="X2526" s="2">
        <v>2016</v>
      </c>
      <c r="Y2526" s="3"/>
    </row>
    <row r="2527" spans="1:25" s="11" customFormat="1" ht="89.25" customHeight="1" outlineLevel="1" x14ac:dyDescent="0.25">
      <c r="A2527" s="1"/>
      <c r="B2527" s="2" t="s">
        <v>6935</v>
      </c>
      <c r="C2527" s="3" t="s">
        <v>83</v>
      </c>
      <c r="D2527" s="3" t="s">
        <v>4845</v>
      </c>
      <c r="E2527" s="3" t="s">
        <v>4846</v>
      </c>
      <c r="F2527" s="3" t="s">
        <v>4847</v>
      </c>
      <c r="G2527" s="3" t="s">
        <v>4848</v>
      </c>
      <c r="H2527" s="2" t="s">
        <v>694</v>
      </c>
      <c r="I2527" s="4">
        <v>0</v>
      </c>
      <c r="J2527" s="5">
        <v>710000000</v>
      </c>
      <c r="K2527" s="5" t="s">
        <v>89</v>
      </c>
      <c r="L2527" s="2" t="s">
        <v>754</v>
      </c>
      <c r="M2527" s="6" t="s">
        <v>787</v>
      </c>
      <c r="N2527" s="7" t="s">
        <v>92</v>
      </c>
      <c r="O2527" s="7" t="s">
        <v>93</v>
      </c>
      <c r="P2527" s="3" t="s">
        <v>673</v>
      </c>
      <c r="Q2527" s="8">
        <v>796</v>
      </c>
      <c r="R2527" s="7" t="s">
        <v>118</v>
      </c>
      <c r="S2527" s="9">
        <v>1</v>
      </c>
      <c r="T2527" s="9">
        <v>8406.25</v>
      </c>
      <c r="U2527" s="9">
        <f t="shared" si="1734"/>
        <v>8406.25</v>
      </c>
      <c r="V2527" s="9">
        <f t="shared" si="1747"/>
        <v>9415</v>
      </c>
      <c r="W2527" s="7"/>
      <c r="X2527" s="2">
        <v>2016</v>
      </c>
      <c r="Y2527" s="2"/>
    </row>
    <row r="2528" spans="1:25" s="11" customFormat="1" ht="89.25" customHeight="1" outlineLevel="1" x14ac:dyDescent="0.25">
      <c r="A2528" s="1"/>
      <c r="B2528" s="2" t="s">
        <v>6936</v>
      </c>
      <c r="C2528" s="3" t="s">
        <v>83</v>
      </c>
      <c r="D2528" s="3" t="s">
        <v>4849</v>
      </c>
      <c r="E2528" s="3" t="s">
        <v>4850</v>
      </c>
      <c r="F2528" s="3" t="s">
        <v>4851</v>
      </c>
      <c r="G2528" s="3" t="s">
        <v>4852</v>
      </c>
      <c r="H2528" s="2" t="s">
        <v>694</v>
      </c>
      <c r="I2528" s="4">
        <v>0</v>
      </c>
      <c r="J2528" s="5">
        <v>710000000</v>
      </c>
      <c r="K2528" s="3" t="s">
        <v>89</v>
      </c>
      <c r="L2528" s="2" t="s">
        <v>754</v>
      </c>
      <c r="M2528" s="3" t="s">
        <v>91</v>
      </c>
      <c r="N2528" s="3" t="s">
        <v>92</v>
      </c>
      <c r="O2528" s="3" t="s">
        <v>93</v>
      </c>
      <c r="P2528" s="3" t="s">
        <v>673</v>
      </c>
      <c r="Q2528" s="3">
        <v>796</v>
      </c>
      <c r="R2528" s="3" t="s">
        <v>118</v>
      </c>
      <c r="S2528" s="9">
        <v>2</v>
      </c>
      <c r="T2528" s="9">
        <v>4545</v>
      </c>
      <c r="U2528" s="9">
        <f t="shared" si="1734"/>
        <v>9090</v>
      </c>
      <c r="V2528" s="9">
        <f t="shared" si="1747"/>
        <v>10180.800000000001</v>
      </c>
      <c r="W2528" s="3"/>
      <c r="X2528" s="2">
        <v>2016</v>
      </c>
      <c r="Y2528" s="3"/>
    </row>
    <row r="2529" spans="1:25" s="11" customFormat="1" ht="89.25" customHeight="1" outlineLevel="1" x14ac:dyDescent="0.25">
      <c r="A2529" s="1"/>
      <c r="B2529" s="2" t="s">
        <v>6937</v>
      </c>
      <c r="C2529" s="3" t="s">
        <v>83</v>
      </c>
      <c r="D2529" s="3" t="s">
        <v>4845</v>
      </c>
      <c r="E2529" s="3" t="s">
        <v>4846</v>
      </c>
      <c r="F2529" s="3" t="s">
        <v>4847</v>
      </c>
      <c r="G2529" s="3"/>
      <c r="H2529" s="2" t="s">
        <v>694</v>
      </c>
      <c r="I2529" s="4">
        <v>0</v>
      </c>
      <c r="J2529" s="5">
        <v>710000000</v>
      </c>
      <c r="K2529" s="3" t="s">
        <v>89</v>
      </c>
      <c r="L2529" s="2" t="s">
        <v>754</v>
      </c>
      <c r="M2529" s="3" t="s">
        <v>91</v>
      </c>
      <c r="N2529" s="3" t="s">
        <v>92</v>
      </c>
      <c r="O2529" s="3" t="s">
        <v>93</v>
      </c>
      <c r="P2529" s="3" t="s">
        <v>673</v>
      </c>
      <c r="Q2529" s="3">
        <v>796</v>
      </c>
      <c r="R2529" s="3" t="s">
        <v>118</v>
      </c>
      <c r="S2529" s="9">
        <v>2</v>
      </c>
      <c r="T2529" s="9">
        <v>8406.25</v>
      </c>
      <c r="U2529" s="9">
        <f t="shared" si="1734"/>
        <v>16812.5</v>
      </c>
      <c r="V2529" s="9">
        <f t="shared" si="1747"/>
        <v>18830</v>
      </c>
      <c r="W2529" s="3"/>
      <c r="X2529" s="2">
        <v>2016</v>
      </c>
      <c r="Y2529" s="3"/>
    </row>
    <row r="2530" spans="1:25" s="11" customFormat="1" ht="89.25" customHeight="1" outlineLevel="1" x14ac:dyDescent="0.25">
      <c r="A2530" s="1"/>
      <c r="B2530" s="2" t="s">
        <v>6938</v>
      </c>
      <c r="C2530" s="3" t="s">
        <v>83</v>
      </c>
      <c r="D2530" s="3" t="s">
        <v>4853</v>
      </c>
      <c r="E2530" s="3" t="s">
        <v>4854</v>
      </c>
      <c r="F2530" s="3" t="s">
        <v>4855</v>
      </c>
      <c r="G2530" s="3" t="s">
        <v>4856</v>
      </c>
      <c r="H2530" s="2" t="s">
        <v>694</v>
      </c>
      <c r="I2530" s="4">
        <v>0</v>
      </c>
      <c r="J2530" s="5">
        <v>710000000</v>
      </c>
      <c r="K2530" s="3" t="s">
        <v>89</v>
      </c>
      <c r="L2530" s="2" t="s">
        <v>754</v>
      </c>
      <c r="M2530" s="3" t="s">
        <v>91</v>
      </c>
      <c r="N2530" s="3" t="s">
        <v>92</v>
      </c>
      <c r="O2530" s="3" t="s">
        <v>93</v>
      </c>
      <c r="P2530" s="3" t="s">
        <v>673</v>
      </c>
      <c r="Q2530" s="3" t="s">
        <v>3085</v>
      </c>
      <c r="R2530" s="3" t="s">
        <v>3086</v>
      </c>
      <c r="S2530" s="9">
        <v>20</v>
      </c>
      <c r="T2530" s="9">
        <v>446</v>
      </c>
      <c r="U2530" s="9">
        <f t="shared" si="1734"/>
        <v>8920</v>
      </c>
      <c r="V2530" s="9">
        <f t="shared" si="1747"/>
        <v>9990.4000000000015</v>
      </c>
      <c r="W2530" s="3"/>
      <c r="X2530" s="2">
        <v>2016</v>
      </c>
      <c r="Y2530" s="3"/>
    </row>
    <row r="2531" spans="1:25" s="11" customFormat="1" ht="89.25" customHeight="1" outlineLevel="1" x14ac:dyDescent="0.25">
      <c r="A2531" s="1"/>
      <c r="B2531" s="2" t="s">
        <v>6939</v>
      </c>
      <c r="C2531" s="3" t="s">
        <v>83</v>
      </c>
      <c r="D2531" s="3" t="s">
        <v>4857</v>
      </c>
      <c r="E2531" s="3" t="s">
        <v>4854</v>
      </c>
      <c r="F2531" s="3" t="s">
        <v>4855</v>
      </c>
      <c r="G2531" s="3" t="s">
        <v>4858</v>
      </c>
      <c r="H2531" s="2" t="s">
        <v>694</v>
      </c>
      <c r="I2531" s="4">
        <v>0</v>
      </c>
      <c r="J2531" s="5">
        <v>710000000</v>
      </c>
      <c r="K2531" s="3" t="s">
        <v>89</v>
      </c>
      <c r="L2531" s="2" t="s">
        <v>754</v>
      </c>
      <c r="M2531" s="3" t="s">
        <v>91</v>
      </c>
      <c r="N2531" s="3" t="s">
        <v>92</v>
      </c>
      <c r="O2531" s="3" t="s">
        <v>93</v>
      </c>
      <c r="P2531" s="3" t="s">
        <v>673</v>
      </c>
      <c r="Q2531" s="3">
        <v>796</v>
      </c>
      <c r="R2531" s="3" t="s">
        <v>118</v>
      </c>
      <c r="S2531" s="9">
        <v>40</v>
      </c>
      <c r="T2531" s="9">
        <v>2436</v>
      </c>
      <c r="U2531" s="9">
        <f t="shared" si="1734"/>
        <v>97440</v>
      </c>
      <c r="V2531" s="9">
        <f t="shared" si="1747"/>
        <v>109132.80000000002</v>
      </c>
      <c r="W2531" s="3"/>
      <c r="X2531" s="2">
        <v>2016</v>
      </c>
      <c r="Y2531" s="3"/>
    </row>
    <row r="2532" spans="1:25" s="11" customFormat="1" ht="89.25" customHeight="1" outlineLevel="1" x14ac:dyDescent="0.25">
      <c r="A2532" s="1"/>
      <c r="B2532" s="2" t="s">
        <v>6940</v>
      </c>
      <c r="C2532" s="3" t="s">
        <v>83</v>
      </c>
      <c r="D2532" s="3" t="s">
        <v>4859</v>
      </c>
      <c r="E2532" s="3" t="s">
        <v>4860</v>
      </c>
      <c r="F2532" s="3" t="s">
        <v>4861</v>
      </c>
      <c r="G2532" s="3" t="s">
        <v>4862</v>
      </c>
      <c r="H2532" s="2" t="s">
        <v>694</v>
      </c>
      <c r="I2532" s="4">
        <v>0</v>
      </c>
      <c r="J2532" s="5">
        <v>710000000</v>
      </c>
      <c r="K2532" s="3" t="s">
        <v>89</v>
      </c>
      <c r="L2532" s="2" t="s">
        <v>754</v>
      </c>
      <c r="M2532" s="3" t="s">
        <v>91</v>
      </c>
      <c r="N2532" s="3" t="s">
        <v>92</v>
      </c>
      <c r="O2532" s="3" t="s">
        <v>93</v>
      </c>
      <c r="P2532" s="3" t="s">
        <v>673</v>
      </c>
      <c r="Q2532" s="3">
        <v>704</v>
      </c>
      <c r="R2532" s="3" t="s">
        <v>2605</v>
      </c>
      <c r="S2532" s="9">
        <v>1</v>
      </c>
      <c r="T2532" s="9">
        <v>10402</v>
      </c>
      <c r="U2532" s="9">
        <f t="shared" si="1734"/>
        <v>10402</v>
      </c>
      <c r="V2532" s="9">
        <f t="shared" si="1747"/>
        <v>11650.240000000002</v>
      </c>
      <c r="W2532" s="3"/>
      <c r="X2532" s="2">
        <v>2016</v>
      </c>
      <c r="Y2532" s="3"/>
    </row>
    <row r="2533" spans="1:25" s="11" customFormat="1" ht="89.25" customHeight="1" outlineLevel="1" x14ac:dyDescent="0.25">
      <c r="A2533" s="1"/>
      <c r="B2533" s="2" t="s">
        <v>6941</v>
      </c>
      <c r="C2533" s="3" t="s">
        <v>83</v>
      </c>
      <c r="D2533" s="3" t="s">
        <v>4863</v>
      </c>
      <c r="E2533" s="3" t="s">
        <v>4131</v>
      </c>
      <c r="F2533" s="3" t="s">
        <v>4864</v>
      </c>
      <c r="G2533" s="3" t="s">
        <v>4865</v>
      </c>
      <c r="H2533" s="2" t="s">
        <v>694</v>
      </c>
      <c r="I2533" s="4">
        <v>0</v>
      </c>
      <c r="J2533" s="5">
        <v>710000000</v>
      </c>
      <c r="K2533" s="3" t="s">
        <v>89</v>
      </c>
      <c r="L2533" s="2" t="s">
        <v>754</v>
      </c>
      <c r="M2533" s="3" t="s">
        <v>91</v>
      </c>
      <c r="N2533" s="3" t="s">
        <v>92</v>
      </c>
      <c r="O2533" s="3" t="s">
        <v>93</v>
      </c>
      <c r="P2533" s="3" t="s">
        <v>673</v>
      </c>
      <c r="Q2533" s="3">
        <v>796</v>
      </c>
      <c r="R2533" s="3" t="s">
        <v>118</v>
      </c>
      <c r="S2533" s="9">
        <v>2</v>
      </c>
      <c r="T2533" s="9">
        <v>2857</v>
      </c>
      <c r="U2533" s="9">
        <f t="shared" si="1734"/>
        <v>5714</v>
      </c>
      <c r="V2533" s="9">
        <f t="shared" si="1747"/>
        <v>6399.68</v>
      </c>
      <c r="W2533" s="3"/>
      <c r="X2533" s="2">
        <v>2016</v>
      </c>
      <c r="Y2533" s="3"/>
    </row>
    <row r="2534" spans="1:25" s="11" customFormat="1" ht="89.25" customHeight="1" outlineLevel="1" x14ac:dyDescent="0.25">
      <c r="A2534" s="1"/>
      <c r="B2534" s="2" t="s">
        <v>6942</v>
      </c>
      <c r="C2534" s="3" t="s">
        <v>83</v>
      </c>
      <c r="D2534" s="3" t="s">
        <v>4866</v>
      </c>
      <c r="E2534" s="3" t="s">
        <v>4867</v>
      </c>
      <c r="F2534" s="3" t="s">
        <v>4492</v>
      </c>
      <c r="G2534" s="3" t="s">
        <v>4868</v>
      </c>
      <c r="H2534" s="2" t="s">
        <v>694</v>
      </c>
      <c r="I2534" s="4">
        <v>0</v>
      </c>
      <c r="J2534" s="5">
        <v>710000000</v>
      </c>
      <c r="K2534" s="3" t="s">
        <v>89</v>
      </c>
      <c r="L2534" s="2" t="s">
        <v>754</v>
      </c>
      <c r="M2534" s="3" t="s">
        <v>91</v>
      </c>
      <c r="N2534" s="3" t="s">
        <v>92</v>
      </c>
      <c r="O2534" s="3" t="s">
        <v>93</v>
      </c>
      <c r="P2534" s="3" t="s">
        <v>673</v>
      </c>
      <c r="Q2534" s="3">
        <v>796</v>
      </c>
      <c r="R2534" s="3" t="s">
        <v>118</v>
      </c>
      <c r="S2534" s="9">
        <v>1</v>
      </c>
      <c r="T2534" s="9">
        <v>5491</v>
      </c>
      <c r="U2534" s="9">
        <f t="shared" si="1734"/>
        <v>5491</v>
      </c>
      <c r="V2534" s="9">
        <f t="shared" si="1747"/>
        <v>6149.920000000001</v>
      </c>
      <c r="W2534" s="3"/>
      <c r="X2534" s="2">
        <v>2016</v>
      </c>
      <c r="Y2534" s="3"/>
    </row>
    <row r="2535" spans="1:25" s="11" customFormat="1" ht="89.25" customHeight="1" outlineLevel="1" x14ac:dyDescent="0.25">
      <c r="A2535" s="1"/>
      <c r="B2535" s="2" t="s">
        <v>6943</v>
      </c>
      <c r="C2535" s="3" t="s">
        <v>83</v>
      </c>
      <c r="D2535" s="3" t="s">
        <v>4869</v>
      </c>
      <c r="E2535" s="3" t="s">
        <v>4870</v>
      </c>
      <c r="F2535" s="3" t="s">
        <v>4871</v>
      </c>
      <c r="G2535" s="3" t="s">
        <v>4872</v>
      </c>
      <c r="H2535" s="2" t="s">
        <v>694</v>
      </c>
      <c r="I2535" s="4">
        <v>0</v>
      </c>
      <c r="J2535" s="5">
        <v>710000000</v>
      </c>
      <c r="K2535" s="3" t="s">
        <v>89</v>
      </c>
      <c r="L2535" s="2" t="s">
        <v>754</v>
      </c>
      <c r="M2535" s="3" t="s">
        <v>91</v>
      </c>
      <c r="N2535" s="3" t="s">
        <v>92</v>
      </c>
      <c r="O2535" s="3" t="s">
        <v>93</v>
      </c>
      <c r="P2535" s="3" t="s">
        <v>673</v>
      </c>
      <c r="Q2535" s="3">
        <v>796</v>
      </c>
      <c r="R2535" s="3" t="s">
        <v>118</v>
      </c>
      <c r="S2535" s="9">
        <v>3</v>
      </c>
      <c r="T2535" s="9">
        <v>3688</v>
      </c>
      <c r="U2535" s="9">
        <f t="shared" si="1734"/>
        <v>11064</v>
      </c>
      <c r="V2535" s="9">
        <f t="shared" si="1747"/>
        <v>12391.68</v>
      </c>
      <c r="W2535" s="3"/>
      <c r="X2535" s="2">
        <v>2016</v>
      </c>
      <c r="Y2535" s="3"/>
    </row>
    <row r="2536" spans="1:25" s="11" customFormat="1" ht="89.25" customHeight="1" outlineLevel="1" x14ac:dyDescent="0.25">
      <c r="A2536" s="1"/>
      <c r="B2536" s="2" t="s">
        <v>6944</v>
      </c>
      <c r="C2536" s="3" t="s">
        <v>83</v>
      </c>
      <c r="D2536" s="3" t="s">
        <v>4838</v>
      </c>
      <c r="E2536" s="3" t="s">
        <v>4839</v>
      </c>
      <c r="F2536" s="3" t="s">
        <v>2470</v>
      </c>
      <c r="G2536" s="3" t="s">
        <v>4873</v>
      </c>
      <c r="H2536" s="2" t="s">
        <v>694</v>
      </c>
      <c r="I2536" s="4">
        <v>0</v>
      </c>
      <c r="J2536" s="5">
        <v>710000000</v>
      </c>
      <c r="K2536" s="3" t="s">
        <v>89</v>
      </c>
      <c r="L2536" s="2" t="s">
        <v>754</v>
      </c>
      <c r="M2536" s="3" t="s">
        <v>91</v>
      </c>
      <c r="N2536" s="3" t="s">
        <v>92</v>
      </c>
      <c r="O2536" s="3" t="s">
        <v>93</v>
      </c>
      <c r="P2536" s="3" t="s">
        <v>673</v>
      </c>
      <c r="Q2536" s="3">
        <v>796</v>
      </c>
      <c r="R2536" s="3" t="s">
        <v>118</v>
      </c>
      <c r="S2536" s="9">
        <v>40</v>
      </c>
      <c r="T2536" s="9">
        <v>179</v>
      </c>
      <c r="U2536" s="9">
        <f t="shared" si="1734"/>
        <v>7160</v>
      </c>
      <c r="V2536" s="9">
        <f t="shared" si="1747"/>
        <v>8019.2000000000007</v>
      </c>
      <c r="W2536" s="3"/>
      <c r="X2536" s="2">
        <v>2016</v>
      </c>
      <c r="Y2536" s="3"/>
    </row>
    <row r="2537" spans="1:25" s="11" customFormat="1" ht="89.25" customHeight="1" outlineLevel="1" x14ac:dyDescent="0.25">
      <c r="A2537" s="1"/>
      <c r="B2537" s="2" t="s">
        <v>6945</v>
      </c>
      <c r="C2537" s="3" t="s">
        <v>83</v>
      </c>
      <c r="D2537" s="3" t="s">
        <v>4874</v>
      </c>
      <c r="E2537" s="3" t="s">
        <v>4875</v>
      </c>
      <c r="F2537" s="3" t="s">
        <v>4876</v>
      </c>
      <c r="G2537" s="3" t="s">
        <v>4877</v>
      </c>
      <c r="H2537" s="2" t="s">
        <v>694</v>
      </c>
      <c r="I2537" s="4">
        <v>0</v>
      </c>
      <c r="J2537" s="5">
        <v>710000000</v>
      </c>
      <c r="K2537" s="3" t="s">
        <v>89</v>
      </c>
      <c r="L2537" s="2" t="s">
        <v>754</v>
      </c>
      <c r="M2537" s="3" t="s">
        <v>91</v>
      </c>
      <c r="N2537" s="3" t="s">
        <v>92</v>
      </c>
      <c r="O2537" s="3" t="s">
        <v>93</v>
      </c>
      <c r="P2537" s="3" t="s">
        <v>673</v>
      </c>
      <c r="Q2537" s="3">
        <v>796</v>
      </c>
      <c r="R2537" s="3" t="s">
        <v>118</v>
      </c>
      <c r="S2537" s="9">
        <v>1</v>
      </c>
      <c r="T2537" s="9">
        <v>7411</v>
      </c>
      <c r="U2537" s="9">
        <f t="shared" si="1734"/>
        <v>7411</v>
      </c>
      <c r="V2537" s="9">
        <f t="shared" si="1747"/>
        <v>8300.3200000000015</v>
      </c>
      <c r="W2537" s="3"/>
      <c r="X2537" s="2">
        <v>2016</v>
      </c>
      <c r="Y2537" s="3"/>
    </row>
    <row r="2538" spans="1:25" s="11" customFormat="1" ht="89.25" customHeight="1" outlineLevel="1" x14ac:dyDescent="0.25">
      <c r="A2538" s="1"/>
      <c r="B2538" s="2" t="s">
        <v>6946</v>
      </c>
      <c r="C2538" s="3" t="s">
        <v>83</v>
      </c>
      <c r="D2538" s="3" t="s">
        <v>4878</v>
      </c>
      <c r="E2538" s="3" t="s">
        <v>4879</v>
      </c>
      <c r="F2538" s="3" t="s">
        <v>4880</v>
      </c>
      <c r="G2538" s="3" t="s">
        <v>4881</v>
      </c>
      <c r="H2538" s="2" t="s">
        <v>694</v>
      </c>
      <c r="I2538" s="4">
        <v>0</v>
      </c>
      <c r="J2538" s="5">
        <v>710000000</v>
      </c>
      <c r="K2538" s="3" t="s">
        <v>89</v>
      </c>
      <c r="L2538" s="2" t="s">
        <v>754</v>
      </c>
      <c r="M2538" s="3" t="s">
        <v>91</v>
      </c>
      <c r="N2538" s="3" t="s">
        <v>92</v>
      </c>
      <c r="O2538" s="3" t="s">
        <v>93</v>
      </c>
      <c r="P2538" s="3" t="s">
        <v>673</v>
      </c>
      <c r="Q2538" s="3" t="s">
        <v>2458</v>
      </c>
      <c r="R2538" s="3" t="s">
        <v>2459</v>
      </c>
      <c r="S2538" s="9">
        <v>250</v>
      </c>
      <c r="T2538" s="9">
        <v>174</v>
      </c>
      <c r="U2538" s="9">
        <f t="shared" si="1734"/>
        <v>43500</v>
      </c>
      <c r="V2538" s="9">
        <f t="shared" si="1747"/>
        <v>48720.000000000007</v>
      </c>
      <c r="W2538" s="3"/>
      <c r="X2538" s="2">
        <v>2016</v>
      </c>
      <c r="Y2538" s="3"/>
    </row>
    <row r="2539" spans="1:25" s="11" customFormat="1" ht="89.25" customHeight="1" outlineLevel="1" x14ac:dyDescent="0.25">
      <c r="A2539" s="1"/>
      <c r="B2539" s="2" t="s">
        <v>6947</v>
      </c>
      <c r="C2539" s="3" t="s">
        <v>83</v>
      </c>
      <c r="D2539" s="3" t="s">
        <v>4882</v>
      </c>
      <c r="E2539" s="3" t="s">
        <v>4879</v>
      </c>
      <c r="F2539" s="3" t="s">
        <v>4883</v>
      </c>
      <c r="G2539" s="3"/>
      <c r="H2539" s="2" t="s">
        <v>694</v>
      </c>
      <c r="I2539" s="4">
        <v>0</v>
      </c>
      <c r="J2539" s="5">
        <v>710000000</v>
      </c>
      <c r="K2539" s="3" t="s">
        <v>89</v>
      </c>
      <c r="L2539" s="2" t="s">
        <v>754</v>
      </c>
      <c r="M2539" s="3" t="s">
        <v>91</v>
      </c>
      <c r="N2539" s="3" t="s">
        <v>92</v>
      </c>
      <c r="O2539" s="3" t="s">
        <v>93</v>
      </c>
      <c r="P2539" s="3" t="s">
        <v>673</v>
      </c>
      <c r="Q2539" s="3" t="s">
        <v>2458</v>
      </c>
      <c r="R2539" s="3" t="s">
        <v>2459</v>
      </c>
      <c r="S2539" s="9">
        <v>9</v>
      </c>
      <c r="T2539" s="9">
        <v>3500</v>
      </c>
      <c r="U2539" s="9">
        <f t="shared" si="1734"/>
        <v>31500</v>
      </c>
      <c r="V2539" s="9">
        <f t="shared" si="1747"/>
        <v>35280</v>
      </c>
      <c r="W2539" s="3"/>
      <c r="X2539" s="2">
        <v>2016</v>
      </c>
      <c r="Y2539" s="3"/>
    </row>
    <row r="2540" spans="1:25" s="11" customFormat="1" ht="89.25" customHeight="1" outlineLevel="1" x14ac:dyDescent="0.25">
      <c r="A2540" s="1"/>
      <c r="B2540" s="2" t="s">
        <v>6948</v>
      </c>
      <c r="C2540" s="3" t="s">
        <v>83</v>
      </c>
      <c r="D2540" s="3" t="s">
        <v>4884</v>
      </c>
      <c r="E2540" s="3" t="s">
        <v>2422</v>
      </c>
      <c r="F2540" s="3" t="s">
        <v>4885</v>
      </c>
      <c r="G2540" s="3" t="s">
        <v>4886</v>
      </c>
      <c r="H2540" s="2" t="s">
        <v>694</v>
      </c>
      <c r="I2540" s="4">
        <v>0</v>
      </c>
      <c r="J2540" s="5">
        <v>710000000</v>
      </c>
      <c r="K2540" s="3" t="s">
        <v>89</v>
      </c>
      <c r="L2540" s="2" t="s">
        <v>754</v>
      </c>
      <c r="M2540" s="3" t="s">
        <v>91</v>
      </c>
      <c r="N2540" s="3" t="s">
        <v>92</v>
      </c>
      <c r="O2540" s="3" t="s">
        <v>93</v>
      </c>
      <c r="P2540" s="3" t="s">
        <v>673</v>
      </c>
      <c r="Q2540" s="3">
        <v>796</v>
      </c>
      <c r="R2540" s="3" t="s">
        <v>118</v>
      </c>
      <c r="S2540" s="9">
        <v>251</v>
      </c>
      <c r="T2540" s="9">
        <v>219</v>
      </c>
      <c r="U2540" s="9">
        <f t="shared" si="1734"/>
        <v>54969</v>
      </c>
      <c r="V2540" s="9">
        <f t="shared" si="1747"/>
        <v>61565.280000000006</v>
      </c>
      <c r="W2540" s="3"/>
      <c r="X2540" s="2">
        <v>2016</v>
      </c>
      <c r="Y2540" s="3"/>
    </row>
    <row r="2541" spans="1:25" s="11" customFormat="1" ht="89.25" customHeight="1" outlineLevel="1" x14ac:dyDescent="0.25">
      <c r="A2541" s="1"/>
      <c r="B2541" s="2" t="s">
        <v>6949</v>
      </c>
      <c r="C2541" s="3" t="s">
        <v>83</v>
      </c>
      <c r="D2541" s="3" t="s">
        <v>4887</v>
      </c>
      <c r="E2541" s="3" t="s">
        <v>4888</v>
      </c>
      <c r="F2541" s="3" t="s">
        <v>4889</v>
      </c>
      <c r="G2541" s="3" t="s">
        <v>4890</v>
      </c>
      <c r="H2541" s="2" t="s">
        <v>694</v>
      </c>
      <c r="I2541" s="4">
        <v>0</v>
      </c>
      <c r="J2541" s="5">
        <v>710000000</v>
      </c>
      <c r="K2541" s="3" t="s">
        <v>89</v>
      </c>
      <c r="L2541" s="2" t="s">
        <v>754</v>
      </c>
      <c r="M2541" s="3" t="s">
        <v>91</v>
      </c>
      <c r="N2541" s="3" t="s">
        <v>92</v>
      </c>
      <c r="O2541" s="3" t="s">
        <v>93</v>
      </c>
      <c r="P2541" s="3" t="s">
        <v>673</v>
      </c>
      <c r="Q2541" s="3">
        <v>796</v>
      </c>
      <c r="R2541" s="3" t="s">
        <v>118</v>
      </c>
      <c r="S2541" s="9">
        <v>50</v>
      </c>
      <c r="T2541" s="9">
        <v>611</v>
      </c>
      <c r="U2541" s="9">
        <f t="shared" si="1734"/>
        <v>30550</v>
      </c>
      <c r="V2541" s="9">
        <f t="shared" si="1747"/>
        <v>34216</v>
      </c>
      <c r="W2541" s="3"/>
      <c r="X2541" s="2">
        <v>2016</v>
      </c>
      <c r="Y2541" s="3"/>
    </row>
    <row r="2542" spans="1:25" s="11" customFormat="1" ht="89.25" customHeight="1" outlineLevel="1" x14ac:dyDescent="0.25">
      <c r="A2542" s="1"/>
      <c r="B2542" s="2" t="s">
        <v>6950</v>
      </c>
      <c r="C2542" s="3" t="s">
        <v>83</v>
      </c>
      <c r="D2542" s="3" t="s">
        <v>4891</v>
      </c>
      <c r="E2542" s="3" t="s">
        <v>3610</v>
      </c>
      <c r="F2542" s="3" t="s">
        <v>4892</v>
      </c>
      <c r="G2542" s="3" t="s">
        <v>4893</v>
      </c>
      <c r="H2542" s="2" t="s">
        <v>694</v>
      </c>
      <c r="I2542" s="4">
        <v>0</v>
      </c>
      <c r="J2542" s="5">
        <v>710000000</v>
      </c>
      <c r="K2542" s="3" t="s">
        <v>89</v>
      </c>
      <c r="L2542" s="2" t="s">
        <v>754</v>
      </c>
      <c r="M2542" s="3" t="s">
        <v>91</v>
      </c>
      <c r="N2542" s="3" t="s">
        <v>92</v>
      </c>
      <c r="O2542" s="3" t="s">
        <v>93</v>
      </c>
      <c r="P2542" s="3" t="s">
        <v>673</v>
      </c>
      <c r="Q2542" s="3">
        <v>796</v>
      </c>
      <c r="R2542" s="3" t="s">
        <v>118</v>
      </c>
      <c r="S2542" s="9">
        <v>30</v>
      </c>
      <c r="T2542" s="9">
        <v>320</v>
      </c>
      <c r="U2542" s="9">
        <f t="shared" si="1734"/>
        <v>9600</v>
      </c>
      <c r="V2542" s="9">
        <f t="shared" si="1747"/>
        <v>10752.000000000002</v>
      </c>
      <c r="W2542" s="3"/>
      <c r="X2542" s="2">
        <v>2016</v>
      </c>
      <c r="Y2542" s="3"/>
    </row>
    <row r="2543" spans="1:25" s="11" customFormat="1" ht="89.25" customHeight="1" outlineLevel="1" x14ac:dyDescent="0.25">
      <c r="A2543" s="1"/>
      <c r="B2543" s="2" t="s">
        <v>6951</v>
      </c>
      <c r="C2543" s="3" t="s">
        <v>83</v>
      </c>
      <c r="D2543" s="3" t="s">
        <v>4894</v>
      </c>
      <c r="E2543" s="3" t="s">
        <v>4895</v>
      </c>
      <c r="F2543" s="3" t="s">
        <v>4896</v>
      </c>
      <c r="G2543" s="3" t="s">
        <v>4897</v>
      </c>
      <c r="H2543" s="2" t="s">
        <v>694</v>
      </c>
      <c r="I2543" s="4">
        <v>0</v>
      </c>
      <c r="J2543" s="5">
        <v>710000000</v>
      </c>
      <c r="K2543" s="3" t="s">
        <v>89</v>
      </c>
      <c r="L2543" s="2" t="s">
        <v>754</v>
      </c>
      <c r="M2543" s="3" t="s">
        <v>91</v>
      </c>
      <c r="N2543" s="3" t="s">
        <v>92</v>
      </c>
      <c r="O2543" s="3" t="s">
        <v>93</v>
      </c>
      <c r="P2543" s="3" t="s">
        <v>673</v>
      </c>
      <c r="Q2543" s="3">
        <v>872</v>
      </c>
      <c r="R2543" s="3" t="s">
        <v>3384</v>
      </c>
      <c r="S2543" s="9">
        <v>6</v>
      </c>
      <c r="T2543" s="9">
        <v>446</v>
      </c>
      <c r="U2543" s="9">
        <f t="shared" si="1734"/>
        <v>2676</v>
      </c>
      <c r="V2543" s="9">
        <f t="shared" si="1747"/>
        <v>2997.1200000000003</v>
      </c>
      <c r="W2543" s="3"/>
      <c r="X2543" s="2">
        <v>2016</v>
      </c>
      <c r="Y2543" s="3"/>
    </row>
    <row r="2544" spans="1:25" s="11" customFormat="1" ht="89.25" customHeight="1" outlineLevel="1" x14ac:dyDescent="0.25">
      <c r="A2544" s="1"/>
      <c r="B2544" s="2" t="s">
        <v>6952</v>
      </c>
      <c r="C2544" s="3" t="s">
        <v>83</v>
      </c>
      <c r="D2544" s="3" t="s">
        <v>3641</v>
      </c>
      <c r="E2544" s="3" t="s">
        <v>3642</v>
      </c>
      <c r="F2544" s="3" t="s">
        <v>3643</v>
      </c>
      <c r="G2544" s="3" t="s">
        <v>4898</v>
      </c>
      <c r="H2544" s="2" t="s">
        <v>694</v>
      </c>
      <c r="I2544" s="4">
        <v>0</v>
      </c>
      <c r="J2544" s="5">
        <v>710000000</v>
      </c>
      <c r="K2544" s="3" t="s">
        <v>89</v>
      </c>
      <c r="L2544" s="2" t="s">
        <v>754</v>
      </c>
      <c r="M2544" s="3" t="s">
        <v>91</v>
      </c>
      <c r="N2544" s="3" t="s">
        <v>92</v>
      </c>
      <c r="O2544" s="3" t="s">
        <v>93</v>
      </c>
      <c r="P2544" s="3" t="s">
        <v>673</v>
      </c>
      <c r="Q2544" s="3" t="s">
        <v>2458</v>
      </c>
      <c r="R2544" s="3" t="s">
        <v>2459</v>
      </c>
      <c r="S2544" s="9">
        <v>28</v>
      </c>
      <c r="T2544" s="9">
        <v>4196</v>
      </c>
      <c r="U2544" s="9">
        <f t="shared" si="1734"/>
        <v>117488</v>
      </c>
      <c r="V2544" s="9">
        <f t="shared" si="1747"/>
        <v>131586.56000000003</v>
      </c>
      <c r="W2544" s="3"/>
      <c r="X2544" s="2">
        <v>2016</v>
      </c>
      <c r="Y2544" s="3"/>
    </row>
    <row r="2545" spans="1:25" s="11" customFormat="1" ht="89.25" customHeight="1" outlineLevel="1" x14ac:dyDescent="0.25">
      <c r="A2545" s="1"/>
      <c r="B2545" s="2" t="s">
        <v>6953</v>
      </c>
      <c r="C2545" s="3" t="s">
        <v>83</v>
      </c>
      <c r="D2545" s="3" t="s">
        <v>4899</v>
      </c>
      <c r="E2545" s="3" t="s">
        <v>4900</v>
      </c>
      <c r="F2545" s="3" t="s">
        <v>4901</v>
      </c>
      <c r="G2545" s="3"/>
      <c r="H2545" s="2" t="s">
        <v>694</v>
      </c>
      <c r="I2545" s="4">
        <v>0</v>
      </c>
      <c r="J2545" s="5">
        <v>710000000</v>
      </c>
      <c r="K2545" s="3" t="s">
        <v>89</v>
      </c>
      <c r="L2545" s="2" t="s">
        <v>754</v>
      </c>
      <c r="M2545" s="3" t="s">
        <v>91</v>
      </c>
      <c r="N2545" s="3" t="s">
        <v>92</v>
      </c>
      <c r="O2545" s="3" t="s">
        <v>93</v>
      </c>
      <c r="P2545" s="3" t="s">
        <v>673</v>
      </c>
      <c r="Q2545" s="3" t="s">
        <v>2458</v>
      </c>
      <c r="R2545" s="3" t="s">
        <v>2459</v>
      </c>
      <c r="S2545" s="9">
        <v>20</v>
      </c>
      <c r="T2545" s="9">
        <v>567</v>
      </c>
      <c r="U2545" s="9">
        <f t="shared" si="1734"/>
        <v>11340</v>
      </c>
      <c r="V2545" s="9">
        <f t="shared" si="1747"/>
        <v>12700.800000000001</v>
      </c>
      <c r="W2545" s="3"/>
      <c r="X2545" s="2">
        <v>2016</v>
      </c>
      <c r="Y2545" s="3"/>
    </row>
    <row r="2546" spans="1:25" s="11" customFormat="1" ht="89.25" customHeight="1" outlineLevel="1" x14ac:dyDescent="0.25">
      <c r="A2546" s="1"/>
      <c r="B2546" s="2" t="s">
        <v>6954</v>
      </c>
      <c r="C2546" s="3" t="s">
        <v>83</v>
      </c>
      <c r="D2546" s="3" t="s">
        <v>4902</v>
      </c>
      <c r="E2546" s="3" t="s">
        <v>4903</v>
      </c>
      <c r="F2546" s="3" t="s">
        <v>4904</v>
      </c>
      <c r="G2546" s="3" t="s">
        <v>4905</v>
      </c>
      <c r="H2546" s="2" t="s">
        <v>694</v>
      </c>
      <c r="I2546" s="4">
        <v>0</v>
      </c>
      <c r="J2546" s="5">
        <v>710000000</v>
      </c>
      <c r="K2546" s="3" t="s">
        <v>89</v>
      </c>
      <c r="L2546" s="2" t="s">
        <v>754</v>
      </c>
      <c r="M2546" s="3" t="s">
        <v>91</v>
      </c>
      <c r="N2546" s="3" t="s">
        <v>92</v>
      </c>
      <c r="O2546" s="3" t="s">
        <v>93</v>
      </c>
      <c r="P2546" s="3" t="s">
        <v>673</v>
      </c>
      <c r="Q2546" s="3">
        <v>796</v>
      </c>
      <c r="R2546" s="3" t="s">
        <v>118</v>
      </c>
      <c r="S2546" s="9">
        <v>10</v>
      </c>
      <c r="T2546" s="9">
        <v>246</v>
      </c>
      <c r="U2546" s="9">
        <f t="shared" si="1734"/>
        <v>2460</v>
      </c>
      <c r="V2546" s="9">
        <f t="shared" si="1747"/>
        <v>2755.2000000000003</v>
      </c>
      <c r="W2546" s="3"/>
      <c r="X2546" s="2">
        <v>2016</v>
      </c>
      <c r="Y2546" s="3"/>
    </row>
    <row r="2547" spans="1:25" s="11" customFormat="1" ht="89.25" customHeight="1" outlineLevel="1" x14ac:dyDescent="0.25">
      <c r="A2547" s="1"/>
      <c r="B2547" s="2" t="s">
        <v>6955</v>
      </c>
      <c r="C2547" s="3" t="s">
        <v>83</v>
      </c>
      <c r="D2547" s="3" t="s">
        <v>4906</v>
      </c>
      <c r="E2547" s="3" t="s">
        <v>4907</v>
      </c>
      <c r="F2547" s="3" t="s">
        <v>4908</v>
      </c>
      <c r="G2547" s="3" t="s">
        <v>4909</v>
      </c>
      <c r="H2547" s="2" t="s">
        <v>694</v>
      </c>
      <c r="I2547" s="4">
        <v>0</v>
      </c>
      <c r="J2547" s="5">
        <v>710000000</v>
      </c>
      <c r="K2547" s="3" t="s">
        <v>89</v>
      </c>
      <c r="L2547" s="2" t="s">
        <v>754</v>
      </c>
      <c r="M2547" s="3" t="s">
        <v>91</v>
      </c>
      <c r="N2547" s="3" t="s">
        <v>92</v>
      </c>
      <c r="O2547" s="3" t="s">
        <v>93</v>
      </c>
      <c r="P2547" s="3" t="s">
        <v>673</v>
      </c>
      <c r="Q2547" s="3">
        <v>796</v>
      </c>
      <c r="R2547" s="3" t="s">
        <v>118</v>
      </c>
      <c r="S2547" s="9">
        <v>10</v>
      </c>
      <c r="T2547" s="9">
        <v>455</v>
      </c>
      <c r="U2547" s="9">
        <f t="shared" si="1734"/>
        <v>4550</v>
      </c>
      <c r="V2547" s="9">
        <f t="shared" si="1747"/>
        <v>5096.0000000000009</v>
      </c>
      <c r="W2547" s="3"/>
      <c r="X2547" s="2">
        <v>2016</v>
      </c>
      <c r="Y2547" s="3"/>
    </row>
    <row r="2548" spans="1:25" s="11" customFormat="1" ht="89.25" customHeight="1" outlineLevel="1" x14ac:dyDescent="0.25">
      <c r="A2548" s="1"/>
      <c r="B2548" s="2" t="s">
        <v>6956</v>
      </c>
      <c r="C2548" s="3" t="s">
        <v>83</v>
      </c>
      <c r="D2548" s="3" t="s">
        <v>4910</v>
      </c>
      <c r="E2548" s="3" t="s">
        <v>858</v>
      </c>
      <c r="F2548" s="3" t="s">
        <v>4911</v>
      </c>
      <c r="G2548" s="3" t="s">
        <v>4912</v>
      </c>
      <c r="H2548" s="2" t="s">
        <v>694</v>
      </c>
      <c r="I2548" s="4">
        <v>0</v>
      </c>
      <c r="J2548" s="5">
        <v>710000000</v>
      </c>
      <c r="K2548" s="3" t="s">
        <v>89</v>
      </c>
      <c r="L2548" s="2" t="s">
        <v>754</v>
      </c>
      <c r="M2548" s="3" t="s">
        <v>91</v>
      </c>
      <c r="N2548" s="3" t="s">
        <v>92</v>
      </c>
      <c r="O2548" s="3" t="s">
        <v>93</v>
      </c>
      <c r="P2548" s="3" t="s">
        <v>673</v>
      </c>
      <c r="Q2548" s="3">
        <v>796</v>
      </c>
      <c r="R2548" s="3" t="s">
        <v>118</v>
      </c>
      <c r="S2548" s="9">
        <v>4</v>
      </c>
      <c r="T2548" s="9">
        <v>188</v>
      </c>
      <c r="U2548" s="9">
        <f t="shared" si="1734"/>
        <v>752</v>
      </c>
      <c r="V2548" s="9">
        <f t="shared" si="1747"/>
        <v>842.24000000000012</v>
      </c>
      <c r="W2548" s="3"/>
      <c r="X2548" s="2">
        <v>2016</v>
      </c>
      <c r="Y2548" s="3"/>
    </row>
    <row r="2549" spans="1:25" s="11" customFormat="1" ht="89.25" customHeight="1" outlineLevel="1" x14ac:dyDescent="0.25">
      <c r="A2549" s="1"/>
      <c r="B2549" s="2" t="s">
        <v>6957</v>
      </c>
      <c r="C2549" s="3" t="s">
        <v>83</v>
      </c>
      <c r="D2549" s="3" t="s">
        <v>4913</v>
      </c>
      <c r="E2549" s="3" t="s">
        <v>4914</v>
      </c>
      <c r="F2549" s="3" t="s">
        <v>4915</v>
      </c>
      <c r="G2549" s="3" t="s">
        <v>4916</v>
      </c>
      <c r="H2549" s="2" t="s">
        <v>694</v>
      </c>
      <c r="I2549" s="4">
        <v>0</v>
      </c>
      <c r="J2549" s="5">
        <v>710000000</v>
      </c>
      <c r="K2549" s="3" t="s">
        <v>89</v>
      </c>
      <c r="L2549" s="2" t="s">
        <v>754</v>
      </c>
      <c r="M2549" s="3" t="s">
        <v>91</v>
      </c>
      <c r="N2549" s="3" t="s">
        <v>92</v>
      </c>
      <c r="O2549" s="3" t="s">
        <v>93</v>
      </c>
      <c r="P2549" s="3" t="s">
        <v>673</v>
      </c>
      <c r="Q2549" s="3">
        <v>704</v>
      </c>
      <c r="R2549" s="3" t="s">
        <v>2605</v>
      </c>
      <c r="S2549" s="9">
        <v>10</v>
      </c>
      <c r="T2549" s="9">
        <v>2679</v>
      </c>
      <c r="U2549" s="9">
        <f t="shared" si="1734"/>
        <v>26790</v>
      </c>
      <c r="V2549" s="9">
        <f t="shared" si="1747"/>
        <v>30004.800000000003</v>
      </c>
      <c r="W2549" s="3"/>
      <c r="X2549" s="2">
        <v>2016</v>
      </c>
      <c r="Y2549" s="3"/>
    </row>
    <row r="2550" spans="1:25" s="11" customFormat="1" ht="89.25" customHeight="1" outlineLevel="1" x14ac:dyDescent="0.2">
      <c r="A2550" s="25"/>
      <c r="B2550" s="2" t="s">
        <v>6958</v>
      </c>
      <c r="C2550" s="3" t="s">
        <v>83</v>
      </c>
      <c r="D2550" s="3" t="s">
        <v>2518</v>
      </c>
      <c r="E2550" s="3" t="s">
        <v>2519</v>
      </c>
      <c r="F2550" s="3" t="s">
        <v>2520</v>
      </c>
      <c r="G2550" s="3" t="s">
        <v>4917</v>
      </c>
      <c r="H2550" s="2" t="s">
        <v>694</v>
      </c>
      <c r="I2550" s="4">
        <v>0</v>
      </c>
      <c r="J2550" s="5">
        <v>710000000</v>
      </c>
      <c r="K2550" s="3" t="s">
        <v>89</v>
      </c>
      <c r="L2550" s="2" t="s">
        <v>754</v>
      </c>
      <c r="M2550" s="3" t="s">
        <v>91</v>
      </c>
      <c r="N2550" s="3" t="s">
        <v>92</v>
      </c>
      <c r="O2550" s="3" t="s">
        <v>93</v>
      </c>
      <c r="P2550" s="3" t="s">
        <v>673</v>
      </c>
      <c r="Q2550" s="3">
        <v>796</v>
      </c>
      <c r="R2550" s="3" t="s">
        <v>118</v>
      </c>
      <c r="S2550" s="9">
        <v>2</v>
      </c>
      <c r="T2550" s="9">
        <v>6993</v>
      </c>
      <c r="U2550" s="9">
        <v>0</v>
      </c>
      <c r="V2550" s="9">
        <f t="shared" si="1747"/>
        <v>0</v>
      </c>
      <c r="W2550" s="3"/>
      <c r="X2550" s="2">
        <v>2016</v>
      </c>
      <c r="Y2550" s="3" t="s">
        <v>7460</v>
      </c>
    </row>
    <row r="2551" spans="1:25" s="11" customFormat="1" ht="89.25" customHeight="1" outlineLevel="1" x14ac:dyDescent="0.2">
      <c r="A2551" s="25"/>
      <c r="B2551" s="2" t="s">
        <v>6959</v>
      </c>
      <c r="C2551" s="3" t="s">
        <v>83</v>
      </c>
      <c r="D2551" s="3" t="s">
        <v>3496</v>
      </c>
      <c r="E2551" s="3" t="s">
        <v>2660</v>
      </c>
      <c r="F2551" s="3" t="s">
        <v>3497</v>
      </c>
      <c r="G2551" s="19"/>
      <c r="H2551" s="2" t="s">
        <v>765</v>
      </c>
      <c r="I2551" s="4">
        <v>0.4</v>
      </c>
      <c r="J2551" s="5">
        <v>710000000</v>
      </c>
      <c r="K2551" s="5" t="s">
        <v>89</v>
      </c>
      <c r="L2551" s="2" t="s">
        <v>754</v>
      </c>
      <c r="M2551" s="6" t="s">
        <v>787</v>
      </c>
      <c r="N2551" s="7" t="s">
        <v>92</v>
      </c>
      <c r="O2551" s="7" t="s">
        <v>93</v>
      </c>
      <c r="P2551" s="3" t="s">
        <v>94</v>
      </c>
      <c r="Q2551" s="8" t="s">
        <v>228</v>
      </c>
      <c r="R2551" s="7" t="s">
        <v>229</v>
      </c>
      <c r="S2551" s="9">
        <v>2253</v>
      </c>
      <c r="T2551" s="9">
        <v>721</v>
      </c>
      <c r="U2551" s="9">
        <v>0</v>
      </c>
      <c r="V2551" s="9">
        <f t="shared" si="1747"/>
        <v>0</v>
      </c>
      <c r="W2551" s="7" t="s">
        <v>97</v>
      </c>
      <c r="X2551" s="2">
        <v>2016</v>
      </c>
      <c r="Y2551" s="2" t="s">
        <v>7793</v>
      </c>
    </row>
    <row r="2552" spans="1:25" s="11" customFormat="1" ht="89.25" customHeight="1" outlineLevel="1" x14ac:dyDescent="0.25">
      <c r="A2552" s="16"/>
      <c r="B2552" s="2" t="s">
        <v>7792</v>
      </c>
      <c r="C2552" s="3" t="s">
        <v>83</v>
      </c>
      <c r="D2552" s="3" t="s">
        <v>3496</v>
      </c>
      <c r="E2552" s="3" t="s">
        <v>2660</v>
      </c>
      <c r="F2552" s="3" t="s">
        <v>3497</v>
      </c>
      <c r="G2552" s="19"/>
      <c r="H2552" s="2" t="s">
        <v>765</v>
      </c>
      <c r="I2552" s="4">
        <v>0</v>
      </c>
      <c r="J2552" s="5">
        <v>710000000</v>
      </c>
      <c r="K2552" s="5" t="s">
        <v>89</v>
      </c>
      <c r="L2552" s="2" t="s">
        <v>754</v>
      </c>
      <c r="M2552" s="6" t="s">
        <v>787</v>
      </c>
      <c r="N2552" s="7" t="s">
        <v>92</v>
      </c>
      <c r="O2552" s="7" t="s">
        <v>93</v>
      </c>
      <c r="P2552" s="3" t="s">
        <v>673</v>
      </c>
      <c r="Q2552" s="8" t="s">
        <v>228</v>
      </c>
      <c r="R2552" s="7" t="s">
        <v>229</v>
      </c>
      <c r="S2552" s="9">
        <v>2253</v>
      </c>
      <c r="T2552" s="9">
        <v>721</v>
      </c>
      <c r="U2552" s="9">
        <v>0</v>
      </c>
      <c r="V2552" s="9">
        <f t="shared" ref="V2552" si="1766">U2552*1.12</f>
        <v>0</v>
      </c>
      <c r="W2552" s="7"/>
      <c r="X2552" s="2">
        <v>2016</v>
      </c>
      <c r="Y2552" s="2" t="s">
        <v>2339</v>
      </c>
    </row>
    <row r="2553" spans="1:25" s="11" customFormat="1" ht="89.25" customHeight="1" outlineLevel="1" x14ac:dyDescent="0.25">
      <c r="A2553" s="16"/>
      <c r="B2553" s="2" t="s">
        <v>8729</v>
      </c>
      <c r="C2553" s="3" t="s">
        <v>83</v>
      </c>
      <c r="D2553" s="3" t="s">
        <v>3496</v>
      </c>
      <c r="E2553" s="3" t="s">
        <v>2660</v>
      </c>
      <c r="F2553" s="3" t="s">
        <v>3497</v>
      </c>
      <c r="G2553" s="19"/>
      <c r="H2553" s="2" t="s">
        <v>765</v>
      </c>
      <c r="I2553" s="4">
        <v>0</v>
      </c>
      <c r="J2553" s="5">
        <v>710000000</v>
      </c>
      <c r="K2553" s="5" t="s">
        <v>89</v>
      </c>
      <c r="L2553" s="5" t="s">
        <v>8491</v>
      </c>
      <c r="M2553" s="6" t="s">
        <v>787</v>
      </c>
      <c r="N2553" s="7" t="s">
        <v>92</v>
      </c>
      <c r="O2553" s="7" t="s">
        <v>93</v>
      </c>
      <c r="P2553" s="3" t="s">
        <v>673</v>
      </c>
      <c r="Q2553" s="8" t="s">
        <v>228</v>
      </c>
      <c r="R2553" s="7" t="s">
        <v>229</v>
      </c>
      <c r="S2553" s="9">
        <v>1885</v>
      </c>
      <c r="T2553" s="9">
        <v>861.61</v>
      </c>
      <c r="U2553" s="9">
        <f t="shared" ref="U2553" si="1767">T2553*S2553</f>
        <v>1624134.85</v>
      </c>
      <c r="V2553" s="9">
        <f t="shared" ref="V2553" si="1768">U2553*1.12</f>
        <v>1819031.0320000004</v>
      </c>
      <c r="W2553" s="7"/>
      <c r="X2553" s="2">
        <v>2016</v>
      </c>
      <c r="Y2553" s="2"/>
    </row>
    <row r="2554" spans="1:25" s="11" customFormat="1" ht="89.25" customHeight="1" outlineLevel="1" x14ac:dyDescent="0.2">
      <c r="A2554" s="57"/>
      <c r="B2554" s="2" t="s">
        <v>6960</v>
      </c>
      <c r="C2554" s="3" t="s">
        <v>83</v>
      </c>
      <c r="D2554" s="3" t="s">
        <v>3496</v>
      </c>
      <c r="E2554" s="3" t="s">
        <v>2660</v>
      </c>
      <c r="F2554" s="3" t="s">
        <v>3497</v>
      </c>
      <c r="G2554" s="3"/>
      <c r="H2554" s="2" t="s">
        <v>765</v>
      </c>
      <c r="I2554" s="4">
        <v>0.4</v>
      </c>
      <c r="J2554" s="5">
        <v>710000000</v>
      </c>
      <c r="K2554" s="5" t="s">
        <v>89</v>
      </c>
      <c r="L2554" s="2" t="s">
        <v>754</v>
      </c>
      <c r="M2554" s="6" t="s">
        <v>91</v>
      </c>
      <c r="N2554" s="7" t="s">
        <v>92</v>
      </c>
      <c r="O2554" s="7" t="s">
        <v>93</v>
      </c>
      <c r="P2554" s="3" t="s">
        <v>94</v>
      </c>
      <c r="Q2554" s="8" t="s">
        <v>228</v>
      </c>
      <c r="R2554" s="7" t="s">
        <v>229</v>
      </c>
      <c r="S2554" s="9">
        <v>66</v>
      </c>
      <c r="T2554" s="9">
        <v>721</v>
      </c>
      <c r="U2554" s="9">
        <v>0</v>
      </c>
      <c r="V2554" s="9">
        <f t="shared" si="1747"/>
        <v>0</v>
      </c>
      <c r="W2554" s="7" t="s">
        <v>97</v>
      </c>
      <c r="X2554" s="2">
        <v>2016</v>
      </c>
      <c r="Y2554" s="2" t="s">
        <v>7793</v>
      </c>
    </row>
    <row r="2555" spans="1:25" s="11" customFormat="1" ht="89.25" customHeight="1" outlineLevel="1" x14ac:dyDescent="0.25">
      <c r="A2555" s="16"/>
      <c r="B2555" s="2" t="s">
        <v>7794</v>
      </c>
      <c r="C2555" s="3" t="s">
        <v>83</v>
      </c>
      <c r="D2555" s="3" t="s">
        <v>3496</v>
      </c>
      <c r="E2555" s="3" t="s">
        <v>2660</v>
      </c>
      <c r="F2555" s="3" t="s">
        <v>3497</v>
      </c>
      <c r="G2555" s="3"/>
      <c r="H2555" s="2" t="s">
        <v>765</v>
      </c>
      <c r="I2555" s="4">
        <v>0</v>
      </c>
      <c r="J2555" s="5">
        <v>710000000</v>
      </c>
      <c r="K2555" s="5" t="s">
        <v>89</v>
      </c>
      <c r="L2555" s="2" t="s">
        <v>754</v>
      </c>
      <c r="M2555" s="6" t="s">
        <v>91</v>
      </c>
      <c r="N2555" s="7" t="s">
        <v>92</v>
      </c>
      <c r="O2555" s="7" t="s">
        <v>93</v>
      </c>
      <c r="P2555" s="3" t="s">
        <v>673</v>
      </c>
      <c r="Q2555" s="8" t="s">
        <v>228</v>
      </c>
      <c r="R2555" s="7" t="s">
        <v>229</v>
      </c>
      <c r="S2555" s="9">
        <v>66</v>
      </c>
      <c r="T2555" s="9">
        <v>721</v>
      </c>
      <c r="U2555" s="9">
        <v>0</v>
      </c>
      <c r="V2555" s="9">
        <f t="shared" ref="V2555" si="1769">U2555*1.12</f>
        <v>0</v>
      </c>
      <c r="W2555" s="7"/>
      <c r="X2555" s="2">
        <v>2016</v>
      </c>
      <c r="Y2555" s="2" t="s">
        <v>2339</v>
      </c>
    </row>
    <row r="2556" spans="1:25" s="11" customFormat="1" ht="89.25" customHeight="1" outlineLevel="1" x14ac:dyDescent="0.25">
      <c r="A2556" s="16"/>
      <c r="B2556" s="2" t="s">
        <v>8730</v>
      </c>
      <c r="C2556" s="3" t="s">
        <v>83</v>
      </c>
      <c r="D2556" s="3" t="s">
        <v>3496</v>
      </c>
      <c r="E2556" s="3" t="s">
        <v>2660</v>
      </c>
      <c r="F2556" s="3" t="s">
        <v>3497</v>
      </c>
      <c r="G2556" s="3"/>
      <c r="H2556" s="2" t="s">
        <v>765</v>
      </c>
      <c r="I2556" s="4">
        <v>0</v>
      </c>
      <c r="J2556" s="5">
        <v>710000000</v>
      </c>
      <c r="K2556" s="5" t="s">
        <v>89</v>
      </c>
      <c r="L2556" s="5" t="s">
        <v>8491</v>
      </c>
      <c r="M2556" s="6" t="s">
        <v>91</v>
      </c>
      <c r="N2556" s="7" t="s">
        <v>92</v>
      </c>
      <c r="O2556" s="7" t="s">
        <v>93</v>
      </c>
      <c r="P2556" s="3" t="s">
        <v>673</v>
      </c>
      <c r="Q2556" s="8" t="s">
        <v>228</v>
      </c>
      <c r="R2556" s="7" t="s">
        <v>229</v>
      </c>
      <c r="S2556" s="9">
        <v>55</v>
      </c>
      <c r="T2556" s="9">
        <v>861.61</v>
      </c>
      <c r="U2556" s="9">
        <f t="shared" ref="U2556" si="1770">T2556*S2556</f>
        <v>47388.55</v>
      </c>
      <c r="V2556" s="9">
        <f t="shared" ref="V2556" si="1771">U2556*1.12</f>
        <v>53075.176000000007</v>
      </c>
      <c r="W2556" s="7"/>
      <c r="X2556" s="2">
        <v>2016</v>
      </c>
      <c r="Y2556" s="2"/>
    </row>
    <row r="2557" spans="1:25" s="11" customFormat="1" ht="89.25" customHeight="1" outlineLevel="1" x14ac:dyDescent="0.2">
      <c r="A2557" s="57"/>
      <c r="B2557" s="2" t="s">
        <v>6961</v>
      </c>
      <c r="C2557" s="3" t="s">
        <v>83</v>
      </c>
      <c r="D2557" s="3" t="s">
        <v>3496</v>
      </c>
      <c r="E2557" s="3" t="s">
        <v>2660</v>
      </c>
      <c r="F2557" s="3" t="s">
        <v>3497</v>
      </c>
      <c r="G2557" s="19"/>
      <c r="H2557" s="2" t="s">
        <v>765</v>
      </c>
      <c r="I2557" s="4">
        <v>0.4</v>
      </c>
      <c r="J2557" s="5">
        <v>710000000</v>
      </c>
      <c r="K2557" s="5" t="s">
        <v>89</v>
      </c>
      <c r="L2557" s="2" t="s">
        <v>754</v>
      </c>
      <c r="M2557" s="6" t="s">
        <v>689</v>
      </c>
      <c r="N2557" s="7" t="s">
        <v>92</v>
      </c>
      <c r="O2557" s="7" t="s">
        <v>93</v>
      </c>
      <c r="P2557" s="3" t="s">
        <v>94</v>
      </c>
      <c r="Q2557" s="8" t="s">
        <v>228</v>
      </c>
      <c r="R2557" s="7" t="s">
        <v>229</v>
      </c>
      <c r="S2557" s="9">
        <v>92</v>
      </c>
      <c r="T2557" s="9">
        <v>721</v>
      </c>
      <c r="U2557" s="9">
        <v>0</v>
      </c>
      <c r="V2557" s="9">
        <f t="shared" si="1747"/>
        <v>0</v>
      </c>
      <c r="W2557" s="7" t="s">
        <v>97</v>
      </c>
      <c r="X2557" s="2">
        <v>2016</v>
      </c>
      <c r="Y2557" s="2" t="s">
        <v>7793</v>
      </c>
    </row>
    <row r="2558" spans="1:25" s="11" customFormat="1" ht="89.25" customHeight="1" outlineLevel="1" x14ac:dyDescent="0.25">
      <c r="A2558" s="16"/>
      <c r="B2558" s="2" t="s">
        <v>7795</v>
      </c>
      <c r="C2558" s="3" t="s">
        <v>83</v>
      </c>
      <c r="D2558" s="3" t="s">
        <v>3496</v>
      </c>
      <c r="E2558" s="3" t="s">
        <v>2660</v>
      </c>
      <c r="F2558" s="3" t="s">
        <v>3497</v>
      </c>
      <c r="G2558" s="19"/>
      <c r="H2558" s="2" t="s">
        <v>765</v>
      </c>
      <c r="I2558" s="4">
        <v>0</v>
      </c>
      <c r="J2558" s="5">
        <v>710000000</v>
      </c>
      <c r="K2558" s="5" t="s">
        <v>89</v>
      </c>
      <c r="L2558" s="2" t="s">
        <v>754</v>
      </c>
      <c r="M2558" s="6" t="s">
        <v>689</v>
      </c>
      <c r="N2558" s="7" t="s">
        <v>92</v>
      </c>
      <c r="O2558" s="7" t="s">
        <v>93</v>
      </c>
      <c r="P2558" s="3" t="s">
        <v>673</v>
      </c>
      <c r="Q2558" s="8" t="s">
        <v>228</v>
      </c>
      <c r="R2558" s="7" t="s">
        <v>229</v>
      </c>
      <c r="S2558" s="9">
        <v>92</v>
      </c>
      <c r="T2558" s="9">
        <v>721</v>
      </c>
      <c r="U2558" s="9">
        <v>0</v>
      </c>
      <c r="V2558" s="9">
        <f t="shared" ref="V2558" si="1772">U2558*1.12</f>
        <v>0</v>
      </c>
      <c r="W2558" s="7"/>
      <c r="X2558" s="2">
        <v>2016</v>
      </c>
      <c r="Y2558" s="2" t="s">
        <v>2339</v>
      </c>
    </row>
    <row r="2559" spans="1:25" s="11" customFormat="1" ht="89.25" customHeight="1" outlineLevel="1" x14ac:dyDescent="0.25">
      <c r="A2559" s="16"/>
      <c r="B2559" s="2" t="s">
        <v>8731</v>
      </c>
      <c r="C2559" s="3" t="s">
        <v>83</v>
      </c>
      <c r="D2559" s="3" t="s">
        <v>3496</v>
      </c>
      <c r="E2559" s="3" t="s">
        <v>2660</v>
      </c>
      <c r="F2559" s="3" t="s">
        <v>3497</v>
      </c>
      <c r="G2559" s="19"/>
      <c r="H2559" s="2" t="s">
        <v>765</v>
      </c>
      <c r="I2559" s="4">
        <v>0</v>
      </c>
      <c r="J2559" s="5">
        <v>710000000</v>
      </c>
      <c r="K2559" s="5" t="s">
        <v>89</v>
      </c>
      <c r="L2559" s="5" t="s">
        <v>8491</v>
      </c>
      <c r="M2559" s="6" t="s">
        <v>689</v>
      </c>
      <c r="N2559" s="7" t="s">
        <v>92</v>
      </c>
      <c r="O2559" s="7" t="s">
        <v>93</v>
      </c>
      <c r="P2559" s="3" t="s">
        <v>673</v>
      </c>
      <c r="Q2559" s="8" t="s">
        <v>228</v>
      </c>
      <c r="R2559" s="7" t="s">
        <v>229</v>
      </c>
      <c r="S2559" s="9">
        <v>76</v>
      </c>
      <c r="T2559" s="9">
        <v>861.61</v>
      </c>
      <c r="U2559" s="9">
        <f t="shared" ref="U2559" si="1773">T2559*S2559</f>
        <v>65482.36</v>
      </c>
      <c r="V2559" s="9">
        <f t="shared" ref="V2559" si="1774">U2559*1.12</f>
        <v>73340.243200000012</v>
      </c>
      <c r="W2559" s="7"/>
      <c r="X2559" s="2">
        <v>2016</v>
      </c>
      <c r="Y2559" s="2"/>
    </row>
    <row r="2560" spans="1:25" s="11" customFormat="1" ht="89.25" customHeight="1" outlineLevel="1" x14ac:dyDescent="0.2">
      <c r="A2560" s="57"/>
      <c r="B2560" s="2" t="s">
        <v>6962</v>
      </c>
      <c r="C2560" s="3" t="s">
        <v>83</v>
      </c>
      <c r="D2560" s="3" t="s">
        <v>3496</v>
      </c>
      <c r="E2560" s="3" t="s">
        <v>2660</v>
      </c>
      <c r="F2560" s="3" t="s">
        <v>3497</v>
      </c>
      <c r="G2560" s="3"/>
      <c r="H2560" s="2" t="s">
        <v>765</v>
      </c>
      <c r="I2560" s="4">
        <v>0.4</v>
      </c>
      <c r="J2560" s="5">
        <v>710000000</v>
      </c>
      <c r="K2560" s="5" t="s">
        <v>89</v>
      </c>
      <c r="L2560" s="2" t="s">
        <v>754</v>
      </c>
      <c r="M2560" s="6" t="s">
        <v>682</v>
      </c>
      <c r="N2560" s="7" t="s">
        <v>92</v>
      </c>
      <c r="O2560" s="7" t="s">
        <v>93</v>
      </c>
      <c r="P2560" s="3" t="s">
        <v>94</v>
      </c>
      <c r="Q2560" s="8" t="s">
        <v>228</v>
      </c>
      <c r="R2560" s="7" t="s">
        <v>229</v>
      </c>
      <c r="S2560" s="9">
        <v>97</v>
      </c>
      <c r="T2560" s="9">
        <v>721</v>
      </c>
      <c r="U2560" s="9">
        <v>0</v>
      </c>
      <c r="V2560" s="9">
        <f t="shared" si="1747"/>
        <v>0</v>
      </c>
      <c r="W2560" s="7" t="s">
        <v>97</v>
      </c>
      <c r="X2560" s="2">
        <v>2016</v>
      </c>
      <c r="Y2560" s="58" t="s">
        <v>7793</v>
      </c>
    </row>
    <row r="2561" spans="1:25" s="11" customFormat="1" ht="89.25" customHeight="1" outlineLevel="1" x14ac:dyDescent="0.25">
      <c r="A2561" s="16"/>
      <c r="B2561" s="2" t="s">
        <v>7796</v>
      </c>
      <c r="C2561" s="3" t="s">
        <v>83</v>
      </c>
      <c r="D2561" s="3" t="s">
        <v>3496</v>
      </c>
      <c r="E2561" s="3" t="s">
        <v>2660</v>
      </c>
      <c r="F2561" s="3" t="s">
        <v>3497</v>
      </c>
      <c r="G2561" s="3"/>
      <c r="H2561" s="2" t="s">
        <v>765</v>
      </c>
      <c r="I2561" s="4">
        <v>0</v>
      </c>
      <c r="J2561" s="5">
        <v>710000000</v>
      </c>
      <c r="K2561" s="5" t="s">
        <v>89</v>
      </c>
      <c r="L2561" s="2" t="s">
        <v>754</v>
      </c>
      <c r="M2561" s="6" t="s">
        <v>682</v>
      </c>
      <c r="N2561" s="7" t="s">
        <v>92</v>
      </c>
      <c r="O2561" s="7" t="s">
        <v>93</v>
      </c>
      <c r="P2561" s="3" t="s">
        <v>673</v>
      </c>
      <c r="Q2561" s="8" t="s">
        <v>228</v>
      </c>
      <c r="R2561" s="7" t="s">
        <v>229</v>
      </c>
      <c r="S2561" s="9">
        <v>97</v>
      </c>
      <c r="T2561" s="9">
        <v>721</v>
      </c>
      <c r="U2561" s="9">
        <v>0</v>
      </c>
      <c r="V2561" s="9">
        <f t="shared" ref="V2561" si="1775">U2561*1.12</f>
        <v>0</v>
      </c>
      <c r="W2561" s="7"/>
      <c r="X2561" s="2">
        <v>2016</v>
      </c>
      <c r="Y2561" s="2" t="s">
        <v>2339</v>
      </c>
    </row>
    <row r="2562" spans="1:25" s="11" customFormat="1" ht="89.25" customHeight="1" outlineLevel="1" x14ac:dyDescent="0.25">
      <c r="A2562" s="16"/>
      <c r="B2562" s="2" t="s">
        <v>8732</v>
      </c>
      <c r="C2562" s="3" t="s">
        <v>83</v>
      </c>
      <c r="D2562" s="3" t="s">
        <v>3496</v>
      </c>
      <c r="E2562" s="3" t="s">
        <v>2660</v>
      </c>
      <c r="F2562" s="3" t="s">
        <v>3497</v>
      </c>
      <c r="G2562" s="3"/>
      <c r="H2562" s="2" t="s">
        <v>765</v>
      </c>
      <c r="I2562" s="4">
        <v>0</v>
      </c>
      <c r="J2562" s="5">
        <v>710000000</v>
      </c>
      <c r="K2562" s="5" t="s">
        <v>89</v>
      </c>
      <c r="L2562" s="5" t="s">
        <v>8491</v>
      </c>
      <c r="M2562" s="6" t="s">
        <v>682</v>
      </c>
      <c r="N2562" s="7" t="s">
        <v>92</v>
      </c>
      <c r="O2562" s="7" t="s">
        <v>93</v>
      </c>
      <c r="P2562" s="3" t="s">
        <v>673</v>
      </c>
      <c r="Q2562" s="8" t="s">
        <v>228</v>
      </c>
      <c r="R2562" s="7" t="s">
        <v>229</v>
      </c>
      <c r="S2562" s="9">
        <v>81</v>
      </c>
      <c r="T2562" s="9">
        <v>861.61</v>
      </c>
      <c r="U2562" s="9">
        <f t="shared" ref="U2562" si="1776">T2562*S2562</f>
        <v>69790.41</v>
      </c>
      <c r="V2562" s="9">
        <f t="shared" ref="V2562" si="1777">U2562*1.12</f>
        <v>78165.259200000015</v>
      </c>
      <c r="W2562" s="7"/>
      <c r="X2562" s="2">
        <v>2016</v>
      </c>
      <c r="Y2562" s="2"/>
    </row>
    <row r="2563" spans="1:25" s="11" customFormat="1" ht="89.25" customHeight="1" outlineLevel="1" x14ac:dyDescent="0.2">
      <c r="A2563" s="25"/>
      <c r="B2563" s="2" t="s">
        <v>6963</v>
      </c>
      <c r="C2563" s="3" t="s">
        <v>83</v>
      </c>
      <c r="D2563" s="3" t="s">
        <v>3496</v>
      </c>
      <c r="E2563" s="3" t="s">
        <v>2660</v>
      </c>
      <c r="F2563" s="3" t="s">
        <v>3497</v>
      </c>
      <c r="G2563" s="19"/>
      <c r="H2563" s="2" t="s">
        <v>765</v>
      </c>
      <c r="I2563" s="4">
        <v>0.4</v>
      </c>
      <c r="J2563" s="5">
        <v>710000000</v>
      </c>
      <c r="K2563" s="5" t="s">
        <v>89</v>
      </c>
      <c r="L2563" s="2" t="s">
        <v>754</v>
      </c>
      <c r="M2563" s="6" t="s">
        <v>2682</v>
      </c>
      <c r="N2563" s="7" t="s">
        <v>92</v>
      </c>
      <c r="O2563" s="7" t="s">
        <v>93</v>
      </c>
      <c r="P2563" s="3" t="s">
        <v>94</v>
      </c>
      <c r="Q2563" s="8" t="s">
        <v>228</v>
      </c>
      <c r="R2563" s="7" t="s">
        <v>229</v>
      </c>
      <c r="S2563" s="9">
        <v>22</v>
      </c>
      <c r="T2563" s="9">
        <v>721</v>
      </c>
      <c r="U2563" s="9">
        <v>0</v>
      </c>
      <c r="V2563" s="9">
        <f t="shared" si="1747"/>
        <v>0</v>
      </c>
      <c r="W2563" s="7" t="s">
        <v>97</v>
      </c>
      <c r="X2563" s="2">
        <v>2016</v>
      </c>
      <c r="Y2563" s="58" t="s">
        <v>7793</v>
      </c>
    </row>
    <row r="2564" spans="1:25" s="11" customFormat="1" ht="89.25" customHeight="1" outlineLevel="1" x14ac:dyDescent="0.25">
      <c r="A2564" s="16"/>
      <c r="B2564" s="2" t="s">
        <v>7797</v>
      </c>
      <c r="C2564" s="3" t="s">
        <v>83</v>
      </c>
      <c r="D2564" s="3" t="s">
        <v>3496</v>
      </c>
      <c r="E2564" s="3" t="s">
        <v>2660</v>
      </c>
      <c r="F2564" s="3" t="s">
        <v>3497</v>
      </c>
      <c r="G2564" s="19"/>
      <c r="H2564" s="2" t="s">
        <v>765</v>
      </c>
      <c r="I2564" s="4">
        <v>0</v>
      </c>
      <c r="J2564" s="5">
        <v>710000000</v>
      </c>
      <c r="K2564" s="5" t="s">
        <v>89</v>
      </c>
      <c r="L2564" s="2" t="s">
        <v>754</v>
      </c>
      <c r="M2564" s="6" t="s">
        <v>2682</v>
      </c>
      <c r="N2564" s="7" t="s">
        <v>92</v>
      </c>
      <c r="O2564" s="7" t="s">
        <v>93</v>
      </c>
      <c r="P2564" s="3" t="s">
        <v>673</v>
      </c>
      <c r="Q2564" s="8" t="s">
        <v>228</v>
      </c>
      <c r="R2564" s="7" t="s">
        <v>229</v>
      </c>
      <c r="S2564" s="9">
        <v>22</v>
      </c>
      <c r="T2564" s="9">
        <v>721</v>
      </c>
      <c r="U2564" s="9">
        <v>0</v>
      </c>
      <c r="V2564" s="9">
        <f t="shared" ref="V2564" si="1778">U2564*1.12</f>
        <v>0</v>
      </c>
      <c r="W2564" s="7"/>
      <c r="X2564" s="2">
        <v>2016</v>
      </c>
      <c r="Y2564" s="2" t="s">
        <v>7791</v>
      </c>
    </row>
    <row r="2565" spans="1:25" s="11" customFormat="1" ht="89.25" customHeight="1" outlineLevel="1" x14ac:dyDescent="0.25">
      <c r="A2565" s="16"/>
      <c r="B2565" s="2" t="s">
        <v>8733</v>
      </c>
      <c r="C2565" s="3" t="s">
        <v>83</v>
      </c>
      <c r="D2565" s="3" t="s">
        <v>3496</v>
      </c>
      <c r="E2565" s="3" t="s">
        <v>2660</v>
      </c>
      <c r="F2565" s="3" t="s">
        <v>3497</v>
      </c>
      <c r="G2565" s="19"/>
      <c r="H2565" s="2" t="s">
        <v>765</v>
      </c>
      <c r="I2565" s="4">
        <v>0</v>
      </c>
      <c r="J2565" s="5">
        <v>710000000</v>
      </c>
      <c r="K2565" s="5" t="s">
        <v>89</v>
      </c>
      <c r="L2565" s="5" t="s">
        <v>8491</v>
      </c>
      <c r="M2565" s="6" t="s">
        <v>2682</v>
      </c>
      <c r="N2565" s="7" t="s">
        <v>92</v>
      </c>
      <c r="O2565" s="7" t="s">
        <v>93</v>
      </c>
      <c r="P2565" s="3" t="s">
        <v>673</v>
      </c>
      <c r="Q2565" s="8" t="s">
        <v>228</v>
      </c>
      <c r="R2565" s="7" t="s">
        <v>229</v>
      </c>
      <c r="S2565" s="9">
        <v>18</v>
      </c>
      <c r="T2565" s="9">
        <v>861.61</v>
      </c>
      <c r="U2565" s="9">
        <f t="shared" ref="U2565" si="1779">T2565*S2565</f>
        <v>15508.98</v>
      </c>
      <c r="V2565" s="9">
        <f t="shared" ref="V2565" si="1780">U2565*1.12</f>
        <v>17370.0576</v>
      </c>
      <c r="W2565" s="7"/>
      <c r="X2565" s="2">
        <v>2016</v>
      </c>
      <c r="Y2565" s="2"/>
    </row>
    <row r="2566" spans="1:25" s="11" customFormat="1" ht="89.25" customHeight="1" outlineLevel="1" x14ac:dyDescent="0.25">
      <c r="A2566" s="1"/>
      <c r="B2566" s="2" t="s">
        <v>6964</v>
      </c>
      <c r="C2566" s="3" t="s">
        <v>83</v>
      </c>
      <c r="D2566" s="3" t="s">
        <v>3498</v>
      </c>
      <c r="E2566" s="3" t="s">
        <v>3499</v>
      </c>
      <c r="F2566" s="3" t="s">
        <v>3500</v>
      </c>
      <c r="G2566" s="19"/>
      <c r="H2566" s="2" t="s">
        <v>694</v>
      </c>
      <c r="I2566" s="4">
        <v>0.4</v>
      </c>
      <c r="J2566" s="5">
        <v>710000000</v>
      </c>
      <c r="K2566" s="5" t="s">
        <v>89</v>
      </c>
      <c r="L2566" s="2" t="s">
        <v>754</v>
      </c>
      <c r="M2566" s="6" t="s">
        <v>787</v>
      </c>
      <c r="N2566" s="7" t="s">
        <v>92</v>
      </c>
      <c r="O2566" s="7" t="s">
        <v>93</v>
      </c>
      <c r="P2566" s="3" t="s">
        <v>94</v>
      </c>
      <c r="Q2566" s="8">
        <v>796</v>
      </c>
      <c r="R2566" s="7" t="s">
        <v>118</v>
      </c>
      <c r="S2566" s="9">
        <v>365</v>
      </c>
      <c r="T2566" s="9">
        <v>11</v>
      </c>
      <c r="U2566" s="9">
        <f t="shared" ref="U2566:U2624" si="1781">T2566*S2566</f>
        <v>4015</v>
      </c>
      <c r="V2566" s="9">
        <f t="shared" si="1747"/>
        <v>4496.8</v>
      </c>
      <c r="W2566" s="7" t="s">
        <v>3449</v>
      </c>
      <c r="X2566" s="2">
        <v>2016</v>
      </c>
      <c r="Y2566" s="2"/>
    </row>
    <row r="2567" spans="1:25" s="11" customFormat="1" ht="89.25" customHeight="1" outlineLevel="1" x14ac:dyDescent="0.25">
      <c r="A2567" s="1"/>
      <c r="B2567" s="2" t="s">
        <v>6965</v>
      </c>
      <c r="C2567" s="3" t="s">
        <v>83</v>
      </c>
      <c r="D2567" s="3" t="s">
        <v>3501</v>
      </c>
      <c r="E2567" s="3" t="s">
        <v>3499</v>
      </c>
      <c r="F2567" s="3" t="s">
        <v>3502</v>
      </c>
      <c r="G2567" s="19"/>
      <c r="H2567" s="2" t="s">
        <v>694</v>
      </c>
      <c r="I2567" s="4">
        <v>0.4</v>
      </c>
      <c r="J2567" s="5">
        <v>710000000</v>
      </c>
      <c r="K2567" s="5" t="s">
        <v>89</v>
      </c>
      <c r="L2567" s="2" t="s">
        <v>754</v>
      </c>
      <c r="M2567" s="6" t="s">
        <v>787</v>
      </c>
      <c r="N2567" s="7" t="s">
        <v>92</v>
      </c>
      <c r="O2567" s="7" t="s">
        <v>93</v>
      </c>
      <c r="P2567" s="3" t="s">
        <v>94</v>
      </c>
      <c r="Q2567" s="8">
        <v>796</v>
      </c>
      <c r="R2567" s="7" t="s">
        <v>118</v>
      </c>
      <c r="S2567" s="9">
        <v>20</v>
      </c>
      <c r="T2567" s="9">
        <v>10</v>
      </c>
      <c r="U2567" s="9">
        <f t="shared" si="1781"/>
        <v>200</v>
      </c>
      <c r="V2567" s="9">
        <f t="shared" si="1747"/>
        <v>224.00000000000003</v>
      </c>
      <c r="W2567" s="7" t="s">
        <v>3449</v>
      </c>
      <c r="X2567" s="2">
        <v>2016</v>
      </c>
      <c r="Y2567" s="2"/>
    </row>
    <row r="2568" spans="1:25" s="11" customFormat="1" ht="89.25" customHeight="1" outlineLevel="1" x14ac:dyDescent="0.25">
      <c r="A2568" s="1"/>
      <c r="B2568" s="2" t="s">
        <v>6966</v>
      </c>
      <c r="C2568" s="3" t="s">
        <v>83</v>
      </c>
      <c r="D2568" s="3" t="s">
        <v>3503</v>
      </c>
      <c r="E2568" s="3" t="s">
        <v>3504</v>
      </c>
      <c r="F2568" s="3" t="s">
        <v>3505</v>
      </c>
      <c r="G2568" s="19" t="s">
        <v>3506</v>
      </c>
      <c r="H2568" s="2" t="s">
        <v>694</v>
      </c>
      <c r="I2568" s="4">
        <v>0.4</v>
      </c>
      <c r="J2568" s="5">
        <v>710000000</v>
      </c>
      <c r="K2568" s="5" t="s">
        <v>89</v>
      </c>
      <c r="L2568" s="2" t="s">
        <v>754</v>
      </c>
      <c r="M2568" s="6" t="s">
        <v>787</v>
      </c>
      <c r="N2568" s="7" t="s">
        <v>92</v>
      </c>
      <c r="O2568" s="7" t="s">
        <v>93</v>
      </c>
      <c r="P2568" s="3" t="s">
        <v>94</v>
      </c>
      <c r="Q2568" s="8">
        <v>796</v>
      </c>
      <c r="R2568" s="7" t="s">
        <v>118</v>
      </c>
      <c r="S2568" s="9">
        <v>905</v>
      </c>
      <c r="T2568" s="9">
        <v>22</v>
      </c>
      <c r="U2568" s="9">
        <f t="shared" si="1781"/>
        <v>19910</v>
      </c>
      <c r="V2568" s="9">
        <f t="shared" si="1747"/>
        <v>22299.200000000001</v>
      </c>
      <c r="W2568" s="7" t="s">
        <v>3449</v>
      </c>
      <c r="X2568" s="2">
        <v>2016</v>
      </c>
      <c r="Y2568" s="2"/>
    </row>
    <row r="2569" spans="1:25" s="11" customFormat="1" ht="89.25" customHeight="1" outlineLevel="1" x14ac:dyDescent="0.25">
      <c r="A2569" s="1"/>
      <c r="B2569" s="2" t="s">
        <v>6967</v>
      </c>
      <c r="C2569" s="3" t="s">
        <v>83</v>
      </c>
      <c r="D2569" s="3" t="s">
        <v>3507</v>
      </c>
      <c r="E2569" s="3" t="s">
        <v>3508</v>
      </c>
      <c r="F2569" s="3" t="s">
        <v>3509</v>
      </c>
      <c r="G2569" s="19"/>
      <c r="H2569" s="2" t="s">
        <v>694</v>
      </c>
      <c r="I2569" s="4">
        <v>0.4</v>
      </c>
      <c r="J2569" s="5">
        <v>710000000</v>
      </c>
      <c r="K2569" s="5" t="s">
        <v>89</v>
      </c>
      <c r="L2569" s="2" t="s">
        <v>754</v>
      </c>
      <c r="M2569" s="6" t="s">
        <v>787</v>
      </c>
      <c r="N2569" s="7" t="s">
        <v>92</v>
      </c>
      <c r="O2569" s="7" t="s">
        <v>93</v>
      </c>
      <c r="P2569" s="3" t="s">
        <v>94</v>
      </c>
      <c r="Q2569" s="8">
        <v>796</v>
      </c>
      <c r="R2569" s="7" t="s">
        <v>118</v>
      </c>
      <c r="S2569" s="9">
        <v>15</v>
      </c>
      <c r="T2569" s="9">
        <v>34</v>
      </c>
      <c r="U2569" s="9">
        <f t="shared" si="1781"/>
        <v>510</v>
      </c>
      <c r="V2569" s="9">
        <f t="shared" si="1747"/>
        <v>571.20000000000005</v>
      </c>
      <c r="W2569" s="7" t="s">
        <v>3449</v>
      </c>
      <c r="X2569" s="2">
        <v>2016</v>
      </c>
      <c r="Y2569" s="2"/>
    </row>
    <row r="2570" spans="1:25" s="11" customFormat="1" ht="89.25" customHeight="1" outlineLevel="1" x14ac:dyDescent="0.25">
      <c r="A2570" s="1"/>
      <c r="B2570" s="2" t="s">
        <v>6968</v>
      </c>
      <c r="C2570" s="3" t="s">
        <v>83</v>
      </c>
      <c r="D2570" s="3" t="s">
        <v>4918</v>
      </c>
      <c r="E2570" s="3" t="s">
        <v>2660</v>
      </c>
      <c r="F2570" s="3" t="s">
        <v>4919</v>
      </c>
      <c r="G2570" s="19"/>
      <c r="H2570" s="2" t="s">
        <v>694</v>
      </c>
      <c r="I2570" s="4">
        <v>0</v>
      </c>
      <c r="J2570" s="5">
        <v>710000000</v>
      </c>
      <c r="K2570" s="5" t="s">
        <v>89</v>
      </c>
      <c r="L2570" s="2" t="s">
        <v>754</v>
      </c>
      <c r="M2570" s="6" t="s">
        <v>787</v>
      </c>
      <c r="N2570" s="7" t="s">
        <v>92</v>
      </c>
      <c r="O2570" s="7" t="s">
        <v>93</v>
      </c>
      <c r="P2570" s="3" t="s">
        <v>673</v>
      </c>
      <c r="Q2570" s="8" t="s">
        <v>228</v>
      </c>
      <c r="R2570" s="7" t="s">
        <v>229</v>
      </c>
      <c r="S2570" s="9">
        <v>230</v>
      </c>
      <c r="T2570" s="9">
        <v>156</v>
      </c>
      <c r="U2570" s="9">
        <f t="shared" si="1781"/>
        <v>35880</v>
      </c>
      <c r="V2570" s="9">
        <f t="shared" si="1747"/>
        <v>40185.600000000006</v>
      </c>
      <c r="W2570" s="7"/>
      <c r="X2570" s="2">
        <v>2016</v>
      </c>
      <c r="Y2570" s="2"/>
    </row>
    <row r="2571" spans="1:25" s="11" customFormat="1" ht="89.25" customHeight="1" outlineLevel="1" x14ac:dyDescent="0.25">
      <c r="A2571" s="1"/>
      <c r="B2571" s="2" t="s">
        <v>6969</v>
      </c>
      <c r="C2571" s="3" t="s">
        <v>83</v>
      </c>
      <c r="D2571" s="3" t="s">
        <v>4920</v>
      </c>
      <c r="E2571" s="3" t="s">
        <v>4921</v>
      </c>
      <c r="F2571" s="3" t="s">
        <v>4922</v>
      </c>
      <c r="G2571" s="19" t="s">
        <v>4923</v>
      </c>
      <c r="H2571" s="2" t="s">
        <v>694</v>
      </c>
      <c r="I2571" s="4">
        <v>0</v>
      </c>
      <c r="J2571" s="5">
        <v>710000000</v>
      </c>
      <c r="K2571" s="5" t="s">
        <v>89</v>
      </c>
      <c r="L2571" s="2" t="s">
        <v>754</v>
      </c>
      <c r="M2571" s="6" t="s">
        <v>787</v>
      </c>
      <c r="N2571" s="7" t="s">
        <v>92</v>
      </c>
      <c r="O2571" s="7" t="s">
        <v>93</v>
      </c>
      <c r="P2571" s="3" t="s">
        <v>673</v>
      </c>
      <c r="Q2571" s="8">
        <v>796</v>
      </c>
      <c r="R2571" s="7" t="s">
        <v>118</v>
      </c>
      <c r="S2571" s="9">
        <v>128</v>
      </c>
      <c r="T2571" s="9">
        <v>1493</v>
      </c>
      <c r="U2571" s="9">
        <f t="shared" si="1781"/>
        <v>191104</v>
      </c>
      <c r="V2571" s="9">
        <f t="shared" si="1747"/>
        <v>214036.48000000001</v>
      </c>
      <c r="W2571" s="7"/>
      <c r="X2571" s="2">
        <v>2016</v>
      </c>
      <c r="Y2571" s="2"/>
    </row>
    <row r="2572" spans="1:25" s="11" customFormat="1" ht="89.25" customHeight="1" outlineLevel="1" x14ac:dyDescent="0.25">
      <c r="A2572" s="1"/>
      <c r="B2572" s="2" t="s">
        <v>6970</v>
      </c>
      <c r="C2572" s="3" t="s">
        <v>83</v>
      </c>
      <c r="D2572" s="3" t="s">
        <v>4924</v>
      </c>
      <c r="E2572" s="3" t="s">
        <v>4925</v>
      </c>
      <c r="F2572" s="3" t="s">
        <v>4926</v>
      </c>
      <c r="G2572" s="19" t="s">
        <v>4927</v>
      </c>
      <c r="H2572" s="2" t="s">
        <v>694</v>
      </c>
      <c r="I2572" s="4">
        <v>0</v>
      </c>
      <c r="J2572" s="5">
        <v>710000000</v>
      </c>
      <c r="K2572" s="5" t="s">
        <v>89</v>
      </c>
      <c r="L2572" s="2" t="s">
        <v>754</v>
      </c>
      <c r="M2572" s="6" t="s">
        <v>787</v>
      </c>
      <c r="N2572" s="7" t="s">
        <v>92</v>
      </c>
      <c r="O2572" s="7" t="s">
        <v>93</v>
      </c>
      <c r="P2572" s="3" t="s">
        <v>673</v>
      </c>
      <c r="Q2572" s="8">
        <v>796</v>
      </c>
      <c r="R2572" s="7" t="s">
        <v>118</v>
      </c>
      <c r="S2572" s="9">
        <v>10</v>
      </c>
      <c r="T2572" s="9">
        <v>266</v>
      </c>
      <c r="U2572" s="9">
        <f t="shared" si="1781"/>
        <v>2660</v>
      </c>
      <c r="V2572" s="9">
        <f t="shared" si="1747"/>
        <v>2979.2000000000003</v>
      </c>
      <c r="W2572" s="7"/>
      <c r="X2572" s="2">
        <v>2016</v>
      </c>
      <c r="Y2572" s="2"/>
    </row>
    <row r="2573" spans="1:25" s="11" customFormat="1" ht="89.25" customHeight="1" outlineLevel="1" x14ac:dyDescent="0.25">
      <c r="A2573" s="1"/>
      <c r="B2573" s="2" t="s">
        <v>6971</v>
      </c>
      <c r="C2573" s="3" t="s">
        <v>83</v>
      </c>
      <c r="D2573" s="3" t="s">
        <v>4928</v>
      </c>
      <c r="E2573" s="3" t="s">
        <v>4925</v>
      </c>
      <c r="F2573" s="3" t="s">
        <v>4929</v>
      </c>
      <c r="G2573" s="19" t="s">
        <v>4930</v>
      </c>
      <c r="H2573" s="2" t="s">
        <v>694</v>
      </c>
      <c r="I2573" s="4">
        <v>0</v>
      </c>
      <c r="J2573" s="5">
        <v>710000000</v>
      </c>
      <c r="K2573" s="5" t="s">
        <v>89</v>
      </c>
      <c r="L2573" s="2" t="s">
        <v>754</v>
      </c>
      <c r="M2573" s="6" t="s">
        <v>787</v>
      </c>
      <c r="N2573" s="7" t="s">
        <v>92</v>
      </c>
      <c r="O2573" s="7" t="s">
        <v>93</v>
      </c>
      <c r="P2573" s="3" t="s">
        <v>673</v>
      </c>
      <c r="Q2573" s="8">
        <v>796</v>
      </c>
      <c r="R2573" s="7" t="s">
        <v>118</v>
      </c>
      <c r="S2573" s="9">
        <f>20+7</f>
        <v>27</v>
      </c>
      <c r="T2573" s="9">
        <v>266</v>
      </c>
      <c r="U2573" s="9">
        <f t="shared" si="1781"/>
        <v>7182</v>
      </c>
      <c r="V2573" s="9">
        <f t="shared" si="1747"/>
        <v>8043.8400000000011</v>
      </c>
      <c r="W2573" s="7"/>
      <c r="X2573" s="2">
        <v>2016</v>
      </c>
      <c r="Y2573" s="2"/>
    </row>
    <row r="2574" spans="1:25" s="11" customFormat="1" ht="89.25" customHeight="1" outlineLevel="1" x14ac:dyDescent="0.25">
      <c r="A2574" s="1"/>
      <c r="B2574" s="2" t="s">
        <v>6972</v>
      </c>
      <c r="C2574" s="3" t="s">
        <v>83</v>
      </c>
      <c r="D2574" s="3" t="s">
        <v>4931</v>
      </c>
      <c r="E2574" s="3" t="s">
        <v>4932</v>
      </c>
      <c r="F2574" s="3" t="s">
        <v>4933</v>
      </c>
      <c r="G2574" s="19" t="s">
        <v>4934</v>
      </c>
      <c r="H2574" s="2" t="s">
        <v>694</v>
      </c>
      <c r="I2574" s="4">
        <v>0</v>
      </c>
      <c r="J2574" s="5">
        <v>710000000</v>
      </c>
      <c r="K2574" s="5" t="s">
        <v>89</v>
      </c>
      <c r="L2574" s="2" t="s">
        <v>754</v>
      </c>
      <c r="M2574" s="6" t="s">
        <v>787</v>
      </c>
      <c r="N2574" s="7" t="s">
        <v>92</v>
      </c>
      <c r="O2574" s="7" t="s">
        <v>93</v>
      </c>
      <c r="P2574" s="3" t="s">
        <v>673</v>
      </c>
      <c r="Q2574" s="8">
        <v>796</v>
      </c>
      <c r="R2574" s="7" t="s">
        <v>118</v>
      </c>
      <c r="S2574" s="9">
        <v>110</v>
      </c>
      <c r="T2574" s="9">
        <v>103</v>
      </c>
      <c r="U2574" s="9">
        <f t="shared" si="1781"/>
        <v>11330</v>
      </c>
      <c r="V2574" s="9">
        <f t="shared" si="1747"/>
        <v>12689.6</v>
      </c>
      <c r="W2574" s="7"/>
      <c r="X2574" s="2">
        <v>2016</v>
      </c>
      <c r="Y2574" s="2"/>
    </row>
    <row r="2575" spans="1:25" s="11" customFormat="1" ht="89.25" customHeight="1" outlineLevel="1" x14ac:dyDescent="0.25">
      <c r="A2575" s="1"/>
      <c r="B2575" s="2" t="s">
        <v>6973</v>
      </c>
      <c r="C2575" s="3" t="s">
        <v>83</v>
      </c>
      <c r="D2575" s="3" t="s">
        <v>4935</v>
      </c>
      <c r="E2575" s="3" t="s">
        <v>4932</v>
      </c>
      <c r="F2575" s="3" t="s">
        <v>4936</v>
      </c>
      <c r="G2575" s="19" t="s">
        <v>4937</v>
      </c>
      <c r="H2575" s="2" t="s">
        <v>694</v>
      </c>
      <c r="I2575" s="4">
        <v>0</v>
      </c>
      <c r="J2575" s="5">
        <v>710000000</v>
      </c>
      <c r="K2575" s="5" t="s">
        <v>89</v>
      </c>
      <c r="L2575" s="2" t="s">
        <v>754</v>
      </c>
      <c r="M2575" s="6" t="s">
        <v>787</v>
      </c>
      <c r="N2575" s="7" t="s">
        <v>92</v>
      </c>
      <c r="O2575" s="7" t="s">
        <v>93</v>
      </c>
      <c r="P2575" s="3" t="s">
        <v>673</v>
      </c>
      <c r="Q2575" s="8">
        <v>796</v>
      </c>
      <c r="R2575" s="7" t="s">
        <v>118</v>
      </c>
      <c r="S2575" s="9">
        <v>130</v>
      </c>
      <c r="T2575" s="9">
        <v>180</v>
      </c>
      <c r="U2575" s="9">
        <f t="shared" si="1781"/>
        <v>23400</v>
      </c>
      <c r="V2575" s="9">
        <f t="shared" si="1747"/>
        <v>26208.000000000004</v>
      </c>
      <c r="W2575" s="7"/>
      <c r="X2575" s="2">
        <v>2016</v>
      </c>
      <c r="Y2575" s="2"/>
    </row>
    <row r="2576" spans="1:25" s="11" customFormat="1" ht="89.25" customHeight="1" outlineLevel="1" x14ac:dyDescent="0.25">
      <c r="A2576" s="1"/>
      <c r="B2576" s="2" t="s">
        <v>6974</v>
      </c>
      <c r="C2576" s="3" t="s">
        <v>83</v>
      </c>
      <c r="D2576" s="3" t="s">
        <v>4938</v>
      </c>
      <c r="E2576" s="3" t="s">
        <v>4939</v>
      </c>
      <c r="F2576" s="3" t="s">
        <v>4940</v>
      </c>
      <c r="G2576" s="19" t="s">
        <v>4941</v>
      </c>
      <c r="H2576" s="2" t="s">
        <v>694</v>
      </c>
      <c r="I2576" s="4">
        <v>0</v>
      </c>
      <c r="J2576" s="5">
        <v>710000000</v>
      </c>
      <c r="K2576" s="5" t="s">
        <v>89</v>
      </c>
      <c r="L2576" s="2" t="s">
        <v>754</v>
      </c>
      <c r="M2576" s="6" t="s">
        <v>787</v>
      </c>
      <c r="N2576" s="7" t="s">
        <v>92</v>
      </c>
      <c r="O2576" s="7" t="s">
        <v>93</v>
      </c>
      <c r="P2576" s="3" t="s">
        <v>673</v>
      </c>
      <c r="Q2576" s="8">
        <v>796</v>
      </c>
      <c r="R2576" s="7" t="s">
        <v>118</v>
      </c>
      <c r="S2576" s="9">
        <v>12200</v>
      </c>
      <c r="T2576" s="9">
        <v>12</v>
      </c>
      <c r="U2576" s="9">
        <f t="shared" si="1781"/>
        <v>146400</v>
      </c>
      <c r="V2576" s="9">
        <f t="shared" si="1747"/>
        <v>163968.00000000003</v>
      </c>
      <c r="W2576" s="7"/>
      <c r="X2576" s="2">
        <v>2016</v>
      </c>
      <c r="Y2576" s="2"/>
    </row>
    <row r="2577" spans="1:25" s="11" customFormat="1" ht="89.25" customHeight="1" outlineLevel="1" x14ac:dyDescent="0.25">
      <c r="A2577" s="1"/>
      <c r="B2577" s="2" t="s">
        <v>6975</v>
      </c>
      <c r="C2577" s="3" t="s">
        <v>83</v>
      </c>
      <c r="D2577" s="3" t="s">
        <v>4942</v>
      </c>
      <c r="E2577" s="3" t="s">
        <v>4939</v>
      </c>
      <c r="F2577" s="3" t="s">
        <v>4943</v>
      </c>
      <c r="G2577" s="19" t="s">
        <v>4944</v>
      </c>
      <c r="H2577" s="2" t="s">
        <v>694</v>
      </c>
      <c r="I2577" s="4">
        <v>0</v>
      </c>
      <c r="J2577" s="5">
        <v>710000000</v>
      </c>
      <c r="K2577" s="5" t="s">
        <v>89</v>
      </c>
      <c r="L2577" s="2" t="s">
        <v>754</v>
      </c>
      <c r="M2577" s="6" t="s">
        <v>787</v>
      </c>
      <c r="N2577" s="7" t="s">
        <v>92</v>
      </c>
      <c r="O2577" s="7" t="s">
        <v>93</v>
      </c>
      <c r="P2577" s="3" t="s">
        <v>673</v>
      </c>
      <c r="Q2577" s="8">
        <v>796</v>
      </c>
      <c r="R2577" s="7" t="s">
        <v>118</v>
      </c>
      <c r="S2577" s="9">
        <v>204</v>
      </c>
      <c r="T2577" s="9">
        <v>36.299999999999997</v>
      </c>
      <c r="U2577" s="9">
        <f t="shared" si="1781"/>
        <v>7405.2</v>
      </c>
      <c r="V2577" s="9">
        <f t="shared" ref="V2577:V2641" si="1782">U2577*1.12</f>
        <v>8293.8240000000005</v>
      </c>
      <c r="W2577" s="7"/>
      <c r="X2577" s="2">
        <v>2016</v>
      </c>
      <c r="Y2577" s="2"/>
    </row>
    <row r="2578" spans="1:25" s="11" customFormat="1" ht="89.25" customHeight="1" outlineLevel="1" x14ac:dyDescent="0.25">
      <c r="A2578" s="1"/>
      <c r="B2578" s="2" t="s">
        <v>6976</v>
      </c>
      <c r="C2578" s="3" t="s">
        <v>83</v>
      </c>
      <c r="D2578" s="3" t="s">
        <v>4945</v>
      </c>
      <c r="E2578" s="3" t="s">
        <v>4946</v>
      </c>
      <c r="F2578" s="3" t="s">
        <v>4947</v>
      </c>
      <c r="G2578" s="19" t="s">
        <v>4948</v>
      </c>
      <c r="H2578" s="2" t="s">
        <v>694</v>
      </c>
      <c r="I2578" s="4">
        <v>0</v>
      </c>
      <c r="J2578" s="5">
        <v>710000000</v>
      </c>
      <c r="K2578" s="5" t="s">
        <v>89</v>
      </c>
      <c r="L2578" s="2" t="s">
        <v>754</v>
      </c>
      <c r="M2578" s="6" t="s">
        <v>787</v>
      </c>
      <c r="N2578" s="7" t="s">
        <v>92</v>
      </c>
      <c r="O2578" s="7" t="s">
        <v>93</v>
      </c>
      <c r="P2578" s="3" t="s">
        <v>673</v>
      </c>
      <c r="Q2578" s="8">
        <v>796</v>
      </c>
      <c r="R2578" s="7" t="s">
        <v>118</v>
      </c>
      <c r="S2578" s="9">
        <v>153</v>
      </c>
      <c r="T2578" s="9">
        <v>27</v>
      </c>
      <c r="U2578" s="9">
        <f t="shared" si="1781"/>
        <v>4131</v>
      </c>
      <c r="V2578" s="9">
        <f t="shared" si="1782"/>
        <v>4626.72</v>
      </c>
      <c r="W2578" s="7"/>
      <c r="X2578" s="2">
        <v>2016</v>
      </c>
      <c r="Y2578" s="2"/>
    </row>
    <row r="2579" spans="1:25" s="11" customFormat="1" ht="89.25" customHeight="1" outlineLevel="1" x14ac:dyDescent="0.25">
      <c r="A2579" s="1"/>
      <c r="B2579" s="2" t="s">
        <v>6977</v>
      </c>
      <c r="C2579" s="3" t="s">
        <v>83</v>
      </c>
      <c r="D2579" s="3" t="s">
        <v>4949</v>
      </c>
      <c r="E2579" s="3" t="s">
        <v>4950</v>
      </c>
      <c r="F2579" s="3" t="s">
        <v>4951</v>
      </c>
      <c r="G2579" s="19"/>
      <c r="H2579" s="2" t="s">
        <v>694</v>
      </c>
      <c r="I2579" s="4">
        <v>0</v>
      </c>
      <c r="J2579" s="5">
        <v>710000000</v>
      </c>
      <c r="K2579" s="5" t="s">
        <v>89</v>
      </c>
      <c r="L2579" s="2" t="s">
        <v>754</v>
      </c>
      <c r="M2579" s="6" t="s">
        <v>787</v>
      </c>
      <c r="N2579" s="7" t="s">
        <v>92</v>
      </c>
      <c r="O2579" s="7" t="s">
        <v>93</v>
      </c>
      <c r="P2579" s="3" t="s">
        <v>673</v>
      </c>
      <c r="Q2579" s="8">
        <v>796</v>
      </c>
      <c r="R2579" s="7" t="s">
        <v>118</v>
      </c>
      <c r="S2579" s="9">
        <v>310</v>
      </c>
      <c r="T2579" s="9">
        <v>188</v>
      </c>
      <c r="U2579" s="9">
        <f t="shared" si="1781"/>
        <v>58280</v>
      </c>
      <c r="V2579" s="9">
        <f t="shared" si="1782"/>
        <v>65273.600000000006</v>
      </c>
      <c r="W2579" s="7"/>
      <c r="X2579" s="2">
        <v>2016</v>
      </c>
      <c r="Y2579" s="2"/>
    </row>
    <row r="2580" spans="1:25" s="11" customFormat="1" ht="89.25" customHeight="1" outlineLevel="1" x14ac:dyDescent="0.25">
      <c r="A2580" s="1"/>
      <c r="B2580" s="2" t="s">
        <v>6978</v>
      </c>
      <c r="C2580" s="3" t="s">
        <v>83</v>
      </c>
      <c r="D2580" s="3" t="s">
        <v>4952</v>
      </c>
      <c r="E2580" s="3" t="s">
        <v>4950</v>
      </c>
      <c r="F2580" s="3" t="s">
        <v>4953</v>
      </c>
      <c r="G2580" s="19" t="s">
        <v>4954</v>
      </c>
      <c r="H2580" s="2" t="s">
        <v>694</v>
      </c>
      <c r="I2580" s="4">
        <v>0</v>
      </c>
      <c r="J2580" s="5">
        <v>710000000</v>
      </c>
      <c r="K2580" s="5" t="s">
        <v>89</v>
      </c>
      <c r="L2580" s="2" t="s">
        <v>754</v>
      </c>
      <c r="M2580" s="6" t="s">
        <v>787</v>
      </c>
      <c r="N2580" s="7" t="s">
        <v>92</v>
      </c>
      <c r="O2580" s="7" t="s">
        <v>93</v>
      </c>
      <c r="P2580" s="3" t="s">
        <v>673</v>
      </c>
      <c r="Q2580" s="8">
        <v>796</v>
      </c>
      <c r="R2580" s="7" t="s">
        <v>118</v>
      </c>
      <c r="S2580" s="9">
        <v>271</v>
      </c>
      <c r="T2580" s="9">
        <v>487</v>
      </c>
      <c r="U2580" s="9">
        <f t="shared" si="1781"/>
        <v>131977</v>
      </c>
      <c r="V2580" s="9">
        <f t="shared" si="1782"/>
        <v>147814.24000000002</v>
      </c>
      <c r="W2580" s="7"/>
      <c r="X2580" s="2">
        <v>2016</v>
      </c>
      <c r="Y2580" s="2"/>
    </row>
    <row r="2581" spans="1:25" s="11" customFormat="1" ht="89.25" customHeight="1" outlineLevel="1" x14ac:dyDescent="0.25">
      <c r="A2581" s="1"/>
      <c r="B2581" s="2" t="s">
        <v>6979</v>
      </c>
      <c r="C2581" s="3" t="s">
        <v>83</v>
      </c>
      <c r="D2581" s="3" t="s">
        <v>4955</v>
      </c>
      <c r="E2581" s="3" t="s">
        <v>4950</v>
      </c>
      <c r="F2581" s="3" t="s">
        <v>4956</v>
      </c>
      <c r="G2581" s="19" t="s">
        <v>4954</v>
      </c>
      <c r="H2581" s="2" t="s">
        <v>694</v>
      </c>
      <c r="I2581" s="4">
        <v>0</v>
      </c>
      <c r="J2581" s="5">
        <v>710000000</v>
      </c>
      <c r="K2581" s="5" t="s">
        <v>89</v>
      </c>
      <c r="L2581" s="2" t="s">
        <v>754</v>
      </c>
      <c r="M2581" s="6" t="s">
        <v>787</v>
      </c>
      <c r="N2581" s="7" t="s">
        <v>92</v>
      </c>
      <c r="O2581" s="7" t="s">
        <v>93</v>
      </c>
      <c r="P2581" s="3" t="s">
        <v>673</v>
      </c>
      <c r="Q2581" s="8">
        <v>796</v>
      </c>
      <c r="R2581" s="7" t="s">
        <v>118</v>
      </c>
      <c r="S2581" s="9">
        <v>326</v>
      </c>
      <c r="T2581" s="9">
        <v>862</v>
      </c>
      <c r="U2581" s="9">
        <f t="shared" si="1781"/>
        <v>281012</v>
      </c>
      <c r="V2581" s="9">
        <f t="shared" si="1782"/>
        <v>314733.44</v>
      </c>
      <c r="W2581" s="7"/>
      <c r="X2581" s="2">
        <v>2016</v>
      </c>
      <c r="Y2581" s="2"/>
    </row>
    <row r="2582" spans="1:25" s="11" customFormat="1" ht="89.25" customHeight="1" outlineLevel="1" x14ac:dyDescent="0.25">
      <c r="A2582" s="1"/>
      <c r="B2582" s="2" t="s">
        <v>6980</v>
      </c>
      <c r="C2582" s="3" t="s">
        <v>83</v>
      </c>
      <c r="D2582" s="3" t="s">
        <v>4957</v>
      </c>
      <c r="E2582" s="3" t="s">
        <v>4950</v>
      </c>
      <c r="F2582" s="3" t="s">
        <v>4958</v>
      </c>
      <c r="G2582" s="19" t="s">
        <v>4959</v>
      </c>
      <c r="H2582" s="2" t="s">
        <v>694</v>
      </c>
      <c r="I2582" s="4">
        <v>0</v>
      </c>
      <c r="J2582" s="5">
        <v>710000000</v>
      </c>
      <c r="K2582" s="5" t="s">
        <v>89</v>
      </c>
      <c r="L2582" s="2" t="s">
        <v>754</v>
      </c>
      <c r="M2582" s="6" t="s">
        <v>787</v>
      </c>
      <c r="N2582" s="7" t="s">
        <v>92</v>
      </c>
      <c r="O2582" s="7" t="s">
        <v>93</v>
      </c>
      <c r="P2582" s="3" t="s">
        <v>673</v>
      </c>
      <c r="Q2582" s="8">
        <v>796</v>
      </c>
      <c r="R2582" s="7" t="s">
        <v>118</v>
      </c>
      <c r="S2582" s="9">
        <v>325</v>
      </c>
      <c r="T2582" s="9">
        <v>30.5</v>
      </c>
      <c r="U2582" s="9">
        <f t="shared" si="1781"/>
        <v>9912.5</v>
      </c>
      <c r="V2582" s="9">
        <f t="shared" si="1782"/>
        <v>11102.000000000002</v>
      </c>
      <c r="W2582" s="7"/>
      <c r="X2582" s="2">
        <v>2016</v>
      </c>
      <c r="Y2582" s="2"/>
    </row>
    <row r="2583" spans="1:25" s="11" customFormat="1" ht="89.25" customHeight="1" outlineLevel="1" x14ac:dyDescent="0.25">
      <c r="A2583" s="1"/>
      <c r="B2583" s="2" t="s">
        <v>6981</v>
      </c>
      <c r="C2583" s="3" t="s">
        <v>83</v>
      </c>
      <c r="D2583" s="3" t="s">
        <v>4960</v>
      </c>
      <c r="E2583" s="3" t="s">
        <v>4961</v>
      </c>
      <c r="F2583" s="3" t="s">
        <v>4962</v>
      </c>
      <c r="G2583" s="19"/>
      <c r="H2583" s="2" t="s">
        <v>694</v>
      </c>
      <c r="I2583" s="4">
        <v>0</v>
      </c>
      <c r="J2583" s="5">
        <v>710000000</v>
      </c>
      <c r="K2583" s="5" t="s">
        <v>89</v>
      </c>
      <c r="L2583" s="2" t="s">
        <v>754</v>
      </c>
      <c r="M2583" s="6" t="s">
        <v>787</v>
      </c>
      <c r="N2583" s="7" t="s">
        <v>92</v>
      </c>
      <c r="O2583" s="7" t="s">
        <v>93</v>
      </c>
      <c r="P2583" s="3" t="s">
        <v>673</v>
      </c>
      <c r="Q2583" s="8">
        <v>796</v>
      </c>
      <c r="R2583" s="7" t="s">
        <v>118</v>
      </c>
      <c r="S2583" s="9">
        <v>530</v>
      </c>
      <c r="T2583" s="9">
        <v>25</v>
      </c>
      <c r="U2583" s="9">
        <f t="shared" si="1781"/>
        <v>13250</v>
      </c>
      <c r="V2583" s="9">
        <f t="shared" si="1782"/>
        <v>14840.000000000002</v>
      </c>
      <c r="W2583" s="7"/>
      <c r="X2583" s="2">
        <v>2016</v>
      </c>
      <c r="Y2583" s="2"/>
    </row>
    <row r="2584" spans="1:25" s="11" customFormat="1" ht="89.25" customHeight="1" outlineLevel="1" x14ac:dyDescent="0.25">
      <c r="A2584" s="1"/>
      <c r="B2584" s="2" t="s">
        <v>6982</v>
      </c>
      <c r="C2584" s="3" t="s">
        <v>83</v>
      </c>
      <c r="D2584" s="3" t="s">
        <v>4963</v>
      </c>
      <c r="E2584" s="3" t="s">
        <v>4961</v>
      </c>
      <c r="F2584" s="3" t="s">
        <v>4964</v>
      </c>
      <c r="G2584" s="19"/>
      <c r="H2584" s="2" t="s">
        <v>694</v>
      </c>
      <c r="I2584" s="4">
        <v>0</v>
      </c>
      <c r="J2584" s="5">
        <v>710000000</v>
      </c>
      <c r="K2584" s="5" t="s">
        <v>89</v>
      </c>
      <c r="L2584" s="2" t="s">
        <v>754</v>
      </c>
      <c r="M2584" s="6" t="s">
        <v>787</v>
      </c>
      <c r="N2584" s="7" t="s">
        <v>92</v>
      </c>
      <c r="O2584" s="7" t="s">
        <v>93</v>
      </c>
      <c r="P2584" s="3" t="s">
        <v>673</v>
      </c>
      <c r="Q2584" s="8">
        <v>796</v>
      </c>
      <c r="R2584" s="7" t="s">
        <v>118</v>
      </c>
      <c r="S2584" s="9">
        <v>400</v>
      </c>
      <c r="T2584" s="9">
        <v>51</v>
      </c>
      <c r="U2584" s="9">
        <f t="shared" si="1781"/>
        <v>20400</v>
      </c>
      <c r="V2584" s="9">
        <f t="shared" si="1782"/>
        <v>22848.000000000004</v>
      </c>
      <c r="W2584" s="7"/>
      <c r="X2584" s="2">
        <v>2016</v>
      </c>
      <c r="Y2584" s="2"/>
    </row>
    <row r="2585" spans="1:25" s="11" customFormat="1" ht="89.25" customHeight="1" outlineLevel="1" x14ac:dyDescent="0.25">
      <c r="A2585" s="1"/>
      <c r="B2585" s="2" t="s">
        <v>6983</v>
      </c>
      <c r="C2585" s="3" t="s">
        <v>83</v>
      </c>
      <c r="D2585" s="3" t="s">
        <v>4965</v>
      </c>
      <c r="E2585" s="3" t="s">
        <v>2255</v>
      </c>
      <c r="F2585" s="3" t="s">
        <v>4966</v>
      </c>
      <c r="G2585" s="19"/>
      <c r="H2585" s="2" t="s">
        <v>694</v>
      </c>
      <c r="I2585" s="4">
        <v>0</v>
      </c>
      <c r="J2585" s="5">
        <v>710000000</v>
      </c>
      <c r="K2585" s="5" t="s">
        <v>89</v>
      </c>
      <c r="L2585" s="2" t="s">
        <v>754</v>
      </c>
      <c r="M2585" s="6" t="s">
        <v>787</v>
      </c>
      <c r="N2585" s="7" t="s">
        <v>92</v>
      </c>
      <c r="O2585" s="7" t="s">
        <v>93</v>
      </c>
      <c r="P2585" s="3" t="s">
        <v>673</v>
      </c>
      <c r="Q2585" s="8">
        <v>796</v>
      </c>
      <c r="R2585" s="7" t="s">
        <v>118</v>
      </c>
      <c r="S2585" s="9">
        <v>630</v>
      </c>
      <c r="T2585" s="9">
        <v>11</v>
      </c>
      <c r="U2585" s="9">
        <f t="shared" si="1781"/>
        <v>6930</v>
      </c>
      <c r="V2585" s="9">
        <f t="shared" si="1782"/>
        <v>7761.6</v>
      </c>
      <c r="W2585" s="7"/>
      <c r="X2585" s="2">
        <v>2016</v>
      </c>
      <c r="Y2585" s="2"/>
    </row>
    <row r="2586" spans="1:25" s="11" customFormat="1" ht="89.25" customHeight="1" outlineLevel="1" x14ac:dyDescent="0.25">
      <c r="A2586" s="1"/>
      <c r="B2586" s="2" t="s">
        <v>6984</v>
      </c>
      <c r="C2586" s="3" t="s">
        <v>83</v>
      </c>
      <c r="D2586" s="3" t="s">
        <v>4967</v>
      </c>
      <c r="E2586" s="3" t="s">
        <v>2255</v>
      </c>
      <c r="F2586" s="3" t="s">
        <v>4968</v>
      </c>
      <c r="G2586" s="19"/>
      <c r="H2586" s="2" t="s">
        <v>694</v>
      </c>
      <c r="I2586" s="4">
        <v>0</v>
      </c>
      <c r="J2586" s="5">
        <v>710000000</v>
      </c>
      <c r="K2586" s="5" t="s">
        <v>89</v>
      </c>
      <c r="L2586" s="2" t="s">
        <v>754</v>
      </c>
      <c r="M2586" s="6" t="s">
        <v>787</v>
      </c>
      <c r="N2586" s="7" t="s">
        <v>92</v>
      </c>
      <c r="O2586" s="7" t="s">
        <v>93</v>
      </c>
      <c r="P2586" s="3" t="s">
        <v>673</v>
      </c>
      <c r="Q2586" s="8">
        <v>796</v>
      </c>
      <c r="R2586" s="7" t="s">
        <v>118</v>
      </c>
      <c r="S2586" s="9">
        <v>715</v>
      </c>
      <c r="T2586" s="9">
        <v>19</v>
      </c>
      <c r="U2586" s="9">
        <f t="shared" si="1781"/>
        <v>13585</v>
      </c>
      <c r="V2586" s="9">
        <f t="shared" si="1782"/>
        <v>15215.2</v>
      </c>
      <c r="W2586" s="7"/>
      <c r="X2586" s="2">
        <v>2016</v>
      </c>
      <c r="Y2586" s="2"/>
    </row>
    <row r="2587" spans="1:25" s="11" customFormat="1" ht="89.25" customHeight="1" outlineLevel="1" x14ac:dyDescent="0.25">
      <c r="A2587" s="1"/>
      <c r="B2587" s="2" t="s">
        <v>6985</v>
      </c>
      <c r="C2587" s="3" t="s">
        <v>83</v>
      </c>
      <c r="D2587" s="3" t="s">
        <v>4969</v>
      </c>
      <c r="E2587" s="3" t="s">
        <v>4101</v>
      </c>
      <c r="F2587" s="3" t="s">
        <v>4970</v>
      </c>
      <c r="G2587" s="3" t="s">
        <v>4971</v>
      </c>
      <c r="H2587" s="2" t="s">
        <v>694</v>
      </c>
      <c r="I2587" s="4">
        <v>0</v>
      </c>
      <c r="J2587" s="5">
        <v>710000000</v>
      </c>
      <c r="K2587" s="5" t="s">
        <v>89</v>
      </c>
      <c r="L2587" s="2" t="s">
        <v>754</v>
      </c>
      <c r="M2587" s="6" t="s">
        <v>787</v>
      </c>
      <c r="N2587" s="7" t="s">
        <v>92</v>
      </c>
      <c r="O2587" s="7" t="s">
        <v>93</v>
      </c>
      <c r="P2587" s="3" t="s">
        <v>673</v>
      </c>
      <c r="Q2587" s="8">
        <v>796</v>
      </c>
      <c r="R2587" s="7" t="s">
        <v>118</v>
      </c>
      <c r="S2587" s="9">
        <v>1264</v>
      </c>
      <c r="T2587" s="9">
        <v>80</v>
      </c>
      <c r="U2587" s="9">
        <f t="shared" si="1781"/>
        <v>101120</v>
      </c>
      <c r="V2587" s="9">
        <f t="shared" si="1782"/>
        <v>113254.40000000001</v>
      </c>
      <c r="W2587" s="7"/>
      <c r="X2587" s="2">
        <v>2016</v>
      </c>
      <c r="Y2587" s="2"/>
    </row>
    <row r="2588" spans="1:25" s="11" customFormat="1" ht="89.25" customHeight="1" outlineLevel="1" x14ac:dyDescent="0.25">
      <c r="A2588" s="1"/>
      <c r="B2588" s="2" t="s">
        <v>6986</v>
      </c>
      <c r="C2588" s="3" t="s">
        <v>83</v>
      </c>
      <c r="D2588" s="3" t="s">
        <v>4972</v>
      </c>
      <c r="E2588" s="3" t="s">
        <v>4101</v>
      </c>
      <c r="F2588" s="3" t="s">
        <v>4973</v>
      </c>
      <c r="G2588" s="19" t="s">
        <v>4954</v>
      </c>
      <c r="H2588" s="2" t="s">
        <v>694</v>
      </c>
      <c r="I2588" s="4">
        <v>0</v>
      </c>
      <c r="J2588" s="5">
        <v>710000000</v>
      </c>
      <c r="K2588" s="5" t="s">
        <v>89</v>
      </c>
      <c r="L2588" s="2" t="s">
        <v>754</v>
      </c>
      <c r="M2588" s="6" t="s">
        <v>787</v>
      </c>
      <c r="N2588" s="7" t="s">
        <v>92</v>
      </c>
      <c r="O2588" s="7" t="s">
        <v>93</v>
      </c>
      <c r="P2588" s="3" t="s">
        <v>673</v>
      </c>
      <c r="Q2588" s="8">
        <v>796</v>
      </c>
      <c r="R2588" s="7" t="s">
        <v>118</v>
      </c>
      <c r="S2588" s="9">
        <v>405</v>
      </c>
      <c r="T2588" s="9">
        <v>63</v>
      </c>
      <c r="U2588" s="9">
        <f t="shared" si="1781"/>
        <v>25515</v>
      </c>
      <c r="V2588" s="9">
        <f t="shared" si="1782"/>
        <v>28576.800000000003</v>
      </c>
      <c r="W2588" s="7"/>
      <c r="X2588" s="2">
        <v>2016</v>
      </c>
      <c r="Y2588" s="2"/>
    </row>
    <row r="2589" spans="1:25" s="11" customFormat="1" ht="89.25" customHeight="1" outlineLevel="1" x14ac:dyDescent="0.25">
      <c r="A2589" s="1"/>
      <c r="B2589" s="2" t="s">
        <v>6987</v>
      </c>
      <c r="C2589" s="3" t="s">
        <v>83</v>
      </c>
      <c r="D2589" s="3" t="s">
        <v>4974</v>
      </c>
      <c r="E2589" s="3" t="s">
        <v>4975</v>
      </c>
      <c r="F2589" s="3" t="s">
        <v>4976</v>
      </c>
      <c r="G2589" s="19"/>
      <c r="H2589" s="2" t="s">
        <v>694</v>
      </c>
      <c r="I2589" s="4">
        <v>0</v>
      </c>
      <c r="J2589" s="5">
        <v>710000000</v>
      </c>
      <c r="K2589" s="5" t="s">
        <v>89</v>
      </c>
      <c r="L2589" s="2" t="s">
        <v>754</v>
      </c>
      <c r="M2589" s="6" t="s">
        <v>787</v>
      </c>
      <c r="N2589" s="7" t="s">
        <v>92</v>
      </c>
      <c r="O2589" s="7" t="s">
        <v>93</v>
      </c>
      <c r="P2589" s="3" t="s">
        <v>673</v>
      </c>
      <c r="Q2589" s="8">
        <v>796</v>
      </c>
      <c r="R2589" s="7" t="s">
        <v>118</v>
      </c>
      <c r="S2589" s="9">
        <v>631</v>
      </c>
      <c r="T2589" s="9">
        <v>23</v>
      </c>
      <c r="U2589" s="9">
        <f t="shared" si="1781"/>
        <v>14513</v>
      </c>
      <c r="V2589" s="9">
        <f t="shared" si="1782"/>
        <v>16254.560000000001</v>
      </c>
      <c r="W2589" s="7"/>
      <c r="X2589" s="2">
        <v>2016</v>
      </c>
      <c r="Y2589" s="2"/>
    </row>
    <row r="2590" spans="1:25" s="11" customFormat="1" ht="89.25" customHeight="1" outlineLevel="1" x14ac:dyDescent="0.25">
      <c r="A2590" s="1"/>
      <c r="B2590" s="2" t="s">
        <v>6988</v>
      </c>
      <c r="C2590" s="3" t="s">
        <v>83</v>
      </c>
      <c r="D2590" s="3" t="s">
        <v>4977</v>
      </c>
      <c r="E2590" s="3" t="s">
        <v>4978</v>
      </c>
      <c r="F2590" s="3" t="s">
        <v>4979</v>
      </c>
      <c r="G2590" s="19"/>
      <c r="H2590" s="2" t="s">
        <v>694</v>
      </c>
      <c r="I2590" s="4">
        <v>0</v>
      </c>
      <c r="J2590" s="5">
        <v>710000000</v>
      </c>
      <c r="K2590" s="5" t="s">
        <v>89</v>
      </c>
      <c r="L2590" s="2" t="s">
        <v>754</v>
      </c>
      <c r="M2590" s="6" t="s">
        <v>787</v>
      </c>
      <c r="N2590" s="7" t="s">
        <v>92</v>
      </c>
      <c r="O2590" s="7" t="s">
        <v>93</v>
      </c>
      <c r="P2590" s="3" t="s">
        <v>673</v>
      </c>
      <c r="Q2590" s="8" t="s">
        <v>3876</v>
      </c>
      <c r="R2590" s="7" t="s">
        <v>2605</v>
      </c>
      <c r="S2590" s="9">
        <v>349</v>
      </c>
      <c r="T2590" s="9">
        <v>230</v>
      </c>
      <c r="U2590" s="9">
        <f t="shared" si="1781"/>
        <v>80270</v>
      </c>
      <c r="V2590" s="9">
        <f t="shared" si="1782"/>
        <v>89902.400000000009</v>
      </c>
      <c r="W2590" s="7"/>
      <c r="X2590" s="2">
        <v>2016</v>
      </c>
      <c r="Y2590" s="2"/>
    </row>
    <row r="2591" spans="1:25" s="11" customFormat="1" ht="89.25" customHeight="1" outlineLevel="1" x14ac:dyDescent="0.25">
      <c r="A2591" s="1"/>
      <c r="B2591" s="2" t="s">
        <v>6989</v>
      </c>
      <c r="C2591" s="3" t="s">
        <v>83</v>
      </c>
      <c r="D2591" s="3" t="s">
        <v>4980</v>
      </c>
      <c r="E2591" s="3" t="s">
        <v>3173</v>
      </c>
      <c r="F2591" s="3" t="s">
        <v>4981</v>
      </c>
      <c r="G2591" s="19"/>
      <c r="H2591" s="2" t="s">
        <v>694</v>
      </c>
      <c r="I2591" s="4">
        <v>0</v>
      </c>
      <c r="J2591" s="5">
        <v>710000000</v>
      </c>
      <c r="K2591" s="5" t="s">
        <v>89</v>
      </c>
      <c r="L2591" s="2" t="s">
        <v>754</v>
      </c>
      <c r="M2591" s="6" t="s">
        <v>787</v>
      </c>
      <c r="N2591" s="7" t="s">
        <v>92</v>
      </c>
      <c r="O2591" s="7" t="s">
        <v>93</v>
      </c>
      <c r="P2591" s="3" t="s">
        <v>673</v>
      </c>
      <c r="Q2591" s="8">
        <v>796</v>
      </c>
      <c r="R2591" s="7" t="s">
        <v>118</v>
      </c>
      <c r="S2591" s="9">
        <v>208</v>
      </c>
      <c r="T2591" s="9">
        <v>201</v>
      </c>
      <c r="U2591" s="9">
        <f t="shared" si="1781"/>
        <v>41808</v>
      </c>
      <c r="V2591" s="9">
        <f t="shared" si="1782"/>
        <v>46824.960000000006</v>
      </c>
      <c r="W2591" s="7"/>
      <c r="X2591" s="2">
        <v>2016</v>
      </c>
      <c r="Y2591" s="2"/>
    </row>
    <row r="2592" spans="1:25" s="11" customFormat="1" ht="89.25" customHeight="1" outlineLevel="1" x14ac:dyDescent="0.25">
      <c r="A2592" s="1"/>
      <c r="B2592" s="2" t="s">
        <v>6990</v>
      </c>
      <c r="C2592" s="3" t="s">
        <v>83</v>
      </c>
      <c r="D2592" s="3" t="s">
        <v>4982</v>
      </c>
      <c r="E2592" s="3" t="s">
        <v>4983</v>
      </c>
      <c r="F2592" s="3" t="s">
        <v>4984</v>
      </c>
      <c r="G2592" s="19"/>
      <c r="H2592" s="2" t="s">
        <v>694</v>
      </c>
      <c r="I2592" s="4">
        <v>0</v>
      </c>
      <c r="J2592" s="5">
        <v>710000000</v>
      </c>
      <c r="K2592" s="5" t="s">
        <v>89</v>
      </c>
      <c r="L2592" s="2" t="s">
        <v>754</v>
      </c>
      <c r="M2592" s="6" t="s">
        <v>787</v>
      </c>
      <c r="N2592" s="7" t="s">
        <v>92</v>
      </c>
      <c r="O2592" s="7" t="s">
        <v>93</v>
      </c>
      <c r="P2592" s="3" t="s">
        <v>673</v>
      </c>
      <c r="Q2592" s="8">
        <v>796</v>
      </c>
      <c r="R2592" s="7" t="s">
        <v>118</v>
      </c>
      <c r="S2592" s="9">
        <f>5+2</f>
        <v>7</v>
      </c>
      <c r="T2592" s="9">
        <v>76</v>
      </c>
      <c r="U2592" s="9">
        <f t="shared" si="1781"/>
        <v>532</v>
      </c>
      <c r="V2592" s="9">
        <f t="shared" si="1782"/>
        <v>595.84</v>
      </c>
      <c r="W2592" s="7"/>
      <c r="X2592" s="2">
        <v>2016</v>
      </c>
      <c r="Y2592" s="2"/>
    </row>
    <row r="2593" spans="1:25" s="11" customFormat="1" ht="89.25" customHeight="1" outlineLevel="1" x14ac:dyDescent="0.25">
      <c r="A2593" s="1"/>
      <c r="B2593" s="2" t="s">
        <v>6991</v>
      </c>
      <c r="C2593" s="3" t="s">
        <v>83</v>
      </c>
      <c r="D2593" s="3" t="s">
        <v>4985</v>
      </c>
      <c r="E2593" s="3" t="s">
        <v>4986</v>
      </c>
      <c r="F2593" s="3" t="s">
        <v>4987</v>
      </c>
      <c r="G2593" s="19" t="s">
        <v>4988</v>
      </c>
      <c r="H2593" s="2" t="s">
        <v>694</v>
      </c>
      <c r="I2593" s="4">
        <v>0</v>
      </c>
      <c r="J2593" s="5">
        <v>710000000</v>
      </c>
      <c r="K2593" s="5" t="s">
        <v>89</v>
      </c>
      <c r="L2593" s="2" t="s">
        <v>754</v>
      </c>
      <c r="M2593" s="6" t="s">
        <v>787</v>
      </c>
      <c r="N2593" s="7" t="s">
        <v>92</v>
      </c>
      <c r="O2593" s="7" t="s">
        <v>93</v>
      </c>
      <c r="P2593" s="3" t="s">
        <v>673</v>
      </c>
      <c r="Q2593" s="8">
        <v>796</v>
      </c>
      <c r="R2593" s="7" t="s">
        <v>118</v>
      </c>
      <c r="S2593" s="9">
        <v>51</v>
      </c>
      <c r="T2593" s="9">
        <v>101</v>
      </c>
      <c r="U2593" s="9">
        <f t="shared" si="1781"/>
        <v>5151</v>
      </c>
      <c r="V2593" s="9">
        <f t="shared" si="1782"/>
        <v>5769.1200000000008</v>
      </c>
      <c r="W2593" s="7"/>
      <c r="X2593" s="2">
        <v>2016</v>
      </c>
      <c r="Y2593" s="2"/>
    </row>
    <row r="2594" spans="1:25" s="11" customFormat="1" ht="89.25" customHeight="1" outlineLevel="1" x14ac:dyDescent="0.25">
      <c r="A2594" s="1"/>
      <c r="B2594" s="2" t="s">
        <v>6992</v>
      </c>
      <c r="C2594" s="3" t="s">
        <v>83</v>
      </c>
      <c r="D2594" s="3" t="s">
        <v>4989</v>
      </c>
      <c r="E2594" s="3" t="s">
        <v>4986</v>
      </c>
      <c r="F2594" s="3" t="s">
        <v>4990</v>
      </c>
      <c r="G2594" s="19"/>
      <c r="H2594" s="2" t="s">
        <v>694</v>
      </c>
      <c r="I2594" s="4">
        <v>0</v>
      </c>
      <c r="J2594" s="5">
        <v>710000000</v>
      </c>
      <c r="K2594" s="5" t="s">
        <v>89</v>
      </c>
      <c r="L2594" s="2" t="s">
        <v>754</v>
      </c>
      <c r="M2594" s="6" t="s">
        <v>787</v>
      </c>
      <c r="N2594" s="7" t="s">
        <v>92</v>
      </c>
      <c r="O2594" s="7" t="s">
        <v>93</v>
      </c>
      <c r="P2594" s="3" t="s">
        <v>673</v>
      </c>
      <c r="Q2594" s="8">
        <v>796</v>
      </c>
      <c r="R2594" s="7" t="s">
        <v>118</v>
      </c>
      <c r="S2594" s="9">
        <v>633</v>
      </c>
      <c r="T2594" s="9">
        <v>179</v>
      </c>
      <c r="U2594" s="9">
        <f t="shared" si="1781"/>
        <v>113307</v>
      </c>
      <c r="V2594" s="9">
        <f t="shared" si="1782"/>
        <v>126903.84000000001</v>
      </c>
      <c r="W2594" s="7"/>
      <c r="X2594" s="2">
        <v>2016</v>
      </c>
      <c r="Y2594" s="2"/>
    </row>
    <row r="2595" spans="1:25" s="11" customFormat="1" ht="89.25" customHeight="1" outlineLevel="1" x14ac:dyDescent="0.25">
      <c r="A2595" s="1"/>
      <c r="B2595" s="2" t="s">
        <v>6993</v>
      </c>
      <c r="C2595" s="3" t="s">
        <v>83</v>
      </c>
      <c r="D2595" s="3" t="s">
        <v>4991</v>
      </c>
      <c r="E2595" s="3" t="s">
        <v>4992</v>
      </c>
      <c r="F2595" s="3" t="s">
        <v>4993</v>
      </c>
      <c r="G2595" s="19" t="s">
        <v>4994</v>
      </c>
      <c r="H2595" s="2" t="s">
        <v>694</v>
      </c>
      <c r="I2595" s="4">
        <v>0</v>
      </c>
      <c r="J2595" s="5">
        <v>710000000</v>
      </c>
      <c r="K2595" s="5" t="s">
        <v>89</v>
      </c>
      <c r="L2595" s="2" t="s">
        <v>754</v>
      </c>
      <c r="M2595" s="6" t="s">
        <v>787</v>
      </c>
      <c r="N2595" s="7" t="s">
        <v>92</v>
      </c>
      <c r="O2595" s="7" t="s">
        <v>93</v>
      </c>
      <c r="P2595" s="3" t="s">
        <v>673</v>
      </c>
      <c r="Q2595" s="8">
        <v>796</v>
      </c>
      <c r="R2595" s="7" t="s">
        <v>118</v>
      </c>
      <c r="S2595" s="9">
        <v>51</v>
      </c>
      <c r="T2595" s="9">
        <v>179</v>
      </c>
      <c r="U2595" s="9">
        <f t="shared" si="1781"/>
        <v>9129</v>
      </c>
      <c r="V2595" s="9">
        <f t="shared" si="1782"/>
        <v>10224.480000000001</v>
      </c>
      <c r="W2595" s="7"/>
      <c r="X2595" s="2">
        <v>2016</v>
      </c>
      <c r="Y2595" s="2"/>
    </row>
    <row r="2596" spans="1:25" s="11" customFormat="1" ht="89.25" customHeight="1" outlineLevel="1" x14ac:dyDescent="0.25">
      <c r="A2596" s="1"/>
      <c r="B2596" s="2" t="s">
        <v>6994</v>
      </c>
      <c r="C2596" s="3" t="s">
        <v>83</v>
      </c>
      <c r="D2596" s="3" t="s">
        <v>4995</v>
      </c>
      <c r="E2596" s="3" t="s">
        <v>4996</v>
      </c>
      <c r="F2596" s="3" t="s">
        <v>4997</v>
      </c>
      <c r="G2596" s="19"/>
      <c r="H2596" s="2" t="s">
        <v>694</v>
      </c>
      <c r="I2596" s="4">
        <v>0</v>
      </c>
      <c r="J2596" s="5">
        <v>710000000</v>
      </c>
      <c r="K2596" s="5" t="s">
        <v>89</v>
      </c>
      <c r="L2596" s="2" t="s">
        <v>754</v>
      </c>
      <c r="M2596" s="6" t="s">
        <v>787</v>
      </c>
      <c r="N2596" s="7" t="s">
        <v>92</v>
      </c>
      <c r="O2596" s="7" t="s">
        <v>93</v>
      </c>
      <c r="P2596" s="3" t="s">
        <v>673</v>
      </c>
      <c r="Q2596" s="8">
        <v>796</v>
      </c>
      <c r="R2596" s="7" t="s">
        <v>118</v>
      </c>
      <c r="S2596" s="9">
        <v>13</v>
      </c>
      <c r="T2596" s="9">
        <v>69</v>
      </c>
      <c r="U2596" s="9">
        <f t="shared" si="1781"/>
        <v>897</v>
      </c>
      <c r="V2596" s="9">
        <f t="shared" si="1782"/>
        <v>1004.6400000000001</v>
      </c>
      <c r="W2596" s="7"/>
      <c r="X2596" s="2">
        <v>2016</v>
      </c>
      <c r="Y2596" s="2"/>
    </row>
    <row r="2597" spans="1:25" s="11" customFormat="1" ht="89.25" customHeight="1" outlineLevel="1" x14ac:dyDescent="0.25">
      <c r="A2597" s="1"/>
      <c r="B2597" s="2" t="s">
        <v>6995</v>
      </c>
      <c r="C2597" s="3" t="s">
        <v>83</v>
      </c>
      <c r="D2597" s="3" t="s">
        <v>4998</v>
      </c>
      <c r="E2597" s="3" t="s">
        <v>4999</v>
      </c>
      <c r="F2597" s="3" t="s">
        <v>5000</v>
      </c>
      <c r="G2597" s="19"/>
      <c r="H2597" s="2" t="s">
        <v>694</v>
      </c>
      <c r="I2597" s="4">
        <v>0</v>
      </c>
      <c r="J2597" s="5">
        <v>710000000</v>
      </c>
      <c r="K2597" s="5" t="s">
        <v>89</v>
      </c>
      <c r="L2597" s="2" t="s">
        <v>754</v>
      </c>
      <c r="M2597" s="6" t="s">
        <v>787</v>
      </c>
      <c r="N2597" s="7" t="s">
        <v>92</v>
      </c>
      <c r="O2597" s="7" t="s">
        <v>93</v>
      </c>
      <c r="P2597" s="3" t="s">
        <v>673</v>
      </c>
      <c r="Q2597" s="8">
        <v>796</v>
      </c>
      <c r="R2597" s="7" t="s">
        <v>118</v>
      </c>
      <c r="S2597" s="9">
        <v>13</v>
      </c>
      <c r="T2597" s="9">
        <v>80</v>
      </c>
      <c r="U2597" s="9">
        <f t="shared" si="1781"/>
        <v>1040</v>
      </c>
      <c r="V2597" s="9">
        <f t="shared" si="1782"/>
        <v>1164.8000000000002</v>
      </c>
      <c r="W2597" s="7"/>
      <c r="X2597" s="2">
        <v>2016</v>
      </c>
      <c r="Y2597" s="2"/>
    </row>
    <row r="2598" spans="1:25" s="11" customFormat="1" ht="89.25" customHeight="1" outlineLevel="1" x14ac:dyDescent="0.25">
      <c r="A2598" s="1"/>
      <c r="B2598" s="2" t="s">
        <v>6996</v>
      </c>
      <c r="C2598" s="3" t="s">
        <v>83</v>
      </c>
      <c r="D2598" s="3" t="s">
        <v>5001</v>
      </c>
      <c r="E2598" s="3" t="s">
        <v>5002</v>
      </c>
      <c r="F2598" s="3" t="s">
        <v>5003</v>
      </c>
      <c r="G2598" s="19" t="s">
        <v>5004</v>
      </c>
      <c r="H2598" s="2" t="s">
        <v>694</v>
      </c>
      <c r="I2598" s="4">
        <v>0</v>
      </c>
      <c r="J2598" s="5">
        <v>710000000</v>
      </c>
      <c r="K2598" s="5" t="s">
        <v>89</v>
      </c>
      <c r="L2598" s="2" t="s">
        <v>754</v>
      </c>
      <c r="M2598" s="6" t="s">
        <v>787</v>
      </c>
      <c r="N2598" s="7" t="s">
        <v>92</v>
      </c>
      <c r="O2598" s="7" t="s">
        <v>93</v>
      </c>
      <c r="P2598" s="3" t="s">
        <v>673</v>
      </c>
      <c r="Q2598" s="8">
        <v>796</v>
      </c>
      <c r="R2598" s="7" t="s">
        <v>118</v>
      </c>
      <c r="S2598" s="9">
        <v>37</v>
      </c>
      <c r="T2598" s="9">
        <v>28</v>
      </c>
      <c r="U2598" s="9">
        <f t="shared" si="1781"/>
        <v>1036</v>
      </c>
      <c r="V2598" s="9">
        <f t="shared" si="1782"/>
        <v>1160.3200000000002</v>
      </c>
      <c r="W2598" s="7"/>
      <c r="X2598" s="2">
        <v>2016</v>
      </c>
      <c r="Y2598" s="2"/>
    </row>
    <row r="2599" spans="1:25" s="11" customFormat="1" ht="89.25" customHeight="1" outlineLevel="1" x14ac:dyDescent="0.25">
      <c r="A2599" s="1"/>
      <c r="B2599" s="2" t="s">
        <v>6997</v>
      </c>
      <c r="C2599" s="3" t="s">
        <v>83</v>
      </c>
      <c r="D2599" s="3" t="s">
        <v>5005</v>
      </c>
      <c r="E2599" s="3" t="s">
        <v>3325</v>
      </c>
      <c r="F2599" s="3" t="s">
        <v>5006</v>
      </c>
      <c r="G2599" s="19" t="s">
        <v>5007</v>
      </c>
      <c r="H2599" s="2" t="s">
        <v>694</v>
      </c>
      <c r="I2599" s="4">
        <v>0</v>
      </c>
      <c r="J2599" s="5">
        <v>710000000</v>
      </c>
      <c r="K2599" s="5" t="s">
        <v>89</v>
      </c>
      <c r="L2599" s="2" t="s">
        <v>754</v>
      </c>
      <c r="M2599" s="6" t="s">
        <v>787</v>
      </c>
      <c r="N2599" s="7" t="s">
        <v>92</v>
      </c>
      <c r="O2599" s="7" t="s">
        <v>93</v>
      </c>
      <c r="P2599" s="3" t="s">
        <v>673</v>
      </c>
      <c r="Q2599" s="8" t="s">
        <v>522</v>
      </c>
      <c r="R2599" s="7" t="s">
        <v>523</v>
      </c>
      <c r="S2599" s="9">
        <v>192</v>
      </c>
      <c r="T2599" s="9">
        <v>223</v>
      </c>
      <c r="U2599" s="9">
        <f t="shared" si="1781"/>
        <v>42816</v>
      </c>
      <c r="V2599" s="9">
        <f t="shared" si="1782"/>
        <v>47953.920000000006</v>
      </c>
      <c r="W2599" s="7"/>
      <c r="X2599" s="2">
        <v>2016</v>
      </c>
      <c r="Y2599" s="2"/>
    </row>
    <row r="2600" spans="1:25" s="11" customFormat="1" ht="89.25" customHeight="1" outlineLevel="1" x14ac:dyDescent="0.25">
      <c r="A2600" s="1"/>
      <c r="B2600" s="2" t="s">
        <v>6998</v>
      </c>
      <c r="C2600" s="3" t="s">
        <v>83</v>
      </c>
      <c r="D2600" s="3" t="s">
        <v>5008</v>
      </c>
      <c r="E2600" s="3" t="s">
        <v>3325</v>
      </c>
      <c r="F2600" s="3" t="s">
        <v>5009</v>
      </c>
      <c r="G2600" s="19" t="s">
        <v>5010</v>
      </c>
      <c r="H2600" s="2" t="s">
        <v>694</v>
      </c>
      <c r="I2600" s="4">
        <v>0</v>
      </c>
      <c r="J2600" s="5">
        <v>710000000</v>
      </c>
      <c r="K2600" s="5" t="s">
        <v>89</v>
      </c>
      <c r="L2600" s="2" t="s">
        <v>754</v>
      </c>
      <c r="M2600" s="6" t="s">
        <v>787</v>
      </c>
      <c r="N2600" s="7" t="s">
        <v>92</v>
      </c>
      <c r="O2600" s="7" t="s">
        <v>93</v>
      </c>
      <c r="P2600" s="3" t="s">
        <v>673</v>
      </c>
      <c r="Q2600" s="8" t="s">
        <v>522</v>
      </c>
      <c r="R2600" s="7" t="s">
        <v>523</v>
      </c>
      <c r="S2600" s="9">
        <v>22</v>
      </c>
      <c r="T2600" s="9">
        <v>132</v>
      </c>
      <c r="U2600" s="9">
        <f t="shared" si="1781"/>
        <v>2904</v>
      </c>
      <c r="V2600" s="9">
        <f t="shared" si="1782"/>
        <v>3252.4800000000005</v>
      </c>
      <c r="W2600" s="7"/>
      <c r="X2600" s="2">
        <v>2016</v>
      </c>
      <c r="Y2600" s="2"/>
    </row>
    <row r="2601" spans="1:25" s="11" customFormat="1" ht="89.25" customHeight="1" outlineLevel="1" x14ac:dyDescent="0.25">
      <c r="A2601" s="1"/>
      <c r="B2601" s="2" t="s">
        <v>6999</v>
      </c>
      <c r="C2601" s="3" t="s">
        <v>83</v>
      </c>
      <c r="D2601" s="3" t="s">
        <v>5011</v>
      </c>
      <c r="E2601" s="3" t="s">
        <v>5012</v>
      </c>
      <c r="F2601" s="3" t="s">
        <v>5013</v>
      </c>
      <c r="G2601" s="19" t="s">
        <v>5014</v>
      </c>
      <c r="H2601" s="2" t="s">
        <v>694</v>
      </c>
      <c r="I2601" s="4">
        <v>0</v>
      </c>
      <c r="J2601" s="5">
        <v>710000000</v>
      </c>
      <c r="K2601" s="5" t="s">
        <v>89</v>
      </c>
      <c r="L2601" s="2" t="s">
        <v>754</v>
      </c>
      <c r="M2601" s="6" t="s">
        <v>787</v>
      </c>
      <c r="N2601" s="7" t="s">
        <v>92</v>
      </c>
      <c r="O2601" s="7" t="s">
        <v>93</v>
      </c>
      <c r="P2601" s="3" t="s">
        <v>673</v>
      </c>
      <c r="Q2601" s="8" t="s">
        <v>522</v>
      </c>
      <c r="R2601" s="7" t="s">
        <v>523</v>
      </c>
      <c r="S2601" s="9">
        <v>20</v>
      </c>
      <c r="T2601" s="9">
        <v>110</v>
      </c>
      <c r="U2601" s="9">
        <f t="shared" si="1781"/>
        <v>2200</v>
      </c>
      <c r="V2601" s="9">
        <f t="shared" si="1782"/>
        <v>2464.0000000000005</v>
      </c>
      <c r="W2601" s="7"/>
      <c r="X2601" s="2">
        <v>2016</v>
      </c>
      <c r="Y2601" s="2"/>
    </row>
    <row r="2602" spans="1:25" s="11" customFormat="1" ht="89.25" customHeight="1" outlineLevel="1" x14ac:dyDescent="0.25">
      <c r="A2602" s="1"/>
      <c r="B2602" s="2" t="s">
        <v>7000</v>
      </c>
      <c r="C2602" s="3" t="s">
        <v>83</v>
      </c>
      <c r="D2602" s="3" t="s">
        <v>5015</v>
      </c>
      <c r="E2602" s="3" t="s">
        <v>5012</v>
      </c>
      <c r="F2602" s="3" t="s">
        <v>5016</v>
      </c>
      <c r="G2602" s="19" t="s">
        <v>5014</v>
      </c>
      <c r="H2602" s="2" t="s">
        <v>694</v>
      </c>
      <c r="I2602" s="4">
        <v>0</v>
      </c>
      <c r="J2602" s="5">
        <v>710000000</v>
      </c>
      <c r="K2602" s="5" t="s">
        <v>89</v>
      </c>
      <c r="L2602" s="2" t="s">
        <v>754</v>
      </c>
      <c r="M2602" s="6" t="s">
        <v>787</v>
      </c>
      <c r="N2602" s="7" t="s">
        <v>92</v>
      </c>
      <c r="O2602" s="7" t="s">
        <v>93</v>
      </c>
      <c r="P2602" s="3" t="s">
        <v>673</v>
      </c>
      <c r="Q2602" s="8" t="s">
        <v>228</v>
      </c>
      <c r="R2602" s="7" t="s">
        <v>229</v>
      </c>
      <c r="S2602" s="9">
        <v>1</v>
      </c>
      <c r="T2602" s="9">
        <v>240</v>
      </c>
      <c r="U2602" s="9">
        <f t="shared" si="1781"/>
        <v>240</v>
      </c>
      <c r="V2602" s="9">
        <f t="shared" si="1782"/>
        <v>268.8</v>
      </c>
      <c r="W2602" s="7"/>
      <c r="X2602" s="2">
        <v>2016</v>
      </c>
      <c r="Y2602" s="2"/>
    </row>
    <row r="2603" spans="1:25" s="11" customFormat="1" ht="89.25" customHeight="1" outlineLevel="1" x14ac:dyDescent="0.25">
      <c r="A2603" s="1"/>
      <c r="B2603" s="2" t="s">
        <v>7001</v>
      </c>
      <c r="C2603" s="3" t="s">
        <v>83</v>
      </c>
      <c r="D2603" s="3" t="s">
        <v>5017</v>
      </c>
      <c r="E2603" s="3" t="s">
        <v>5012</v>
      </c>
      <c r="F2603" s="3" t="s">
        <v>5018</v>
      </c>
      <c r="G2603" s="19" t="s">
        <v>5014</v>
      </c>
      <c r="H2603" s="2" t="s">
        <v>694</v>
      </c>
      <c r="I2603" s="4">
        <v>0</v>
      </c>
      <c r="J2603" s="5">
        <v>710000000</v>
      </c>
      <c r="K2603" s="5" t="s">
        <v>89</v>
      </c>
      <c r="L2603" s="2" t="s">
        <v>754</v>
      </c>
      <c r="M2603" s="6" t="s">
        <v>787</v>
      </c>
      <c r="N2603" s="7" t="s">
        <v>92</v>
      </c>
      <c r="O2603" s="7" t="s">
        <v>93</v>
      </c>
      <c r="P2603" s="3" t="s">
        <v>673</v>
      </c>
      <c r="Q2603" s="8" t="s">
        <v>228</v>
      </c>
      <c r="R2603" s="7" t="s">
        <v>229</v>
      </c>
      <c r="S2603" s="9">
        <v>32</v>
      </c>
      <c r="T2603" s="9">
        <v>280</v>
      </c>
      <c r="U2603" s="9">
        <f t="shared" si="1781"/>
        <v>8960</v>
      </c>
      <c r="V2603" s="9">
        <f t="shared" si="1782"/>
        <v>10035.200000000001</v>
      </c>
      <c r="W2603" s="7"/>
      <c r="X2603" s="2">
        <v>2016</v>
      </c>
      <c r="Y2603" s="2"/>
    </row>
    <row r="2604" spans="1:25" s="11" customFormat="1" ht="89.25" customHeight="1" outlineLevel="1" x14ac:dyDescent="0.25">
      <c r="A2604" s="1"/>
      <c r="B2604" s="2" t="s">
        <v>7002</v>
      </c>
      <c r="C2604" s="3" t="s">
        <v>83</v>
      </c>
      <c r="D2604" s="3" t="s">
        <v>5019</v>
      </c>
      <c r="E2604" s="3" t="s">
        <v>5020</v>
      </c>
      <c r="F2604" s="3" t="s">
        <v>5021</v>
      </c>
      <c r="G2604" s="19" t="s">
        <v>5022</v>
      </c>
      <c r="H2604" s="2" t="s">
        <v>694</v>
      </c>
      <c r="I2604" s="4">
        <v>0</v>
      </c>
      <c r="J2604" s="5">
        <v>710000000</v>
      </c>
      <c r="K2604" s="5" t="s">
        <v>89</v>
      </c>
      <c r="L2604" s="2" t="s">
        <v>754</v>
      </c>
      <c r="M2604" s="6" t="s">
        <v>787</v>
      </c>
      <c r="N2604" s="7" t="s">
        <v>92</v>
      </c>
      <c r="O2604" s="7" t="s">
        <v>93</v>
      </c>
      <c r="P2604" s="3" t="s">
        <v>673</v>
      </c>
      <c r="Q2604" s="8" t="s">
        <v>522</v>
      </c>
      <c r="R2604" s="7" t="s">
        <v>523</v>
      </c>
      <c r="S2604" s="9">
        <v>347</v>
      </c>
      <c r="T2604" s="9">
        <v>94</v>
      </c>
      <c r="U2604" s="9">
        <f t="shared" si="1781"/>
        <v>32618</v>
      </c>
      <c r="V2604" s="9">
        <f t="shared" si="1782"/>
        <v>36532.160000000003</v>
      </c>
      <c r="W2604" s="7"/>
      <c r="X2604" s="2">
        <v>2016</v>
      </c>
      <c r="Y2604" s="2"/>
    </row>
    <row r="2605" spans="1:25" s="11" customFormat="1" ht="89.25" customHeight="1" outlineLevel="1" x14ac:dyDescent="0.25">
      <c r="A2605" s="1"/>
      <c r="B2605" s="2" t="s">
        <v>7003</v>
      </c>
      <c r="C2605" s="3" t="s">
        <v>83</v>
      </c>
      <c r="D2605" s="3" t="s">
        <v>5023</v>
      </c>
      <c r="E2605" s="3" t="s">
        <v>5024</v>
      </c>
      <c r="F2605" s="3" t="s">
        <v>5025</v>
      </c>
      <c r="G2605" s="19" t="s">
        <v>5026</v>
      </c>
      <c r="H2605" s="2" t="s">
        <v>694</v>
      </c>
      <c r="I2605" s="4">
        <v>0</v>
      </c>
      <c r="J2605" s="5">
        <v>710000000</v>
      </c>
      <c r="K2605" s="5" t="s">
        <v>89</v>
      </c>
      <c r="L2605" s="2" t="s">
        <v>754</v>
      </c>
      <c r="M2605" s="6" t="s">
        <v>787</v>
      </c>
      <c r="N2605" s="7" t="s">
        <v>92</v>
      </c>
      <c r="O2605" s="7" t="s">
        <v>93</v>
      </c>
      <c r="P2605" s="3" t="s">
        <v>673</v>
      </c>
      <c r="Q2605" s="8">
        <v>796</v>
      </c>
      <c r="R2605" s="7" t="s">
        <v>118</v>
      </c>
      <c r="S2605" s="9">
        <f>4+2</f>
        <v>6</v>
      </c>
      <c r="T2605" s="9">
        <v>107</v>
      </c>
      <c r="U2605" s="9">
        <f t="shared" si="1781"/>
        <v>642</v>
      </c>
      <c r="V2605" s="9">
        <f t="shared" si="1782"/>
        <v>719.04000000000008</v>
      </c>
      <c r="W2605" s="7"/>
      <c r="X2605" s="2">
        <v>2016</v>
      </c>
      <c r="Y2605" s="2"/>
    </row>
    <row r="2606" spans="1:25" s="11" customFormat="1" ht="89.25" customHeight="1" outlineLevel="1" x14ac:dyDescent="0.25">
      <c r="A2606" s="1"/>
      <c r="B2606" s="2" t="s">
        <v>7004</v>
      </c>
      <c r="C2606" s="3" t="s">
        <v>83</v>
      </c>
      <c r="D2606" s="3" t="s">
        <v>5027</v>
      </c>
      <c r="E2606" s="3" t="s">
        <v>3991</v>
      </c>
      <c r="F2606" s="3" t="s">
        <v>5028</v>
      </c>
      <c r="G2606" s="19" t="s">
        <v>5029</v>
      </c>
      <c r="H2606" s="2" t="s">
        <v>694</v>
      </c>
      <c r="I2606" s="4">
        <v>0</v>
      </c>
      <c r="J2606" s="5">
        <v>710000000</v>
      </c>
      <c r="K2606" s="5" t="s">
        <v>89</v>
      </c>
      <c r="L2606" s="2" t="s">
        <v>754</v>
      </c>
      <c r="M2606" s="6" t="s">
        <v>787</v>
      </c>
      <c r="N2606" s="7" t="s">
        <v>92</v>
      </c>
      <c r="O2606" s="7" t="s">
        <v>93</v>
      </c>
      <c r="P2606" s="3" t="s">
        <v>673</v>
      </c>
      <c r="Q2606" s="8">
        <v>796</v>
      </c>
      <c r="R2606" s="7" t="s">
        <v>118</v>
      </c>
      <c r="S2606" s="9">
        <f>5+2</f>
        <v>7</v>
      </c>
      <c r="T2606" s="9">
        <v>667</v>
      </c>
      <c r="U2606" s="9">
        <f t="shared" si="1781"/>
        <v>4669</v>
      </c>
      <c r="V2606" s="9">
        <f t="shared" si="1782"/>
        <v>5229.2800000000007</v>
      </c>
      <c r="W2606" s="7"/>
      <c r="X2606" s="2">
        <v>2016</v>
      </c>
      <c r="Y2606" s="2"/>
    </row>
    <row r="2607" spans="1:25" s="11" customFormat="1" ht="89.25" customHeight="1" outlineLevel="1" x14ac:dyDescent="0.25">
      <c r="A2607" s="1"/>
      <c r="B2607" s="2" t="s">
        <v>7005</v>
      </c>
      <c r="C2607" s="3" t="s">
        <v>83</v>
      </c>
      <c r="D2607" s="3" t="s">
        <v>5030</v>
      </c>
      <c r="E2607" s="3" t="s">
        <v>5031</v>
      </c>
      <c r="F2607" s="3" t="s">
        <v>5032</v>
      </c>
      <c r="G2607" s="19" t="s">
        <v>5033</v>
      </c>
      <c r="H2607" s="2" t="s">
        <v>694</v>
      </c>
      <c r="I2607" s="4">
        <v>0</v>
      </c>
      <c r="J2607" s="5">
        <v>710000000</v>
      </c>
      <c r="K2607" s="5" t="s">
        <v>89</v>
      </c>
      <c r="L2607" s="2" t="s">
        <v>754</v>
      </c>
      <c r="M2607" s="6" t="s">
        <v>787</v>
      </c>
      <c r="N2607" s="7" t="s">
        <v>92</v>
      </c>
      <c r="O2607" s="7" t="s">
        <v>93</v>
      </c>
      <c r="P2607" s="3" t="s">
        <v>673</v>
      </c>
      <c r="Q2607" s="8" t="s">
        <v>522</v>
      </c>
      <c r="R2607" s="7" t="s">
        <v>523</v>
      </c>
      <c r="S2607" s="9">
        <v>412</v>
      </c>
      <c r="T2607" s="9">
        <v>174</v>
      </c>
      <c r="U2607" s="9">
        <f t="shared" si="1781"/>
        <v>71688</v>
      </c>
      <c r="V2607" s="9">
        <f t="shared" si="1782"/>
        <v>80290.560000000012</v>
      </c>
      <c r="W2607" s="7"/>
      <c r="X2607" s="2">
        <v>2016</v>
      </c>
      <c r="Y2607" s="2"/>
    </row>
    <row r="2608" spans="1:25" s="11" customFormat="1" ht="89.25" customHeight="1" outlineLevel="1" x14ac:dyDescent="0.25">
      <c r="A2608" s="1"/>
      <c r="B2608" s="2" t="s">
        <v>7006</v>
      </c>
      <c r="C2608" s="3" t="s">
        <v>83</v>
      </c>
      <c r="D2608" s="3" t="s">
        <v>5030</v>
      </c>
      <c r="E2608" s="3" t="s">
        <v>5031</v>
      </c>
      <c r="F2608" s="3" t="s">
        <v>5032</v>
      </c>
      <c r="G2608" s="19" t="s">
        <v>5034</v>
      </c>
      <c r="H2608" s="2" t="s">
        <v>694</v>
      </c>
      <c r="I2608" s="4">
        <v>0</v>
      </c>
      <c r="J2608" s="5">
        <v>710000000</v>
      </c>
      <c r="K2608" s="5" t="s">
        <v>89</v>
      </c>
      <c r="L2608" s="2" t="s">
        <v>754</v>
      </c>
      <c r="M2608" s="6" t="s">
        <v>787</v>
      </c>
      <c r="N2608" s="7" t="s">
        <v>92</v>
      </c>
      <c r="O2608" s="7" t="s">
        <v>93</v>
      </c>
      <c r="P2608" s="3" t="s">
        <v>673</v>
      </c>
      <c r="Q2608" s="8" t="s">
        <v>522</v>
      </c>
      <c r="R2608" s="7" t="s">
        <v>523</v>
      </c>
      <c r="S2608" s="9">
        <v>249</v>
      </c>
      <c r="T2608" s="9">
        <v>80</v>
      </c>
      <c r="U2608" s="9">
        <f t="shared" si="1781"/>
        <v>19920</v>
      </c>
      <c r="V2608" s="9">
        <f t="shared" si="1782"/>
        <v>22310.400000000001</v>
      </c>
      <c r="W2608" s="7"/>
      <c r="X2608" s="2">
        <v>2016</v>
      </c>
      <c r="Y2608" s="2"/>
    </row>
    <row r="2609" spans="1:25" s="11" customFormat="1" ht="89.25" customHeight="1" outlineLevel="1" x14ac:dyDescent="0.25">
      <c r="A2609" s="1"/>
      <c r="B2609" s="2" t="s">
        <v>7007</v>
      </c>
      <c r="C2609" s="3" t="s">
        <v>83</v>
      </c>
      <c r="D2609" s="3" t="s">
        <v>5035</v>
      </c>
      <c r="E2609" s="3" t="s">
        <v>3753</v>
      </c>
      <c r="F2609" s="3" t="s">
        <v>5036</v>
      </c>
      <c r="G2609" s="19" t="s">
        <v>5037</v>
      </c>
      <c r="H2609" s="2" t="s">
        <v>694</v>
      </c>
      <c r="I2609" s="4">
        <v>0</v>
      </c>
      <c r="J2609" s="5">
        <v>710000000</v>
      </c>
      <c r="K2609" s="5" t="s">
        <v>89</v>
      </c>
      <c r="L2609" s="2" t="s">
        <v>754</v>
      </c>
      <c r="M2609" s="6" t="s">
        <v>787</v>
      </c>
      <c r="N2609" s="7" t="s">
        <v>92</v>
      </c>
      <c r="O2609" s="7" t="s">
        <v>93</v>
      </c>
      <c r="P2609" s="3" t="s">
        <v>673</v>
      </c>
      <c r="Q2609" s="8">
        <v>796</v>
      </c>
      <c r="R2609" s="7" t="s">
        <v>118</v>
      </c>
      <c r="S2609" s="9">
        <v>28</v>
      </c>
      <c r="T2609" s="9">
        <v>228</v>
      </c>
      <c r="U2609" s="9">
        <f t="shared" si="1781"/>
        <v>6384</v>
      </c>
      <c r="V2609" s="9">
        <f t="shared" si="1782"/>
        <v>7150.0800000000008</v>
      </c>
      <c r="W2609" s="7"/>
      <c r="X2609" s="2">
        <v>2016</v>
      </c>
      <c r="Y2609" s="2"/>
    </row>
    <row r="2610" spans="1:25" s="11" customFormat="1" ht="89.25" customHeight="1" outlineLevel="1" x14ac:dyDescent="0.25">
      <c r="A2610" s="1"/>
      <c r="B2610" s="2" t="s">
        <v>7008</v>
      </c>
      <c r="C2610" s="3" t="s">
        <v>83</v>
      </c>
      <c r="D2610" s="3" t="s">
        <v>3971</v>
      </c>
      <c r="E2610" s="3" t="s">
        <v>3966</v>
      </c>
      <c r="F2610" s="3" t="s">
        <v>3972</v>
      </c>
      <c r="G2610" s="19" t="s">
        <v>5038</v>
      </c>
      <c r="H2610" s="2" t="s">
        <v>694</v>
      </c>
      <c r="I2610" s="4">
        <v>0</v>
      </c>
      <c r="J2610" s="5">
        <v>710000000</v>
      </c>
      <c r="K2610" s="5" t="s">
        <v>89</v>
      </c>
      <c r="L2610" s="2" t="s">
        <v>754</v>
      </c>
      <c r="M2610" s="6" t="s">
        <v>787</v>
      </c>
      <c r="N2610" s="7" t="s">
        <v>92</v>
      </c>
      <c r="O2610" s="7" t="s">
        <v>93</v>
      </c>
      <c r="P2610" s="3" t="s">
        <v>673</v>
      </c>
      <c r="Q2610" s="8">
        <v>796</v>
      </c>
      <c r="R2610" s="7" t="s">
        <v>118</v>
      </c>
      <c r="S2610" s="9">
        <v>35</v>
      </c>
      <c r="T2610" s="9">
        <v>58</v>
      </c>
      <c r="U2610" s="9">
        <f t="shared" si="1781"/>
        <v>2030</v>
      </c>
      <c r="V2610" s="9">
        <f t="shared" si="1782"/>
        <v>2273.6000000000004</v>
      </c>
      <c r="W2610" s="7"/>
      <c r="X2610" s="2">
        <v>2016</v>
      </c>
      <c r="Y2610" s="2"/>
    </row>
    <row r="2611" spans="1:25" s="11" customFormat="1" ht="89.25" customHeight="1" outlineLevel="1" x14ac:dyDescent="0.25">
      <c r="A2611" s="1"/>
      <c r="B2611" s="2" t="s">
        <v>7009</v>
      </c>
      <c r="C2611" s="3" t="s">
        <v>83</v>
      </c>
      <c r="D2611" s="3" t="s">
        <v>5039</v>
      </c>
      <c r="E2611" s="3" t="s">
        <v>5040</v>
      </c>
      <c r="F2611" s="3" t="s">
        <v>5041</v>
      </c>
      <c r="G2611" s="19"/>
      <c r="H2611" s="2" t="s">
        <v>694</v>
      </c>
      <c r="I2611" s="4">
        <v>0</v>
      </c>
      <c r="J2611" s="5">
        <v>710000000</v>
      </c>
      <c r="K2611" s="5" t="s">
        <v>89</v>
      </c>
      <c r="L2611" s="2" t="s">
        <v>754</v>
      </c>
      <c r="M2611" s="6" t="s">
        <v>787</v>
      </c>
      <c r="N2611" s="7" t="s">
        <v>92</v>
      </c>
      <c r="O2611" s="7" t="s">
        <v>93</v>
      </c>
      <c r="P2611" s="3" t="s">
        <v>673</v>
      </c>
      <c r="Q2611" s="8">
        <v>796</v>
      </c>
      <c r="R2611" s="7" t="s">
        <v>118</v>
      </c>
      <c r="S2611" s="9">
        <v>3</v>
      </c>
      <c r="T2611" s="9">
        <v>118</v>
      </c>
      <c r="U2611" s="9">
        <f t="shared" si="1781"/>
        <v>354</v>
      </c>
      <c r="V2611" s="9">
        <f t="shared" si="1782"/>
        <v>396.48</v>
      </c>
      <c r="W2611" s="7"/>
      <c r="X2611" s="2">
        <v>2016</v>
      </c>
      <c r="Y2611" s="2"/>
    </row>
    <row r="2612" spans="1:25" s="11" customFormat="1" ht="89.25" customHeight="1" outlineLevel="1" x14ac:dyDescent="0.25">
      <c r="A2612" s="1"/>
      <c r="B2612" s="2" t="s">
        <v>7010</v>
      </c>
      <c r="C2612" s="3" t="s">
        <v>83</v>
      </c>
      <c r="D2612" s="3" t="s">
        <v>5042</v>
      </c>
      <c r="E2612" s="3" t="s">
        <v>3983</v>
      </c>
      <c r="F2612" s="3" t="s">
        <v>5028</v>
      </c>
      <c r="G2612" s="19" t="s">
        <v>5043</v>
      </c>
      <c r="H2612" s="2" t="s">
        <v>694</v>
      </c>
      <c r="I2612" s="4">
        <v>0</v>
      </c>
      <c r="J2612" s="5">
        <v>710000000</v>
      </c>
      <c r="K2612" s="5" t="s">
        <v>89</v>
      </c>
      <c r="L2612" s="2" t="s">
        <v>754</v>
      </c>
      <c r="M2612" s="6" t="s">
        <v>787</v>
      </c>
      <c r="N2612" s="7" t="s">
        <v>92</v>
      </c>
      <c r="O2612" s="7" t="s">
        <v>93</v>
      </c>
      <c r="P2612" s="3" t="s">
        <v>673</v>
      </c>
      <c r="Q2612" s="8">
        <v>796</v>
      </c>
      <c r="R2612" s="7" t="s">
        <v>118</v>
      </c>
      <c r="S2612" s="9">
        <v>14</v>
      </c>
      <c r="T2612" s="9">
        <v>844</v>
      </c>
      <c r="U2612" s="9">
        <f t="shared" si="1781"/>
        <v>11816</v>
      </c>
      <c r="V2612" s="9">
        <f t="shared" si="1782"/>
        <v>13233.920000000002</v>
      </c>
      <c r="W2612" s="7"/>
      <c r="X2612" s="2">
        <v>2016</v>
      </c>
      <c r="Y2612" s="2"/>
    </row>
    <row r="2613" spans="1:25" s="11" customFormat="1" ht="89.25" customHeight="1" outlineLevel="1" x14ac:dyDescent="0.25">
      <c r="A2613" s="1"/>
      <c r="B2613" s="2" t="s">
        <v>7011</v>
      </c>
      <c r="C2613" s="3" t="s">
        <v>83</v>
      </c>
      <c r="D2613" s="3" t="s">
        <v>5042</v>
      </c>
      <c r="E2613" s="3" t="s">
        <v>3983</v>
      </c>
      <c r="F2613" s="3" t="s">
        <v>5028</v>
      </c>
      <c r="G2613" s="19" t="s">
        <v>5044</v>
      </c>
      <c r="H2613" s="2" t="s">
        <v>694</v>
      </c>
      <c r="I2613" s="4">
        <v>0</v>
      </c>
      <c r="J2613" s="5">
        <v>710000000</v>
      </c>
      <c r="K2613" s="5" t="s">
        <v>89</v>
      </c>
      <c r="L2613" s="2" t="s">
        <v>754</v>
      </c>
      <c r="M2613" s="6" t="s">
        <v>787</v>
      </c>
      <c r="N2613" s="7" t="s">
        <v>92</v>
      </c>
      <c r="O2613" s="7" t="s">
        <v>93</v>
      </c>
      <c r="P2613" s="3" t="s">
        <v>673</v>
      </c>
      <c r="Q2613" s="8">
        <v>796</v>
      </c>
      <c r="R2613" s="7" t="s">
        <v>118</v>
      </c>
      <c r="S2613" s="9">
        <v>21</v>
      </c>
      <c r="T2613" s="9">
        <v>5087</v>
      </c>
      <c r="U2613" s="9">
        <f t="shared" si="1781"/>
        <v>106827</v>
      </c>
      <c r="V2613" s="9">
        <f t="shared" si="1782"/>
        <v>119646.24</v>
      </c>
      <c r="W2613" s="7"/>
      <c r="X2613" s="2">
        <v>2016</v>
      </c>
      <c r="Y2613" s="2"/>
    </row>
    <row r="2614" spans="1:25" s="11" customFormat="1" ht="89.25" customHeight="1" outlineLevel="1" x14ac:dyDescent="0.25">
      <c r="A2614" s="1"/>
      <c r="B2614" s="2" t="s">
        <v>7012</v>
      </c>
      <c r="C2614" s="3" t="s">
        <v>83</v>
      </c>
      <c r="D2614" s="3" t="s">
        <v>5045</v>
      </c>
      <c r="E2614" s="3" t="s">
        <v>5046</v>
      </c>
      <c r="F2614" s="3" t="s">
        <v>5047</v>
      </c>
      <c r="G2614" s="19" t="s">
        <v>5048</v>
      </c>
      <c r="H2614" s="2" t="s">
        <v>694</v>
      </c>
      <c r="I2614" s="4">
        <v>0</v>
      </c>
      <c r="J2614" s="5">
        <v>710000000</v>
      </c>
      <c r="K2614" s="5" t="s">
        <v>89</v>
      </c>
      <c r="L2614" s="2" t="s">
        <v>754</v>
      </c>
      <c r="M2614" s="6" t="s">
        <v>787</v>
      </c>
      <c r="N2614" s="7" t="s">
        <v>92</v>
      </c>
      <c r="O2614" s="7" t="s">
        <v>93</v>
      </c>
      <c r="P2614" s="3" t="s">
        <v>673</v>
      </c>
      <c r="Q2614" s="8">
        <v>796</v>
      </c>
      <c r="R2614" s="7" t="s">
        <v>118</v>
      </c>
      <c r="S2614" s="9">
        <v>16</v>
      </c>
      <c r="T2614" s="9">
        <v>1779</v>
      </c>
      <c r="U2614" s="9">
        <f t="shared" si="1781"/>
        <v>28464</v>
      </c>
      <c r="V2614" s="9">
        <f t="shared" si="1782"/>
        <v>31879.680000000004</v>
      </c>
      <c r="W2614" s="7"/>
      <c r="X2614" s="2">
        <v>2016</v>
      </c>
      <c r="Y2614" s="2"/>
    </row>
    <row r="2615" spans="1:25" s="11" customFormat="1" ht="89.25" customHeight="1" outlineLevel="1" x14ac:dyDescent="0.25">
      <c r="A2615" s="1"/>
      <c r="B2615" s="2" t="s">
        <v>7013</v>
      </c>
      <c r="C2615" s="3" t="s">
        <v>83</v>
      </c>
      <c r="D2615" s="3" t="s">
        <v>5049</v>
      </c>
      <c r="E2615" s="3" t="s">
        <v>5050</v>
      </c>
      <c r="F2615" s="3" t="s">
        <v>5051</v>
      </c>
      <c r="G2615" s="19" t="s">
        <v>5052</v>
      </c>
      <c r="H2615" s="2" t="s">
        <v>694</v>
      </c>
      <c r="I2615" s="4">
        <v>0</v>
      </c>
      <c r="J2615" s="5">
        <v>710000000</v>
      </c>
      <c r="K2615" s="5" t="s">
        <v>89</v>
      </c>
      <c r="L2615" s="2" t="s">
        <v>754</v>
      </c>
      <c r="M2615" s="6" t="s">
        <v>787</v>
      </c>
      <c r="N2615" s="7" t="s">
        <v>92</v>
      </c>
      <c r="O2615" s="7" t="s">
        <v>93</v>
      </c>
      <c r="P2615" s="3" t="s">
        <v>673</v>
      </c>
      <c r="Q2615" s="8">
        <v>796</v>
      </c>
      <c r="R2615" s="7" t="s">
        <v>118</v>
      </c>
      <c r="S2615" s="9">
        <v>3</v>
      </c>
      <c r="T2615" s="9">
        <v>507</v>
      </c>
      <c r="U2615" s="9">
        <f t="shared" si="1781"/>
        <v>1521</v>
      </c>
      <c r="V2615" s="9">
        <f t="shared" si="1782"/>
        <v>1703.5200000000002</v>
      </c>
      <c r="W2615" s="7"/>
      <c r="X2615" s="2">
        <v>2016</v>
      </c>
      <c r="Y2615" s="2"/>
    </row>
    <row r="2616" spans="1:25" s="11" customFormat="1" ht="89.25" customHeight="1" outlineLevel="1" x14ac:dyDescent="0.25">
      <c r="A2616" s="1"/>
      <c r="B2616" s="2" t="s">
        <v>7014</v>
      </c>
      <c r="C2616" s="3" t="s">
        <v>83</v>
      </c>
      <c r="D2616" s="3" t="s">
        <v>5053</v>
      </c>
      <c r="E2616" s="3" t="s">
        <v>5054</v>
      </c>
      <c r="F2616" s="3" t="s">
        <v>5055</v>
      </c>
      <c r="G2616" s="19" t="s">
        <v>5056</v>
      </c>
      <c r="H2616" s="2" t="s">
        <v>694</v>
      </c>
      <c r="I2616" s="4">
        <v>0</v>
      </c>
      <c r="J2616" s="5">
        <v>710000000</v>
      </c>
      <c r="K2616" s="5" t="s">
        <v>89</v>
      </c>
      <c r="L2616" s="2" t="s">
        <v>754</v>
      </c>
      <c r="M2616" s="6" t="s">
        <v>787</v>
      </c>
      <c r="N2616" s="7" t="s">
        <v>92</v>
      </c>
      <c r="O2616" s="7" t="s">
        <v>93</v>
      </c>
      <c r="P2616" s="3" t="s">
        <v>673</v>
      </c>
      <c r="Q2616" s="8">
        <v>796</v>
      </c>
      <c r="R2616" s="7" t="s">
        <v>118</v>
      </c>
      <c r="S2616" s="9">
        <v>27</v>
      </c>
      <c r="T2616" s="9">
        <v>2848</v>
      </c>
      <c r="U2616" s="9">
        <f t="shared" si="1781"/>
        <v>76896</v>
      </c>
      <c r="V2616" s="9">
        <f t="shared" si="1782"/>
        <v>86123.520000000004</v>
      </c>
      <c r="W2616" s="7"/>
      <c r="X2616" s="2">
        <v>2016</v>
      </c>
      <c r="Y2616" s="2"/>
    </row>
    <row r="2617" spans="1:25" s="11" customFormat="1" ht="89.25" customHeight="1" outlineLevel="1" x14ac:dyDescent="0.25">
      <c r="A2617" s="1"/>
      <c r="B2617" s="2" t="s">
        <v>7015</v>
      </c>
      <c r="C2617" s="3" t="s">
        <v>83</v>
      </c>
      <c r="D2617" s="3" t="s">
        <v>5057</v>
      </c>
      <c r="E2617" s="3" t="s">
        <v>5058</v>
      </c>
      <c r="F2617" s="3" t="s">
        <v>5059</v>
      </c>
      <c r="G2617" s="19"/>
      <c r="H2617" s="2" t="s">
        <v>694</v>
      </c>
      <c r="I2617" s="4">
        <v>0</v>
      </c>
      <c r="J2617" s="5">
        <v>710000000</v>
      </c>
      <c r="K2617" s="5" t="s">
        <v>89</v>
      </c>
      <c r="L2617" s="2" t="s">
        <v>754</v>
      </c>
      <c r="M2617" s="6" t="s">
        <v>787</v>
      </c>
      <c r="N2617" s="7" t="s">
        <v>92</v>
      </c>
      <c r="O2617" s="7" t="s">
        <v>93</v>
      </c>
      <c r="P2617" s="3" t="s">
        <v>673</v>
      </c>
      <c r="Q2617" s="8">
        <v>796</v>
      </c>
      <c r="R2617" s="7" t="s">
        <v>118</v>
      </c>
      <c r="S2617" s="9">
        <v>50</v>
      </c>
      <c r="T2617" s="9">
        <v>685</v>
      </c>
      <c r="U2617" s="9">
        <f t="shared" si="1781"/>
        <v>34250</v>
      </c>
      <c r="V2617" s="9">
        <f t="shared" si="1782"/>
        <v>38360.000000000007</v>
      </c>
      <c r="W2617" s="7"/>
      <c r="X2617" s="2">
        <v>2016</v>
      </c>
      <c r="Y2617" s="2"/>
    </row>
    <row r="2618" spans="1:25" s="11" customFormat="1" ht="89.25" customHeight="1" outlineLevel="1" x14ac:dyDescent="0.25">
      <c r="A2618" s="1"/>
      <c r="B2618" s="2" t="s">
        <v>7016</v>
      </c>
      <c r="C2618" s="3" t="s">
        <v>83</v>
      </c>
      <c r="D2618" s="3" t="s">
        <v>5060</v>
      </c>
      <c r="E2618" s="3" t="s">
        <v>5061</v>
      </c>
      <c r="F2618" s="3" t="s">
        <v>5062</v>
      </c>
      <c r="G2618" s="19" t="s">
        <v>4947</v>
      </c>
      <c r="H2618" s="2" t="s">
        <v>694</v>
      </c>
      <c r="I2618" s="4">
        <v>0</v>
      </c>
      <c r="J2618" s="5">
        <v>710000000</v>
      </c>
      <c r="K2618" s="5" t="s">
        <v>89</v>
      </c>
      <c r="L2618" s="2" t="s">
        <v>754</v>
      </c>
      <c r="M2618" s="6" t="s">
        <v>787</v>
      </c>
      <c r="N2618" s="7" t="s">
        <v>92</v>
      </c>
      <c r="O2618" s="7" t="s">
        <v>93</v>
      </c>
      <c r="P2618" s="3" t="s">
        <v>673</v>
      </c>
      <c r="Q2618" s="8">
        <v>796</v>
      </c>
      <c r="R2618" s="7" t="s">
        <v>118</v>
      </c>
      <c r="S2618" s="9">
        <v>6</v>
      </c>
      <c r="T2618" s="9">
        <v>518</v>
      </c>
      <c r="U2618" s="9">
        <f t="shared" si="1781"/>
        <v>3108</v>
      </c>
      <c r="V2618" s="9">
        <f t="shared" si="1782"/>
        <v>3480.9600000000005</v>
      </c>
      <c r="W2618" s="7"/>
      <c r="X2618" s="2">
        <v>2016</v>
      </c>
      <c r="Y2618" s="2"/>
    </row>
    <row r="2619" spans="1:25" s="11" customFormat="1" ht="89.25" customHeight="1" outlineLevel="1" x14ac:dyDescent="0.2">
      <c r="A2619" s="25"/>
      <c r="B2619" s="2" t="s">
        <v>7017</v>
      </c>
      <c r="C2619" s="3" t="s">
        <v>83</v>
      </c>
      <c r="D2619" s="3" t="s">
        <v>5060</v>
      </c>
      <c r="E2619" s="3" t="s">
        <v>5061</v>
      </c>
      <c r="F2619" s="3" t="s">
        <v>5062</v>
      </c>
      <c r="G2619" s="19" t="s">
        <v>5063</v>
      </c>
      <c r="H2619" s="2" t="s">
        <v>694</v>
      </c>
      <c r="I2619" s="4">
        <v>0</v>
      </c>
      <c r="J2619" s="5">
        <v>710000000</v>
      </c>
      <c r="K2619" s="5" t="s">
        <v>89</v>
      </c>
      <c r="L2619" s="2" t="s">
        <v>754</v>
      </c>
      <c r="M2619" s="6" t="s">
        <v>787</v>
      </c>
      <c r="N2619" s="7" t="s">
        <v>92</v>
      </c>
      <c r="O2619" s="7" t="s">
        <v>93</v>
      </c>
      <c r="P2619" s="3" t="s">
        <v>673</v>
      </c>
      <c r="Q2619" s="8">
        <v>796</v>
      </c>
      <c r="R2619" s="7" t="s">
        <v>118</v>
      </c>
      <c r="S2619" s="9">
        <v>100</v>
      </c>
      <c r="T2619" s="9">
        <v>937.5</v>
      </c>
      <c r="U2619" s="9">
        <v>0</v>
      </c>
      <c r="V2619" s="9">
        <f t="shared" si="1782"/>
        <v>0</v>
      </c>
      <c r="W2619" s="7"/>
      <c r="X2619" s="2">
        <v>2016</v>
      </c>
      <c r="Y2619" s="2" t="s">
        <v>8409</v>
      </c>
    </row>
    <row r="2620" spans="1:25" s="11" customFormat="1" ht="89.25" customHeight="1" outlineLevel="1" x14ac:dyDescent="0.25">
      <c r="A2620" s="1"/>
      <c r="B2620" s="2" t="s">
        <v>9217</v>
      </c>
      <c r="C2620" s="3" t="s">
        <v>83</v>
      </c>
      <c r="D2620" s="3" t="s">
        <v>5060</v>
      </c>
      <c r="E2620" s="3" t="s">
        <v>5061</v>
      </c>
      <c r="F2620" s="3" t="s">
        <v>5062</v>
      </c>
      <c r="G2620" s="19" t="s">
        <v>5063</v>
      </c>
      <c r="H2620" s="2" t="s">
        <v>694</v>
      </c>
      <c r="I2620" s="4">
        <v>0</v>
      </c>
      <c r="J2620" s="5">
        <v>710000000</v>
      </c>
      <c r="K2620" s="5" t="s">
        <v>89</v>
      </c>
      <c r="L2620" s="5" t="s">
        <v>9114</v>
      </c>
      <c r="M2620" s="6" t="s">
        <v>787</v>
      </c>
      <c r="N2620" s="7" t="s">
        <v>92</v>
      </c>
      <c r="O2620" s="7" t="s">
        <v>93</v>
      </c>
      <c r="P2620" s="3" t="s">
        <v>673</v>
      </c>
      <c r="Q2620" s="8">
        <v>796</v>
      </c>
      <c r="R2620" s="7" t="s">
        <v>118</v>
      </c>
      <c r="S2620" s="9">
        <f>100+100</f>
        <v>200</v>
      </c>
      <c r="T2620" s="9">
        <v>937.5</v>
      </c>
      <c r="U2620" s="9">
        <f t="shared" ref="U2620" si="1783">T2620*S2620</f>
        <v>187500</v>
      </c>
      <c r="V2620" s="9">
        <f t="shared" ref="V2620" si="1784">U2620*1.12</f>
        <v>210000.00000000003</v>
      </c>
      <c r="W2620" s="7"/>
      <c r="X2620" s="2">
        <v>2016</v>
      </c>
      <c r="Y2620" s="2"/>
    </row>
    <row r="2621" spans="1:25" s="11" customFormat="1" ht="89.25" customHeight="1" outlineLevel="1" x14ac:dyDescent="0.25">
      <c r="A2621" s="1"/>
      <c r="B2621" s="2" t="s">
        <v>7018</v>
      </c>
      <c r="C2621" s="3" t="s">
        <v>83</v>
      </c>
      <c r="D2621" s="3" t="s">
        <v>5064</v>
      </c>
      <c r="E2621" s="3" t="s">
        <v>3791</v>
      </c>
      <c r="F2621" s="3" t="s">
        <v>5065</v>
      </c>
      <c r="G2621" s="19"/>
      <c r="H2621" s="2" t="s">
        <v>694</v>
      </c>
      <c r="I2621" s="4">
        <v>0</v>
      </c>
      <c r="J2621" s="5">
        <v>710000000</v>
      </c>
      <c r="K2621" s="5" t="s">
        <v>89</v>
      </c>
      <c r="L2621" s="2" t="s">
        <v>754</v>
      </c>
      <c r="M2621" s="6" t="s">
        <v>787</v>
      </c>
      <c r="N2621" s="7" t="s">
        <v>92</v>
      </c>
      <c r="O2621" s="7" t="s">
        <v>93</v>
      </c>
      <c r="P2621" s="3" t="s">
        <v>673</v>
      </c>
      <c r="Q2621" s="8">
        <v>796</v>
      </c>
      <c r="R2621" s="7" t="s">
        <v>118</v>
      </c>
      <c r="S2621" s="9">
        <v>12</v>
      </c>
      <c r="T2621" s="9">
        <v>518</v>
      </c>
      <c r="U2621" s="9">
        <f t="shared" si="1781"/>
        <v>6216</v>
      </c>
      <c r="V2621" s="9">
        <f t="shared" si="1782"/>
        <v>6961.920000000001</v>
      </c>
      <c r="W2621" s="7"/>
      <c r="X2621" s="2">
        <v>2016</v>
      </c>
      <c r="Y2621" s="2"/>
    </row>
    <row r="2622" spans="1:25" s="11" customFormat="1" ht="89.25" customHeight="1" outlineLevel="1" x14ac:dyDescent="0.25">
      <c r="A2622" s="1"/>
      <c r="B2622" s="2" t="s">
        <v>7019</v>
      </c>
      <c r="C2622" s="3" t="s">
        <v>83</v>
      </c>
      <c r="D2622" s="3" t="s">
        <v>5066</v>
      </c>
      <c r="E2622" s="3" t="s">
        <v>2660</v>
      </c>
      <c r="F2622" s="3" t="s">
        <v>5067</v>
      </c>
      <c r="G2622" s="3"/>
      <c r="H2622" s="2" t="s">
        <v>694</v>
      </c>
      <c r="I2622" s="4">
        <v>0</v>
      </c>
      <c r="J2622" s="5">
        <v>710000000</v>
      </c>
      <c r="K2622" s="5" t="s">
        <v>89</v>
      </c>
      <c r="L2622" s="2" t="s">
        <v>754</v>
      </c>
      <c r="M2622" s="6" t="s">
        <v>91</v>
      </c>
      <c r="N2622" s="7" t="s">
        <v>92</v>
      </c>
      <c r="O2622" s="7" t="s">
        <v>93</v>
      </c>
      <c r="P2622" s="3" t="s">
        <v>673</v>
      </c>
      <c r="Q2622" s="8">
        <v>796</v>
      </c>
      <c r="R2622" s="7" t="s">
        <v>118</v>
      </c>
      <c r="S2622" s="9">
        <v>90</v>
      </c>
      <c r="T2622" s="9">
        <v>67</v>
      </c>
      <c r="U2622" s="9">
        <f t="shared" si="1781"/>
        <v>6030</v>
      </c>
      <c r="V2622" s="9">
        <f t="shared" si="1782"/>
        <v>6753.6</v>
      </c>
      <c r="W2622" s="7"/>
      <c r="X2622" s="2">
        <v>2016</v>
      </c>
      <c r="Y2622" s="2"/>
    </row>
    <row r="2623" spans="1:25" s="11" customFormat="1" ht="89.25" customHeight="1" outlineLevel="1" x14ac:dyDescent="0.25">
      <c r="A2623" s="1"/>
      <c r="B2623" s="2" t="s">
        <v>7020</v>
      </c>
      <c r="C2623" s="3" t="s">
        <v>83</v>
      </c>
      <c r="D2623" s="3" t="s">
        <v>4935</v>
      </c>
      <c r="E2623" s="3" t="s">
        <v>4932</v>
      </c>
      <c r="F2623" s="3" t="s">
        <v>4936</v>
      </c>
      <c r="G2623" s="19" t="s">
        <v>5068</v>
      </c>
      <c r="H2623" s="2" t="s">
        <v>694</v>
      </c>
      <c r="I2623" s="4">
        <v>0</v>
      </c>
      <c r="J2623" s="5">
        <v>710000000</v>
      </c>
      <c r="K2623" s="5" t="s">
        <v>89</v>
      </c>
      <c r="L2623" s="2" t="s">
        <v>754</v>
      </c>
      <c r="M2623" s="6" t="s">
        <v>91</v>
      </c>
      <c r="N2623" s="7" t="s">
        <v>92</v>
      </c>
      <c r="O2623" s="7" t="s">
        <v>93</v>
      </c>
      <c r="P2623" s="3" t="s">
        <v>673</v>
      </c>
      <c r="Q2623" s="8">
        <v>796</v>
      </c>
      <c r="R2623" s="7" t="s">
        <v>118</v>
      </c>
      <c r="S2623" s="9">
        <v>90</v>
      </c>
      <c r="T2623" s="9">
        <v>259</v>
      </c>
      <c r="U2623" s="9">
        <f t="shared" si="1781"/>
        <v>23310</v>
      </c>
      <c r="V2623" s="9">
        <f t="shared" si="1782"/>
        <v>26107.200000000001</v>
      </c>
      <c r="W2623" s="7"/>
      <c r="X2623" s="2">
        <v>2016</v>
      </c>
      <c r="Y2623" s="2"/>
    </row>
    <row r="2624" spans="1:25" s="11" customFormat="1" ht="89.25" customHeight="1" outlineLevel="1" x14ac:dyDescent="0.25">
      <c r="A2624" s="1"/>
      <c r="B2624" s="2" t="s">
        <v>7021</v>
      </c>
      <c r="C2624" s="3" t="s">
        <v>83</v>
      </c>
      <c r="D2624" s="3" t="s">
        <v>4935</v>
      </c>
      <c r="E2624" s="3" t="s">
        <v>4932</v>
      </c>
      <c r="F2624" s="3" t="s">
        <v>4936</v>
      </c>
      <c r="G2624" s="19" t="s">
        <v>4947</v>
      </c>
      <c r="H2624" s="2" t="s">
        <v>694</v>
      </c>
      <c r="I2624" s="4">
        <v>0</v>
      </c>
      <c r="J2624" s="5">
        <v>710000000</v>
      </c>
      <c r="K2624" s="5" t="s">
        <v>89</v>
      </c>
      <c r="L2624" s="2" t="s">
        <v>754</v>
      </c>
      <c r="M2624" s="6" t="s">
        <v>91</v>
      </c>
      <c r="N2624" s="7" t="s">
        <v>92</v>
      </c>
      <c r="O2624" s="7" t="s">
        <v>93</v>
      </c>
      <c r="P2624" s="3" t="s">
        <v>673</v>
      </c>
      <c r="Q2624" s="8">
        <v>796</v>
      </c>
      <c r="R2624" s="7" t="s">
        <v>118</v>
      </c>
      <c r="S2624" s="9">
        <v>90</v>
      </c>
      <c r="T2624" s="9">
        <v>366</v>
      </c>
      <c r="U2624" s="9">
        <f t="shared" si="1781"/>
        <v>32940</v>
      </c>
      <c r="V2624" s="9">
        <f t="shared" si="1782"/>
        <v>36892.800000000003</v>
      </c>
      <c r="W2624" s="7"/>
      <c r="X2624" s="2">
        <v>2016</v>
      </c>
      <c r="Y2624" s="2"/>
    </row>
    <row r="2625" spans="1:25" s="11" customFormat="1" ht="89.25" customHeight="1" outlineLevel="1" x14ac:dyDescent="0.25">
      <c r="A2625" s="1"/>
      <c r="B2625" s="2" t="s">
        <v>7022</v>
      </c>
      <c r="C2625" s="3" t="s">
        <v>83</v>
      </c>
      <c r="D2625" s="3" t="s">
        <v>4931</v>
      </c>
      <c r="E2625" s="3" t="s">
        <v>4932</v>
      </c>
      <c r="F2625" s="3" t="s">
        <v>4933</v>
      </c>
      <c r="G2625" s="19"/>
      <c r="H2625" s="2" t="s">
        <v>694</v>
      </c>
      <c r="I2625" s="4">
        <v>0</v>
      </c>
      <c r="J2625" s="5">
        <v>710000000</v>
      </c>
      <c r="K2625" s="5" t="s">
        <v>89</v>
      </c>
      <c r="L2625" s="2" t="s">
        <v>754</v>
      </c>
      <c r="M2625" s="6" t="s">
        <v>91</v>
      </c>
      <c r="N2625" s="7" t="s">
        <v>92</v>
      </c>
      <c r="O2625" s="7" t="s">
        <v>93</v>
      </c>
      <c r="P2625" s="3" t="s">
        <v>673</v>
      </c>
      <c r="Q2625" s="8">
        <v>796</v>
      </c>
      <c r="R2625" s="7" t="s">
        <v>118</v>
      </c>
      <c r="S2625" s="9">
        <v>70</v>
      </c>
      <c r="T2625" s="9">
        <v>98</v>
      </c>
      <c r="U2625" s="9">
        <f t="shared" ref="U2625:U2688" si="1785">T2625*S2625</f>
        <v>6860</v>
      </c>
      <c r="V2625" s="9">
        <f t="shared" si="1782"/>
        <v>7683.2000000000007</v>
      </c>
      <c r="W2625" s="7"/>
      <c r="X2625" s="2">
        <v>2016</v>
      </c>
      <c r="Y2625" s="2"/>
    </row>
    <row r="2626" spans="1:25" s="11" customFormat="1" ht="89.25" customHeight="1" outlineLevel="1" x14ac:dyDescent="0.25">
      <c r="A2626" s="1"/>
      <c r="B2626" s="2" t="s">
        <v>7023</v>
      </c>
      <c r="C2626" s="3" t="s">
        <v>83</v>
      </c>
      <c r="D2626" s="3" t="s">
        <v>5069</v>
      </c>
      <c r="E2626" s="3" t="s">
        <v>5070</v>
      </c>
      <c r="F2626" s="3" t="s">
        <v>5071</v>
      </c>
      <c r="G2626" s="19"/>
      <c r="H2626" s="2" t="s">
        <v>694</v>
      </c>
      <c r="I2626" s="4">
        <v>0</v>
      </c>
      <c r="J2626" s="5">
        <v>710000000</v>
      </c>
      <c r="K2626" s="5" t="s">
        <v>89</v>
      </c>
      <c r="L2626" s="2" t="s">
        <v>754</v>
      </c>
      <c r="M2626" s="6" t="s">
        <v>91</v>
      </c>
      <c r="N2626" s="7" t="s">
        <v>92</v>
      </c>
      <c r="O2626" s="7" t="s">
        <v>93</v>
      </c>
      <c r="P2626" s="3" t="s">
        <v>673</v>
      </c>
      <c r="Q2626" s="8">
        <v>796</v>
      </c>
      <c r="R2626" s="7" t="s">
        <v>118</v>
      </c>
      <c r="S2626" s="9">
        <v>70</v>
      </c>
      <c r="T2626" s="9">
        <v>179</v>
      </c>
      <c r="U2626" s="9">
        <f t="shared" si="1785"/>
        <v>12530</v>
      </c>
      <c r="V2626" s="9">
        <f t="shared" si="1782"/>
        <v>14033.600000000002</v>
      </c>
      <c r="W2626" s="7"/>
      <c r="X2626" s="2">
        <v>2016</v>
      </c>
      <c r="Y2626" s="2"/>
    </row>
    <row r="2627" spans="1:25" s="11" customFormat="1" ht="89.25" customHeight="1" outlineLevel="1" x14ac:dyDescent="0.25">
      <c r="A2627" s="1"/>
      <c r="B2627" s="2" t="s">
        <v>7024</v>
      </c>
      <c r="C2627" s="3" t="s">
        <v>83</v>
      </c>
      <c r="D2627" s="3" t="s">
        <v>5072</v>
      </c>
      <c r="E2627" s="3" t="s">
        <v>5073</v>
      </c>
      <c r="F2627" s="3" t="s">
        <v>5074</v>
      </c>
      <c r="G2627" s="3" t="s">
        <v>5075</v>
      </c>
      <c r="H2627" s="2" t="s">
        <v>694</v>
      </c>
      <c r="I2627" s="4">
        <v>0</v>
      </c>
      <c r="J2627" s="5">
        <v>710000000</v>
      </c>
      <c r="K2627" s="5" t="s">
        <v>89</v>
      </c>
      <c r="L2627" s="2" t="s">
        <v>754</v>
      </c>
      <c r="M2627" s="6" t="s">
        <v>91</v>
      </c>
      <c r="N2627" s="7" t="s">
        <v>92</v>
      </c>
      <c r="O2627" s="7" t="s">
        <v>93</v>
      </c>
      <c r="P2627" s="3" t="s">
        <v>673</v>
      </c>
      <c r="Q2627" s="8" t="s">
        <v>3876</v>
      </c>
      <c r="R2627" s="7" t="s">
        <v>2605</v>
      </c>
      <c r="S2627" s="9">
        <v>13</v>
      </c>
      <c r="T2627" s="9">
        <v>335</v>
      </c>
      <c r="U2627" s="9">
        <f t="shared" si="1785"/>
        <v>4355</v>
      </c>
      <c r="V2627" s="9">
        <f t="shared" si="1782"/>
        <v>4877.6000000000004</v>
      </c>
      <c r="W2627" s="7"/>
      <c r="X2627" s="2">
        <v>2016</v>
      </c>
      <c r="Y2627" s="2"/>
    </row>
    <row r="2628" spans="1:25" s="11" customFormat="1" ht="89.25" customHeight="1" outlineLevel="1" x14ac:dyDescent="0.25">
      <c r="A2628" s="1"/>
      <c r="B2628" s="2" t="s">
        <v>7025</v>
      </c>
      <c r="C2628" s="3" t="s">
        <v>83</v>
      </c>
      <c r="D2628" s="3" t="s">
        <v>5072</v>
      </c>
      <c r="E2628" s="3" t="s">
        <v>5073</v>
      </c>
      <c r="F2628" s="3" t="s">
        <v>5074</v>
      </c>
      <c r="G2628" s="3" t="s">
        <v>5076</v>
      </c>
      <c r="H2628" s="2" t="s">
        <v>694</v>
      </c>
      <c r="I2628" s="4">
        <v>0</v>
      </c>
      <c r="J2628" s="5">
        <v>710000000</v>
      </c>
      <c r="K2628" s="5" t="s">
        <v>89</v>
      </c>
      <c r="L2628" s="2" t="s">
        <v>754</v>
      </c>
      <c r="M2628" s="6" t="s">
        <v>91</v>
      </c>
      <c r="N2628" s="7" t="s">
        <v>92</v>
      </c>
      <c r="O2628" s="7" t="s">
        <v>93</v>
      </c>
      <c r="P2628" s="3" t="s">
        <v>673</v>
      </c>
      <c r="Q2628" s="8" t="s">
        <v>3876</v>
      </c>
      <c r="R2628" s="7" t="s">
        <v>2605</v>
      </c>
      <c r="S2628" s="9">
        <v>34</v>
      </c>
      <c r="T2628" s="9">
        <v>179</v>
      </c>
      <c r="U2628" s="9">
        <f t="shared" si="1785"/>
        <v>6086</v>
      </c>
      <c r="V2628" s="9">
        <f t="shared" si="1782"/>
        <v>6816.3200000000006</v>
      </c>
      <c r="W2628" s="7"/>
      <c r="X2628" s="2">
        <v>2016</v>
      </c>
      <c r="Y2628" s="2"/>
    </row>
    <row r="2629" spans="1:25" s="11" customFormat="1" ht="89.25" customHeight="1" outlineLevel="1" x14ac:dyDescent="0.25">
      <c r="A2629" s="1"/>
      <c r="B2629" s="2" t="s">
        <v>7026</v>
      </c>
      <c r="C2629" s="3" t="s">
        <v>83</v>
      </c>
      <c r="D2629" s="3" t="s">
        <v>5005</v>
      </c>
      <c r="E2629" s="3" t="s">
        <v>3325</v>
      </c>
      <c r="F2629" s="3" t="s">
        <v>5006</v>
      </c>
      <c r="G2629" s="19"/>
      <c r="H2629" s="2" t="s">
        <v>694</v>
      </c>
      <c r="I2629" s="4">
        <v>0</v>
      </c>
      <c r="J2629" s="5">
        <v>710000000</v>
      </c>
      <c r="K2629" s="5" t="s">
        <v>89</v>
      </c>
      <c r="L2629" s="2" t="s">
        <v>754</v>
      </c>
      <c r="M2629" s="6" t="s">
        <v>91</v>
      </c>
      <c r="N2629" s="7" t="s">
        <v>92</v>
      </c>
      <c r="O2629" s="7" t="s">
        <v>93</v>
      </c>
      <c r="P2629" s="3" t="s">
        <v>673</v>
      </c>
      <c r="Q2629" s="8" t="s">
        <v>522</v>
      </c>
      <c r="R2629" s="7" t="s">
        <v>523</v>
      </c>
      <c r="S2629" s="9">
        <v>40</v>
      </c>
      <c r="T2629" s="9">
        <v>183</v>
      </c>
      <c r="U2629" s="9">
        <f t="shared" si="1785"/>
        <v>7320</v>
      </c>
      <c r="V2629" s="9">
        <f t="shared" si="1782"/>
        <v>8198.4000000000015</v>
      </c>
      <c r="W2629" s="7"/>
      <c r="X2629" s="2">
        <v>2016</v>
      </c>
      <c r="Y2629" s="2"/>
    </row>
    <row r="2630" spans="1:25" s="11" customFormat="1" ht="89.25" customHeight="1" outlineLevel="1" x14ac:dyDescent="0.25">
      <c r="A2630" s="1"/>
      <c r="B2630" s="2" t="s">
        <v>7027</v>
      </c>
      <c r="C2630" s="3" t="s">
        <v>83</v>
      </c>
      <c r="D2630" s="3" t="s">
        <v>5008</v>
      </c>
      <c r="E2630" s="3" t="s">
        <v>3325</v>
      </c>
      <c r="F2630" s="3" t="s">
        <v>5009</v>
      </c>
      <c r="G2630" s="19"/>
      <c r="H2630" s="2" t="s">
        <v>694</v>
      </c>
      <c r="I2630" s="4">
        <v>0</v>
      </c>
      <c r="J2630" s="5">
        <v>710000000</v>
      </c>
      <c r="K2630" s="5" t="s">
        <v>89</v>
      </c>
      <c r="L2630" s="2" t="s">
        <v>754</v>
      </c>
      <c r="M2630" s="6" t="s">
        <v>91</v>
      </c>
      <c r="N2630" s="7" t="s">
        <v>92</v>
      </c>
      <c r="O2630" s="7" t="s">
        <v>93</v>
      </c>
      <c r="P2630" s="3" t="s">
        <v>673</v>
      </c>
      <c r="Q2630" s="8" t="s">
        <v>522</v>
      </c>
      <c r="R2630" s="7" t="s">
        <v>523</v>
      </c>
      <c r="S2630" s="9">
        <v>40</v>
      </c>
      <c r="T2630" s="9">
        <v>54</v>
      </c>
      <c r="U2630" s="9">
        <f t="shared" si="1785"/>
        <v>2160</v>
      </c>
      <c r="V2630" s="9">
        <f t="shared" si="1782"/>
        <v>2419.2000000000003</v>
      </c>
      <c r="W2630" s="7"/>
      <c r="X2630" s="2">
        <v>2016</v>
      </c>
      <c r="Y2630" s="2"/>
    </row>
    <row r="2631" spans="1:25" s="11" customFormat="1" ht="89.25" customHeight="1" outlineLevel="1" x14ac:dyDescent="0.25">
      <c r="A2631" s="1"/>
      <c r="B2631" s="2" t="s">
        <v>7028</v>
      </c>
      <c r="C2631" s="3" t="s">
        <v>83</v>
      </c>
      <c r="D2631" s="3" t="s">
        <v>4969</v>
      </c>
      <c r="E2631" s="3" t="s">
        <v>4101</v>
      </c>
      <c r="F2631" s="3" t="s">
        <v>4970</v>
      </c>
      <c r="G2631" s="3" t="s">
        <v>4971</v>
      </c>
      <c r="H2631" s="2" t="s">
        <v>694</v>
      </c>
      <c r="I2631" s="4">
        <v>0</v>
      </c>
      <c r="J2631" s="5">
        <v>710000000</v>
      </c>
      <c r="K2631" s="5" t="s">
        <v>89</v>
      </c>
      <c r="L2631" s="2" t="s">
        <v>754</v>
      </c>
      <c r="M2631" s="6" t="s">
        <v>91</v>
      </c>
      <c r="N2631" s="7" t="s">
        <v>92</v>
      </c>
      <c r="O2631" s="7" t="s">
        <v>93</v>
      </c>
      <c r="P2631" s="3" t="s">
        <v>673</v>
      </c>
      <c r="Q2631" s="8">
        <v>796</v>
      </c>
      <c r="R2631" s="7" t="s">
        <v>118</v>
      </c>
      <c r="S2631" s="9">
        <v>100</v>
      </c>
      <c r="T2631" s="9">
        <v>76</v>
      </c>
      <c r="U2631" s="9">
        <f t="shared" si="1785"/>
        <v>7600</v>
      </c>
      <c r="V2631" s="9">
        <f t="shared" si="1782"/>
        <v>8512</v>
      </c>
      <c r="W2631" s="7"/>
      <c r="X2631" s="2">
        <v>2016</v>
      </c>
      <c r="Y2631" s="2"/>
    </row>
    <row r="2632" spans="1:25" s="11" customFormat="1" ht="89.25" customHeight="1" outlineLevel="1" x14ac:dyDescent="0.25">
      <c r="A2632" s="1"/>
      <c r="B2632" s="2" t="s">
        <v>7029</v>
      </c>
      <c r="C2632" s="3" t="s">
        <v>83</v>
      </c>
      <c r="D2632" s="3" t="s">
        <v>5077</v>
      </c>
      <c r="E2632" s="3" t="s">
        <v>4975</v>
      </c>
      <c r="F2632" s="3" t="s">
        <v>5078</v>
      </c>
      <c r="G2632" s="3"/>
      <c r="H2632" s="2" t="s">
        <v>694</v>
      </c>
      <c r="I2632" s="4">
        <v>0</v>
      </c>
      <c r="J2632" s="5">
        <v>710000000</v>
      </c>
      <c r="K2632" s="5" t="s">
        <v>89</v>
      </c>
      <c r="L2632" s="2" t="s">
        <v>754</v>
      </c>
      <c r="M2632" s="6" t="s">
        <v>91</v>
      </c>
      <c r="N2632" s="7" t="s">
        <v>92</v>
      </c>
      <c r="O2632" s="7" t="s">
        <v>93</v>
      </c>
      <c r="P2632" s="3" t="s">
        <v>673</v>
      </c>
      <c r="Q2632" s="8" t="s">
        <v>3876</v>
      </c>
      <c r="R2632" s="7" t="s">
        <v>2605</v>
      </c>
      <c r="S2632" s="9">
        <v>55</v>
      </c>
      <c r="T2632" s="9">
        <v>670</v>
      </c>
      <c r="U2632" s="9">
        <f t="shared" si="1785"/>
        <v>36850</v>
      </c>
      <c r="V2632" s="9">
        <f t="shared" si="1782"/>
        <v>41272.000000000007</v>
      </c>
      <c r="W2632" s="7"/>
      <c r="X2632" s="2">
        <v>2016</v>
      </c>
      <c r="Y2632" s="2"/>
    </row>
    <row r="2633" spans="1:25" s="11" customFormat="1" ht="89.25" customHeight="1" outlineLevel="1" x14ac:dyDescent="0.25">
      <c r="A2633" s="1"/>
      <c r="B2633" s="2" t="s">
        <v>7030</v>
      </c>
      <c r="C2633" s="3" t="s">
        <v>83</v>
      </c>
      <c r="D2633" s="3" t="s">
        <v>4974</v>
      </c>
      <c r="E2633" s="3" t="s">
        <v>4975</v>
      </c>
      <c r="F2633" s="3" t="s">
        <v>4976</v>
      </c>
      <c r="G2633" s="3" t="s">
        <v>5079</v>
      </c>
      <c r="H2633" s="2" t="s">
        <v>694</v>
      </c>
      <c r="I2633" s="4">
        <v>0</v>
      </c>
      <c r="J2633" s="5">
        <v>710000000</v>
      </c>
      <c r="K2633" s="5" t="s">
        <v>89</v>
      </c>
      <c r="L2633" s="2" t="s">
        <v>754</v>
      </c>
      <c r="M2633" s="6" t="s">
        <v>91</v>
      </c>
      <c r="N2633" s="7" t="s">
        <v>92</v>
      </c>
      <c r="O2633" s="7" t="s">
        <v>93</v>
      </c>
      <c r="P2633" s="3" t="s">
        <v>673</v>
      </c>
      <c r="Q2633" s="8">
        <v>796</v>
      </c>
      <c r="R2633" s="7" t="s">
        <v>118</v>
      </c>
      <c r="S2633" s="9">
        <v>100</v>
      </c>
      <c r="T2633" s="9">
        <v>23</v>
      </c>
      <c r="U2633" s="9">
        <f t="shared" si="1785"/>
        <v>2300</v>
      </c>
      <c r="V2633" s="9">
        <f t="shared" si="1782"/>
        <v>2576.0000000000005</v>
      </c>
      <c r="W2633" s="7"/>
      <c r="X2633" s="2">
        <v>2016</v>
      </c>
      <c r="Y2633" s="2"/>
    </row>
    <row r="2634" spans="1:25" s="11" customFormat="1" ht="89.25" customHeight="1" outlineLevel="1" x14ac:dyDescent="0.25">
      <c r="A2634" s="1"/>
      <c r="B2634" s="2" t="s">
        <v>7031</v>
      </c>
      <c r="C2634" s="3" t="s">
        <v>83</v>
      </c>
      <c r="D2634" s="3" t="s">
        <v>5080</v>
      </c>
      <c r="E2634" s="3" t="s">
        <v>3142</v>
      </c>
      <c r="F2634" s="3" t="s">
        <v>5081</v>
      </c>
      <c r="G2634" s="3" t="s">
        <v>5082</v>
      </c>
      <c r="H2634" s="2" t="s">
        <v>694</v>
      </c>
      <c r="I2634" s="4">
        <v>0</v>
      </c>
      <c r="J2634" s="5">
        <v>710000000</v>
      </c>
      <c r="K2634" s="5" t="s">
        <v>89</v>
      </c>
      <c r="L2634" s="2" t="s">
        <v>754</v>
      </c>
      <c r="M2634" s="6" t="s">
        <v>91</v>
      </c>
      <c r="N2634" s="7" t="s">
        <v>92</v>
      </c>
      <c r="O2634" s="7" t="s">
        <v>93</v>
      </c>
      <c r="P2634" s="3" t="s">
        <v>673</v>
      </c>
      <c r="Q2634" s="8">
        <v>796</v>
      </c>
      <c r="R2634" s="7" t="s">
        <v>118</v>
      </c>
      <c r="S2634" s="9">
        <v>50</v>
      </c>
      <c r="T2634" s="9">
        <v>415</v>
      </c>
      <c r="U2634" s="9">
        <f t="shared" si="1785"/>
        <v>20750</v>
      </c>
      <c r="V2634" s="9">
        <f t="shared" si="1782"/>
        <v>23240.000000000004</v>
      </c>
      <c r="W2634" s="7"/>
      <c r="X2634" s="2">
        <v>2016</v>
      </c>
      <c r="Y2634" s="2"/>
    </row>
    <row r="2635" spans="1:25" s="11" customFormat="1" ht="89.25" customHeight="1" outlineLevel="1" x14ac:dyDescent="0.25">
      <c r="A2635" s="1"/>
      <c r="B2635" s="2" t="s">
        <v>7032</v>
      </c>
      <c r="C2635" s="3" t="s">
        <v>83</v>
      </c>
      <c r="D2635" s="3" t="s">
        <v>5080</v>
      </c>
      <c r="E2635" s="3" t="s">
        <v>3142</v>
      </c>
      <c r="F2635" s="3" t="s">
        <v>5081</v>
      </c>
      <c r="G2635" s="19" t="s">
        <v>5083</v>
      </c>
      <c r="H2635" s="2" t="s">
        <v>694</v>
      </c>
      <c r="I2635" s="4">
        <v>0</v>
      </c>
      <c r="J2635" s="5">
        <v>710000000</v>
      </c>
      <c r="K2635" s="5" t="s">
        <v>89</v>
      </c>
      <c r="L2635" s="2" t="s">
        <v>754</v>
      </c>
      <c r="M2635" s="6" t="s">
        <v>91</v>
      </c>
      <c r="N2635" s="7" t="s">
        <v>92</v>
      </c>
      <c r="O2635" s="7" t="s">
        <v>93</v>
      </c>
      <c r="P2635" s="3" t="s">
        <v>673</v>
      </c>
      <c r="Q2635" s="8">
        <v>796</v>
      </c>
      <c r="R2635" s="7" t="s">
        <v>118</v>
      </c>
      <c r="S2635" s="9">
        <v>44</v>
      </c>
      <c r="T2635" s="9">
        <v>656</v>
      </c>
      <c r="U2635" s="9">
        <f t="shared" si="1785"/>
        <v>28864</v>
      </c>
      <c r="V2635" s="9">
        <f t="shared" si="1782"/>
        <v>32327.680000000004</v>
      </c>
      <c r="W2635" s="7"/>
      <c r="X2635" s="2">
        <v>2016</v>
      </c>
      <c r="Y2635" s="2"/>
    </row>
    <row r="2636" spans="1:25" s="11" customFormat="1" ht="89.25" customHeight="1" outlineLevel="1" x14ac:dyDescent="0.25">
      <c r="A2636" s="1"/>
      <c r="B2636" s="2" t="s">
        <v>7033</v>
      </c>
      <c r="C2636" s="3" t="s">
        <v>83</v>
      </c>
      <c r="D2636" s="3" t="s">
        <v>5001</v>
      </c>
      <c r="E2636" s="3" t="s">
        <v>5002</v>
      </c>
      <c r="F2636" s="3" t="s">
        <v>5003</v>
      </c>
      <c r="G2636" s="19"/>
      <c r="H2636" s="2" t="s">
        <v>694</v>
      </c>
      <c r="I2636" s="4">
        <v>0</v>
      </c>
      <c r="J2636" s="5">
        <v>710000000</v>
      </c>
      <c r="K2636" s="5" t="s">
        <v>89</v>
      </c>
      <c r="L2636" s="2" t="s">
        <v>754</v>
      </c>
      <c r="M2636" s="6" t="s">
        <v>91</v>
      </c>
      <c r="N2636" s="7" t="s">
        <v>92</v>
      </c>
      <c r="O2636" s="7" t="s">
        <v>93</v>
      </c>
      <c r="P2636" s="3" t="s">
        <v>673</v>
      </c>
      <c r="Q2636" s="8">
        <v>796</v>
      </c>
      <c r="R2636" s="7" t="s">
        <v>118</v>
      </c>
      <c r="S2636" s="9">
        <v>55</v>
      </c>
      <c r="T2636" s="9">
        <v>28</v>
      </c>
      <c r="U2636" s="9">
        <f t="shared" si="1785"/>
        <v>1540</v>
      </c>
      <c r="V2636" s="9">
        <f t="shared" si="1782"/>
        <v>1724.8000000000002</v>
      </c>
      <c r="W2636" s="7"/>
      <c r="X2636" s="2">
        <v>2016</v>
      </c>
      <c r="Y2636" s="2"/>
    </row>
    <row r="2637" spans="1:25" s="11" customFormat="1" ht="89.25" customHeight="1" outlineLevel="1" x14ac:dyDescent="0.25">
      <c r="A2637" s="1"/>
      <c r="B2637" s="2" t="s">
        <v>7034</v>
      </c>
      <c r="C2637" s="3" t="s">
        <v>83</v>
      </c>
      <c r="D2637" s="3" t="s">
        <v>4938</v>
      </c>
      <c r="E2637" s="3" t="s">
        <v>4939</v>
      </c>
      <c r="F2637" s="3" t="s">
        <v>4940</v>
      </c>
      <c r="G2637" s="19"/>
      <c r="H2637" s="2" t="s">
        <v>694</v>
      </c>
      <c r="I2637" s="4">
        <v>0</v>
      </c>
      <c r="J2637" s="5">
        <v>710000000</v>
      </c>
      <c r="K2637" s="5" t="s">
        <v>89</v>
      </c>
      <c r="L2637" s="2" t="s">
        <v>754</v>
      </c>
      <c r="M2637" s="6" t="s">
        <v>91</v>
      </c>
      <c r="N2637" s="7" t="s">
        <v>92</v>
      </c>
      <c r="O2637" s="7" t="s">
        <v>93</v>
      </c>
      <c r="P2637" s="3" t="s">
        <v>673</v>
      </c>
      <c r="Q2637" s="8">
        <v>796</v>
      </c>
      <c r="R2637" s="7" t="s">
        <v>118</v>
      </c>
      <c r="S2637" s="9">
        <v>500</v>
      </c>
      <c r="T2637" s="9">
        <v>9</v>
      </c>
      <c r="U2637" s="9">
        <f t="shared" si="1785"/>
        <v>4500</v>
      </c>
      <c r="V2637" s="9">
        <f t="shared" si="1782"/>
        <v>5040.0000000000009</v>
      </c>
      <c r="W2637" s="7"/>
      <c r="X2637" s="2">
        <v>2016</v>
      </c>
      <c r="Y2637" s="2"/>
    </row>
    <row r="2638" spans="1:25" s="11" customFormat="1" ht="89.25" customHeight="1" outlineLevel="1" x14ac:dyDescent="0.25">
      <c r="A2638" s="1"/>
      <c r="B2638" s="2" t="s">
        <v>7035</v>
      </c>
      <c r="C2638" s="3" t="s">
        <v>83</v>
      </c>
      <c r="D2638" s="3" t="s">
        <v>4982</v>
      </c>
      <c r="E2638" s="3" t="s">
        <v>4983</v>
      </c>
      <c r="F2638" s="3" t="s">
        <v>4984</v>
      </c>
      <c r="G2638" s="19"/>
      <c r="H2638" s="2" t="s">
        <v>694</v>
      </c>
      <c r="I2638" s="4">
        <v>0</v>
      </c>
      <c r="J2638" s="5">
        <v>710000000</v>
      </c>
      <c r="K2638" s="5" t="s">
        <v>89</v>
      </c>
      <c r="L2638" s="2" t="s">
        <v>754</v>
      </c>
      <c r="M2638" s="6" t="s">
        <v>91</v>
      </c>
      <c r="N2638" s="7" t="s">
        <v>92</v>
      </c>
      <c r="O2638" s="7" t="s">
        <v>93</v>
      </c>
      <c r="P2638" s="3" t="s">
        <v>673</v>
      </c>
      <c r="Q2638" s="8">
        <v>796</v>
      </c>
      <c r="R2638" s="7" t="s">
        <v>118</v>
      </c>
      <c r="S2638" s="9">
        <v>80</v>
      </c>
      <c r="T2638" s="9">
        <v>80</v>
      </c>
      <c r="U2638" s="9">
        <f t="shared" si="1785"/>
        <v>6400</v>
      </c>
      <c r="V2638" s="9">
        <f t="shared" si="1782"/>
        <v>7168.0000000000009</v>
      </c>
      <c r="W2638" s="7"/>
      <c r="X2638" s="2">
        <v>2016</v>
      </c>
      <c r="Y2638" s="2"/>
    </row>
    <row r="2639" spans="1:25" s="11" customFormat="1" ht="89.25" customHeight="1" outlineLevel="1" x14ac:dyDescent="0.25">
      <c r="A2639" s="1"/>
      <c r="B2639" s="2" t="s">
        <v>7036</v>
      </c>
      <c r="C2639" s="3" t="s">
        <v>83</v>
      </c>
      <c r="D2639" s="3" t="s">
        <v>5084</v>
      </c>
      <c r="E2639" s="3" t="s">
        <v>5085</v>
      </c>
      <c r="F2639" s="3" t="s">
        <v>5086</v>
      </c>
      <c r="G2639" s="19"/>
      <c r="H2639" s="2" t="s">
        <v>694</v>
      </c>
      <c r="I2639" s="4">
        <v>0</v>
      </c>
      <c r="J2639" s="5">
        <v>710000000</v>
      </c>
      <c r="K2639" s="5" t="s">
        <v>89</v>
      </c>
      <c r="L2639" s="2" t="s">
        <v>754</v>
      </c>
      <c r="M2639" s="6" t="s">
        <v>91</v>
      </c>
      <c r="N2639" s="7" t="s">
        <v>92</v>
      </c>
      <c r="O2639" s="7" t="s">
        <v>93</v>
      </c>
      <c r="P2639" s="3" t="s">
        <v>673</v>
      </c>
      <c r="Q2639" s="8" t="s">
        <v>522</v>
      </c>
      <c r="R2639" s="7" t="s">
        <v>523</v>
      </c>
      <c r="S2639" s="9">
        <v>55</v>
      </c>
      <c r="T2639" s="9">
        <v>264</v>
      </c>
      <c r="U2639" s="9">
        <f t="shared" si="1785"/>
        <v>14520</v>
      </c>
      <c r="V2639" s="9">
        <f t="shared" si="1782"/>
        <v>16262.400000000001</v>
      </c>
      <c r="W2639" s="7"/>
      <c r="X2639" s="2">
        <v>2016</v>
      </c>
      <c r="Y2639" s="2"/>
    </row>
    <row r="2640" spans="1:25" s="11" customFormat="1" ht="89.25" customHeight="1" outlineLevel="1" x14ac:dyDescent="0.25">
      <c r="A2640" s="1"/>
      <c r="B2640" s="2" t="s">
        <v>7037</v>
      </c>
      <c r="C2640" s="3" t="s">
        <v>83</v>
      </c>
      <c r="D2640" s="3" t="s">
        <v>5087</v>
      </c>
      <c r="E2640" s="3" t="s">
        <v>5088</v>
      </c>
      <c r="F2640" s="3" t="s">
        <v>5089</v>
      </c>
      <c r="G2640" s="19"/>
      <c r="H2640" s="2" t="s">
        <v>694</v>
      </c>
      <c r="I2640" s="4">
        <v>0</v>
      </c>
      <c r="J2640" s="5">
        <v>710000000</v>
      </c>
      <c r="K2640" s="5" t="s">
        <v>89</v>
      </c>
      <c r="L2640" s="2" t="s">
        <v>754</v>
      </c>
      <c r="M2640" s="6" t="s">
        <v>91</v>
      </c>
      <c r="N2640" s="7" t="s">
        <v>92</v>
      </c>
      <c r="O2640" s="7" t="s">
        <v>93</v>
      </c>
      <c r="P2640" s="3" t="s">
        <v>673</v>
      </c>
      <c r="Q2640" s="8">
        <v>796</v>
      </c>
      <c r="R2640" s="7" t="s">
        <v>118</v>
      </c>
      <c r="S2640" s="9">
        <v>5</v>
      </c>
      <c r="T2640" s="9">
        <v>85</v>
      </c>
      <c r="U2640" s="9">
        <f t="shared" si="1785"/>
        <v>425</v>
      </c>
      <c r="V2640" s="9">
        <f t="shared" si="1782"/>
        <v>476.00000000000006</v>
      </c>
      <c r="W2640" s="7"/>
      <c r="X2640" s="2">
        <v>2016</v>
      </c>
      <c r="Y2640" s="2"/>
    </row>
    <row r="2641" spans="1:25" s="11" customFormat="1" ht="89.25" customHeight="1" outlineLevel="1" x14ac:dyDescent="0.25">
      <c r="A2641" s="1"/>
      <c r="B2641" s="2" t="s">
        <v>7038</v>
      </c>
      <c r="C2641" s="3" t="s">
        <v>83</v>
      </c>
      <c r="D2641" s="3" t="s">
        <v>5090</v>
      </c>
      <c r="E2641" s="3" t="s">
        <v>5091</v>
      </c>
      <c r="F2641" s="3" t="s">
        <v>5092</v>
      </c>
      <c r="G2641" s="3"/>
      <c r="H2641" s="2" t="s">
        <v>694</v>
      </c>
      <c r="I2641" s="4">
        <v>0</v>
      </c>
      <c r="J2641" s="5">
        <v>710000000</v>
      </c>
      <c r="K2641" s="5" t="s">
        <v>89</v>
      </c>
      <c r="L2641" s="2" t="s">
        <v>754</v>
      </c>
      <c r="M2641" s="6" t="s">
        <v>91</v>
      </c>
      <c r="N2641" s="7" t="s">
        <v>92</v>
      </c>
      <c r="O2641" s="7" t="s">
        <v>93</v>
      </c>
      <c r="P2641" s="3" t="s">
        <v>673</v>
      </c>
      <c r="Q2641" s="8" t="s">
        <v>5093</v>
      </c>
      <c r="R2641" s="7" t="s">
        <v>5094</v>
      </c>
      <c r="S2641" s="9">
        <v>20</v>
      </c>
      <c r="T2641" s="9">
        <v>116</v>
      </c>
      <c r="U2641" s="9">
        <f t="shared" si="1785"/>
        <v>2320</v>
      </c>
      <c r="V2641" s="9">
        <f t="shared" si="1782"/>
        <v>2598.4</v>
      </c>
      <c r="W2641" s="7"/>
      <c r="X2641" s="2">
        <v>2016</v>
      </c>
      <c r="Y2641" s="2"/>
    </row>
    <row r="2642" spans="1:25" s="11" customFormat="1" ht="89.25" customHeight="1" outlineLevel="1" x14ac:dyDescent="0.25">
      <c r="A2642" s="1"/>
      <c r="B2642" s="2" t="s">
        <v>7039</v>
      </c>
      <c r="C2642" s="3" t="s">
        <v>83</v>
      </c>
      <c r="D2642" s="3" t="s">
        <v>5095</v>
      </c>
      <c r="E2642" s="3" t="s">
        <v>5096</v>
      </c>
      <c r="F2642" s="3" t="s">
        <v>5097</v>
      </c>
      <c r="G2642" s="19"/>
      <c r="H2642" s="2" t="s">
        <v>694</v>
      </c>
      <c r="I2642" s="4">
        <v>0</v>
      </c>
      <c r="J2642" s="5">
        <v>710000000</v>
      </c>
      <c r="K2642" s="5" t="s">
        <v>89</v>
      </c>
      <c r="L2642" s="2" t="s">
        <v>754</v>
      </c>
      <c r="M2642" s="6" t="s">
        <v>91</v>
      </c>
      <c r="N2642" s="7" t="s">
        <v>92</v>
      </c>
      <c r="O2642" s="7" t="s">
        <v>93</v>
      </c>
      <c r="P2642" s="3" t="s">
        <v>673</v>
      </c>
      <c r="Q2642" s="8" t="s">
        <v>522</v>
      </c>
      <c r="R2642" s="7" t="s">
        <v>523</v>
      </c>
      <c r="S2642" s="9">
        <v>10</v>
      </c>
      <c r="T2642" s="9">
        <v>402</v>
      </c>
      <c r="U2642" s="9">
        <f t="shared" si="1785"/>
        <v>4020</v>
      </c>
      <c r="V2642" s="9">
        <f t="shared" ref="V2642:V2705" si="1786">U2642*1.12</f>
        <v>4502.4000000000005</v>
      </c>
      <c r="W2642" s="7"/>
      <c r="X2642" s="2">
        <v>2016</v>
      </c>
      <c r="Y2642" s="2"/>
    </row>
    <row r="2643" spans="1:25" s="11" customFormat="1" ht="89.25" customHeight="1" outlineLevel="1" x14ac:dyDescent="0.25">
      <c r="A2643" s="1"/>
      <c r="B2643" s="2" t="s">
        <v>7040</v>
      </c>
      <c r="C2643" s="3" t="s">
        <v>83</v>
      </c>
      <c r="D2643" s="3" t="s">
        <v>5098</v>
      </c>
      <c r="E2643" s="3" t="s">
        <v>5099</v>
      </c>
      <c r="F2643" s="3" t="s">
        <v>5100</v>
      </c>
      <c r="G2643" s="19"/>
      <c r="H2643" s="2" t="s">
        <v>694</v>
      </c>
      <c r="I2643" s="4">
        <v>0</v>
      </c>
      <c r="J2643" s="5">
        <v>710000000</v>
      </c>
      <c r="K2643" s="5" t="s">
        <v>89</v>
      </c>
      <c r="L2643" s="2" t="s">
        <v>754</v>
      </c>
      <c r="M2643" s="6" t="s">
        <v>91</v>
      </c>
      <c r="N2643" s="7" t="s">
        <v>92</v>
      </c>
      <c r="O2643" s="7" t="s">
        <v>93</v>
      </c>
      <c r="P2643" s="3" t="s">
        <v>673</v>
      </c>
      <c r="Q2643" s="8" t="s">
        <v>3876</v>
      </c>
      <c r="R2643" s="7" t="s">
        <v>2605</v>
      </c>
      <c r="S2643" s="9">
        <v>50</v>
      </c>
      <c r="T2643" s="9">
        <v>54</v>
      </c>
      <c r="U2643" s="9">
        <f t="shared" si="1785"/>
        <v>2700</v>
      </c>
      <c r="V2643" s="9">
        <f t="shared" si="1786"/>
        <v>3024.0000000000005</v>
      </c>
      <c r="W2643" s="7"/>
      <c r="X2643" s="2">
        <v>2016</v>
      </c>
      <c r="Y2643" s="2"/>
    </row>
    <row r="2644" spans="1:25" s="11" customFormat="1" ht="89.25" customHeight="1" outlineLevel="1" x14ac:dyDescent="0.25">
      <c r="A2644" s="1"/>
      <c r="B2644" s="2" t="s">
        <v>7041</v>
      </c>
      <c r="C2644" s="3" t="s">
        <v>83</v>
      </c>
      <c r="D2644" s="3" t="s">
        <v>5101</v>
      </c>
      <c r="E2644" s="3" t="s">
        <v>5102</v>
      </c>
      <c r="F2644" s="3" t="s">
        <v>2470</v>
      </c>
      <c r="G2644" s="19"/>
      <c r="H2644" s="2" t="s">
        <v>694</v>
      </c>
      <c r="I2644" s="4">
        <v>0</v>
      </c>
      <c r="J2644" s="5">
        <v>710000000</v>
      </c>
      <c r="K2644" s="5" t="s">
        <v>89</v>
      </c>
      <c r="L2644" s="2" t="s">
        <v>754</v>
      </c>
      <c r="M2644" s="6" t="s">
        <v>91</v>
      </c>
      <c r="N2644" s="7" t="s">
        <v>92</v>
      </c>
      <c r="O2644" s="7" t="s">
        <v>93</v>
      </c>
      <c r="P2644" s="3" t="s">
        <v>673</v>
      </c>
      <c r="Q2644" s="8">
        <v>796</v>
      </c>
      <c r="R2644" s="7" t="s">
        <v>118</v>
      </c>
      <c r="S2644" s="9">
        <v>60</v>
      </c>
      <c r="T2644" s="9">
        <v>357</v>
      </c>
      <c r="U2644" s="9">
        <f t="shared" si="1785"/>
        <v>21420</v>
      </c>
      <c r="V2644" s="9">
        <f t="shared" si="1786"/>
        <v>23990.400000000001</v>
      </c>
      <c r="W2644" s="7"/>
      <c r="X2644" s="2">
        <v>2016</v>
      </c>
      <c r="Y2644" s="2"/>
    </row>
    <row r="2645" spans="1:25" s="11" customFormat="1" ht="89.25" customHeight="1" outlineLevel="1" x14ac:dyDescent="0.25">
      <c r="A2645" s="1"/>
      <c r="B2645" s="2" t="s">
        <v>7042</v>
      </c>
      <c r="C2645" s="3" t="s">
        <v>83</v>
      </c>
      <c r="D2645" s="3" t="s">
        <v>5030</v>
      </c>
      <c r="E2645" s="3" t="s">
        <v>5031</v>
      </c>
      <c r="F2645" s="3" t="s">
        <v>5032</v>
      </c>
      <c r="G2645" s="3" t="s">
        <v>5103</v>
      </c>
      <c r="H2645" s="2" t="s">
        <v>694</v>
      </c>
      <c r="I2645" s="4">
        <v>0</v>
      </c>
      <c r="J2645" s="5">
        <v>710000000</v>
      </c>
      <c r="K2645" s="5" t="s">
        <v>89</v>
      </c>
      <c r="L2645" s="2" t="s">
        <v>754</v>
      </c>
      <c r="M2645" s="6" t="s">
        <v>91</v>
      </c>
      <c r="N2645" s="7" t="s">
        <v>92</v>
      </c>
      <c r="O2645" s="7" t="s">
        <v>93</v>
      </c>
      <c r="P2645" s="3" t="s">
        <v>673</v>
      </c>
      <c r="Q2645" s="8" t="s">
        <v>522</v>
      </c>
      <c r="R2645" s="7" t="s">
        <v>523</v>
      </c>
      <c r="S2645" s="9">
        <v>16</v>
      </c>
      <c r="T2645" s="9">
        <v>171</v>
      </c>
      <c r="U2645" s="9">
        <f t="shared" si="1785"/>
        <v>2736</v>
      </c>
      <c r="V2645" s="9">
        <f t="shared" si="1786"/>
        <v>3064.32</v>
      </c>
      <c r="W2645" s="7"/>
      <c r="X2645" s="2">
        <v>2016</v>
      </c>
      <c r="Y2645" s="2"/>
    </row>
    <row r="2646" spans="1:25" s="11" customFormat="1" ht="89.25" customHeight="1" outlineLevel="1" x14ac:dyDescent="0.25">
      <c r="A2646" s="1"/>
      <c r="B2646" s="2" t="s">
        <v>7043</v>
      </c>
      <c r="C2646" s="3" t="s">
        <v>83</v>
      </c>
      <c r="D2646" s="3" t="s">
        <v>5030</v>
      </c>
      <c r="E2646" s="3" t="s">
        <v>5031</v>
      </c>
      <c r="F2646" s="3" t="s">
        <v>5032</v>
      </c>
      <c r="G2646" s="3" t="s">
        <v>5104</v>
      </c>
      <c r="H2646" s="2" t="s">
        <v>694</v>
      </c>
      <c r="I2646" s="4">
        <v>0</v>
      </c>
      <c r="J2646" s="5">
        <v>710000000</v>
      </c>
      <c r="K2646" s="5" t="s">
        <v>89</v>
      </c>
      <c r="L2646" s="2" t="s">
        <v>754</v>
      </c>
      <c r="M2646" s="6" t="s">
        <v>91</v>
      </c>
      <c r="N2646" s="7" t="s">
        <v>92</v>
      </c>
      <c r="O2646" s="7" t="s">
        <v>93</v>
      </c>
      <c r="P2646" s="3" t="s">
        <v>673</v>
      </c>
      <c r="Q2646" s="8" t="s">
        <v>522</v>
      </c>
      <c r="R2646" s="7" t="s">
        <v>523</v>
      </c>
      <c r="S2646" s="9">
        <v>6</v>
      </c>
      <c r="T2646" s="9">
        <v>68</v>
      </c>
      <c r="U2646" s="9">
        <f t="shared" si="1785"/>
        <v>408</v>
      </c>
      <c r="V2646" s="9">
        <f t="shared" si="1786"/>
        <v>456.96000000000004</v>
      </c>
      <c r="W2646" s="7"/>
      <c r="X2646" s="2">
        <v>2016</v>
      </c>
      <c r="Y2646" s="2"/>
    </row>
    <row r="2647" spans="1:25" s="11" customFormat="1" ht="89.25" customHeight="1" outlineLevel="1" x14ac:dyDescent="0.25">
      <c r="A2647" s="1"/>
      <c r="B2647" s="2" t="s">
        <v>7044</v>
      </c>
      <c r="C2647" s="3" t="s">
        <v>83</v>
      </c>
      <c r="D2647" s="3" t="s">
        <v>5027</v>
      </c>
      <c r="E2647" s="3" t="s">
        <v>3991</v>
      </c>
      <c r="F2647" s="3" t="s">
        <v>5028</v>
      </c>
      <c r="G2647" s="3" t="s">
        <v>5105</v>
      </c>
      <c r="H2647" s="2" t="s">
        <v>694</v>
      </c>
      <c r="I2647" s="4">
        <v>0</v>
      </c>
      <c r="J2647" s="5">
        <v>710000000</v>
      </c>
      <c r="K2647" s="5" t="s">
        <v>89</v>
      </c>
      <c r="L2647" s="2" t="s">
        <v>754</v>
      </c>
      <c r="M2647" s="6" t="s">
        <v>91</v>
      </c>
      <c r="N2647" s="7" t="s">
        <v>92</v>
      </c>
      <c r="O2647" s="7" t="s">
        <v>93</v>
      </c>
      <c r="P2647" s="3" t="s">
        <v>673</v>
      </c>
      <c r="Q2647" s="8">
        <v>796</v>
      </c>
      <c r="R2647" s="7" t="s">
        <v>118</v>
      </c>
      <c r="S2647" s="9">
        <v>10</v>
      </c>
      <c r="T2647" s="9">
        <v>667</v>
      </c>
      <c r="U2647" s="9">
        <f t="shared" si="1785"/>
        <v>6670</v>
      </c>
      <c r="V2647" s="9">
        <f t="shared" si="1786"/>
        <v>7470.4000000000005</v>
      </c>
      <c r="W2647" s="7"/>
      <c r="X2647" s="2">
        <v>2016</v>
      </c>
      <c r="Y2647" s="2"/>
    </row>
    <row r="2648" spans="1:25" s="11" customFormat="1" ht="89.25" customHeight="1" outlineLevel="1" x14ac:dyDescent="0.25">
      <c r="A2648" s="1"/>
      <c r="B2648" s="2" t="s">
        <v>7045</v>
      </c>
      <c r="C2648" s="3" t="s">
        <v>83</v>
      </c>
      <c r="D2648" s="3" t="s">
        <v>5106</v>
      </c>
      <c r="E2648" s="3" t="s">
        <v>5107</v>
      </c>
      <c r="F2648" s="3" t="s">
        <v>5108</v>
      </c>
      <c r="G2648" s="19" t="s">
        <v>5109</v>
      </c>
      <c r="H2648" s="2" t="s">
        <v>694</v>
      </c>
      <c r="I2648" s="4">
        <v>0</v>
      </c>
      <c r="J2648" s="5">
        <v>710000000</v>
      </c>
      <c r="K2648" s="5" t="s">
        <v>89</v>
      </c>
      <c r="L2648" s="2" t="s">
        <v>754</v>
      </c>
      <c r="M2648" s="6" t="s">
        <v>91</v>
      </c>
      <c r="N2648" s="7" t="s">
        <v>92</v>
      </c>
      <c r="O2648" s="7" t="s">
        <v>93</v>
      </c>
      <c r="P2648" s="3" t="s">
        <v>673</v>
      </c>
      <c r="Q2648" s="8" t="s">
        <v>5110</v>
      </c>
      <c r="R2648" s="7" t="s">
        <v>5111</v>
      </c>
      <c r="S2648" s="9">
        <v>1</v>
      </c>
      <c r="T2648" s="9">
        <v>1196</v>
      </c>
      <c r="U2648" s="9">
        <f t="shared" si="1785"/>
        <v>1196</v>
      </c>
      <c r="V2648" s="9">
        <f t="shared" si="1786"/>
        <v>1339.5200000000002</v>
      </c>
      <c r="W2648" s="7"/>
      <c r="X2648" s="2">
        <v>2016</v>
      </c>
      <c r="Y2648" s="2"/>
    </row>
    <row r="2649" spans="1:25" s="11" customFormat="1" ht="89.25" customHeight="1" outlineLevel="1" x14ac:dyDescent="0.25">
      <c r="A2649" s="1"/>
      <c r="B2649" s="2" t="s">
        <v>7046</v>
      </c>
      <c r="C2649" s="3" t="s">
        <v>83</v>
      </c>
      <c r="D2649" s="3" t="s">
        <v>5112</v>
      </c>
      <c r="E2649" s="3" t="s">
        <v>5031</v>
      </c>
      <c r="F2649" s="3" t="s">
        <v>5032</v>
      </c>
      <c r="G2649" s="3" t="s">
        <v>5113</v>
      </c>
      <c r="H2649" s="2" t="s">
        <v>694</v>
      </c>
      <c r="I2649" s="4">
        <v>0</v>
      </c>
      <c r="J2649" s="5">
        <v>710000000</v>
      </c>
      <c r="K2649" s="5" t="s">
        <v>89</v>
      </c>
      <c r="L2649" s="2" t="s">
        <v>754</v>
      </c>
      <c r="M2649" s="6" t="s">
        <v>689</v>
      </c>
      <c r="N2649" s="7" t="s">
        <v>92</v>
      </c>
      <c r="O2649" s="7" t="s">
        <v>93</v>
      </c>
      <c r="P2649" s="3" t="s">
        <v>673</v>
      </c>
      <c r="Q2649" s="8" t="s">
        <v>228</v>
      </c>
      <c r="R2649" s="7" t="s">
        <v>229</v>
      </c>
      <c r="S2649" s="9">
        <v>36</v>
      </c>
      <c r="T2649" s="9">
        <v>76</v>
      </c>
      <c r="U2649" s="9">
        <f t="shared" si="1785"/>
        <v>2736</v>
      </c>
      <c r="V2649" s="9">
        <f t="shared" si="1786"/>
        <v>3064.32</v>
      </c>
      <c r="W2649" s="7"/>
      <c r="X2649" s="2">
        <v>2016</v>
      </c>
      <c r="Y2649" s="2"/>
    </row>
    <row r="2650" spans="1:25" s="11" customFormat="1" ht="89.25" customHeight="1" outlineLevel="1" x14ac:dyDescent="0.25">
      <c r="A2650" s="1"/>
      <c r="B2650" s="2" t="s">
        <v>7047</v>
      </c>
      <c r="C2650" s="3" t="s">
        <v>83</v>
      </c>
      <c r="D2650" s="3" t="s">
        <v>4989</v>
      </c>
      <c r="E2650" s="3" t="s">
        <v>4986</v>
      </c>
      <c r="F2650" s="3" t="s">
        <v>4990</v>
      </c>
      <c r="G2650" s="3" t="s">
        <v>5114</v>
      </c>
      <c r="H2650" s="2" t="s">
        <v>694</v>
      </c>
      <c r="I2650" s="4">
        <v>0</v>
      </c>
      <c r="J2650" s="5">
        <v>710000000</v>
      </c>
      <c r="K2650" s="5" t="s">
        <v>89</v>
      </c>
      <c r="L2650" s="2" t="s">
        <v>754</v>
      </c>
      <c r="M2650" s="6" t="s">
        <v>689</v>
      </c>
      <c r="N2650" s="7" t="s">
        <v>92</v>
      </c>
      <c r="O2650" s="7" t="s">
        <v>93</v>
      </c>
      <c r="P2650" s="3" t="s">
        <v>673</v>
      </c>
      <c r="Q2650" s="8">
        <v>796</v>
      </c>
      <c r="R2650" s="7" t="s">
        <v>118</v>
      </c>
      <c r="S2650" s="9">
        <v>4</v>
      </c>
      <c r="T2650" s="9">
        <v>110.64</v>
      </c>
      <c r="U2650" s="9">
        <f t="shared" si="1785"/>
        <v>442.56</v>
      </c>
      <c r="V2650" s="9">
        <f t="shared" si="1786"/>
        <v>495.66720000000004</v>
      </c>
      <c r="W2650" s="7"/>
      <c r="X2650" s="2">
        <v>2016</v>
      </c>
      <c r="Y2650" s="2"/>
    </row>
    <row r="2651" spans="1:25" s="11" customFormat="1" ht="89.25" customHeight="1" outlineLevel="1" x14ac:dyDescent="0.25">
      <c r="A2651" s="1"/>
      <c r="B2651" s="2" t="s">
        <v>7048</v>
      </c>
      <c r="C2651" s="3" t="s">
        <v>83</v>
      </c>
      <c r="D2651" s="3" t="s">
        <v>5115</v>
      </c>
      <c r="E2651" s="3" t="s">
        <v>2660</v>
      </c>
      <c r="F2651" s="3" t="s">
        <v>5116</v>
      </c>
      <c r="G2651" s="3" t="s">
        <v>5117</v>
      </c>
      <c r="H2651" s="2" t="s">
        <v>694</v>
      </c>
      <c r="I2651" s="4">
        <v>0</v>
      </c>
      <c r="J2651" s="5">
        <v>710000000</v>
      </c>
      <c r="K2651" s="5" t="s">
        <v>89</v>
      </c>
      <c r="L2651" s="2" t="s">
        <v>754</v>
      </c>
      <c r="M2651" s="6" t="s">
        <v>689</v>
      </c>
      <c r="N2651" s="7" t="s">
        <v>92</v>
      </c>
      <c r="O2651" s="7" t="s">
        <v>93</v>
      </c>
      <c r="P2651" s="3" t="s">
        <v>673</v>
      </c>
      <c r="Q2651" s="8">
        <v>796</v>
      </c>
      <c r="R2651" s="7" t="s">
        <v>118</v>
      </c>
      <c r="S2651" s="9">
        <v>12</v>
      </c>
      <c r="T2651" s="9">
        <v>110</v>
      </c>
      <c r="U2651" s="9">
        <f t="shared" si="1785"/>
        <v>1320</v>
      </c>
      <c r="V2651" s="9">
        <f t="shared" si="1786"/>
        <v>1478.4</v>
      </c>
      <c r="W2651" s="7"/>
      <c r="X2651" s="2">
        <v>2016</v>
      </c>
      <c r="Y2651" s="2"/>
    </row>
    <row r="2652" spans="1:25" s="11" customFormat="1" ht="89.25" customHeight="1" outlineLevel="1" x14ac:dyDescent="0.25">
      <c r="A2652" s="1"/>
      <c r="B2652" s="2" t="s">
        <v>7049</v>
      </c>
      <c r="C2652" s="3" t="s">
        <v>83</v>
      </c>
      <c r="D2652" s="3" t="s">
        <v>4969</v>
      </c>
      <c r="E2652" s="3" t="s">
        <v>4101</v>
      </c>
      <c r="F2652" s="3" t="s">
        <v>4970</v>
      </c>
      <c r="G2652" s="3" t="s">
        <v>4971</v>
      </c>
      <c r="H2652" s="2" t="s">
        <v>694</v>
      </c>
      <c r="I2652" s="4">
        <v>0</v>
      </c>
      <c r="J2652" s="5">
        <v>710000000</v>
      </c>
      <c r="K2652" s="5" t="s">
        <v>89</v>
      </c>
      <c r="L2652" s="2" t="s">
        <v>754</v>
      </c>
      <c r="M2652" s="6" t="s">
        <v>689</v>
      </c>
      <c r="N2652" s="7" t="s">
        <v>92</v>
      </c>
      <c r="O2652" s="7" t="s">
        <v>93</v>
      </c>
      <c r="P2652" s="3" t="s">
        <v>673</v>
      </c>
      <c r="Q2652" s="8">
        <v>796</v>
      </c>
      <c r="R2652" s="7" t="s">
        <v>118</v>
      </c>
      <c r="S2652" s="9">
        <f>420+30</f>
        <v>450</v>
      </c>
      <c r="T2652" s="9">
        <v>28</v>
      </c>
      <c r="U2652" s="9">
        <f t="shared" si="1785"/>
        <v>12600</v>
      </c>
      <c r="V2652" s="9">
        <f t="shared" si="1786"/>
        <v>14112.000000000002</v>
      </c>
      <c r="W2652" s="7"/>
      <c r="X2652" s="2">
        <v>2016</v>
      </c>
      <c r="Y2652" s="2"/>
    </row>
    <row r="2653" spans="1:25" s="11" customFormat="1" ht="89.25" customHeight="1" outlineLevel="1" x14ac:dyDescent="0.25">
      <c r="A2653" s="1"/>
      <c r="B2653" s="2" t="s">
        <v>7050</v>
      </c>
      <c r="C2653" s="3" t="s">
        <v>83</v>
      </c>
      <c r="D2653" s="3" t="s">
        <v>4920</v>
      </c>
      <c r="E2653" s="3" t="s">
        <v>4921</v>
      </c>
      <c r="F2653" s="3" t="s">
        <v>4922</v>
      </c>
      <c r="G2653" s="3" t="s">
        <v>5118</v>
      </c>
      <c r="H2653" s="2" t="s">
        <v>694</v>
      </c>
      <c r="I2653" s="4">
        <v>0</v>
      </c>
      <c r="J2653" s="5">
        <v>710000000</v>
      </c>
      <c r="K2653" s="5" t="s">
        <v>89</v>
      </c>
      <c r="L2653" s="2" t="s">
        <v>754</v>
      </c>
      <c r="M2653" s="6" t="s">
        <v>689</v>
      </c>
      <c r="N2653" s="7" t="s">
        <v>92</v>
      </c>
      <c r="O2653" s="7" t="s">
        <v>93</v>
      </c>
      <c r="P2653" s="3" t="s">
        <v>673</v>
      </c>
      <c r="Q2653" s="8">
        <v>796</v>
      </c>
      <c r="R2653" s="7" t="s">
        <v>118</v>
      </c>
      <c r="S2653" s="9">
        <v>1</v>
      </c>
      <c r="T2653" s="9">
        <v>1493</v>
      </c>
      <c r="U2653" s="9">
        <f t="shared" si="1785"/>
        <v>1493</v>
      </c>
      <c r="V2653" s="9">
        <f t="shared" si="1786"/>
        <v>1672.16</v>
      </c>
      <c r="W2653" s="7"/>
      <c r="X2653" s="2">
        <v>2016</v>
      </c>
      <c r="Y2653" s="2"/>
    </row>
    <row r="2654" spans="1:25" s="11" customFormat="1" ht="89.25" customHeight="1" outlineLevel="1" x14ac:dyDescent="0.25">
      <c r="A2654" s="1"/>
      <c r="B2654" s="2" t="s">
        <v>7051</v>
      </c>
      <c r="C2654" s="3" t="s">
        <v>83</v>
      </c>
      <c r="D2654" s="3" t="s">
        <v>4920</v>
      </c>
      <c r="E2654" s="3" t="s">
        <v>4921</v>
      </c>
      <c r="F2654" s="3" t="s">
        <v>4922</v>
      </c>
      <c r="G2654" s="3" t="s">
        <v>5119</v>
      </c>
      <c r="H2654" s="2" t="s">
        <v>694</v>
      </c>
      <c r="I2654" s="4">
        <v>0</v>
      </c>
      <c r="J2654" s="5">
        <v>710000000</v>
      </c>
      <c r="K2654" s="5" t="s">
        <v>89</v>
      </c>
      <c r="L2654" s="2" t="s">
        <v>754</v>
      </c>
      <c r="M2654" s="6" t="s">
        <v>689</v>
      </c>
      <c r="N2654" s="7" t="s">
        <v>92</v>
      </c>
      <c r="O2654" s="7" t="s">
        <v>93</v>
      </c>
      <c r="P2654" s="3" t="s">
        <v>673</v>
      </c>
      <c r="Q2654" s="8">
        <v>796</v>
      </c>
      <c r="R2654" s="7" t="s">
        <v>118</v>
      </c>
      <c r="S2654" s="9">
        <v>1</v>
      </c>
      <c r="T2654" s="9">
        <v>1493</v>
      </c>
      <c r="U2654" s="9">
        <f t="shared" si="1785"/>
        <v>1493</v>
      </c>
      <c r="V2654" s="9">
        <f t="shared" si="1786"/>
        <v>1672.16</v>
      </c>
      <c r="W2654" s="7"/>
      <c r="X2654" s="2">
        <v>2016</v>
      </c>
      <c r="Y2654" s="2"/>
    </row>
    <row r="2655" spans="1:25" s="11" customFormat="1" ht="89.25" customHeight="1" outlineLevel="1" x14ac:dyDescent="0.25">
      <c r="A2655" s="1"/>
      <c r="B2655" s="2" t="s">
        <v>7052</v>
      </c>
      <c r="C2655" s="3" t="s">
        <v>83</v>
      </c>
      <c r="D2655" s="3" t="s">
        <v>5120</v>
      </c>
      <c r="E2655" s="3" t="s">
        <v>5012</v>
      </c>
      <c r="F2655" s="3" t="s">
        <v>5121</v>
      </c>
      <c r="G2655" s="19" t="s">
        <v>5014</v>
      </c>
      <c r="H2655" s="2" t="s">
        <v>694</v>
      </c>
      <c r="I2655" s="4">
        <v>0</v>
      </c>
      <c r="J2655" s="5">
        <v>710000000</v>
      </c>
      <c r="K2655" s="5" t="s">
        <v>89</v>
      </c>
      <c r="L2655" s="2" t="s">
        <v>754</v>
      </c>
      <c r="M2655" s="6" t="s">
        <v>689</v>
      </c>
      <c r="N2655" s="7" t="s">
        <v>92</v>
      </c>
      <c r="O2655" s="7" t="s">
        <v>93</v>
      </c>
      <c r="P2655" s="3" t="s">
        <v>673</v>
      </c>
      <c r="Q2655" s="8" t="s">
        <v>522</v>
      </c>
      <c r="R2655" s="7" t="s">
        <v>523</v>
      </c>
      <c r="S2655" s="9">
        <v>2</v>
      </c>
      <c r="T2655" s="9">
        <v>90</v>
      </c>
      <c r="U2655" s="9">
        <f t="shared" si="1785"/>
        <v>180</v>
      </c>
      <c r="V2655" s="9">
        <f t="shared" si="1786"/>
        <v>201.60000000000002</v>
      </c>
      <c r="W2655" s="7"/>
      <c r="X2655" s="2">
        <v>2016</v>
      </c>
      <c r="Y2655" s="2"/>
    </row>
    <row r="2656" spans="1:25" s="11" customFormat="1" ht="89.25" customHeight="1" outlineLevel="1" x14ac:dyDescent="0.25">
      <c r="A2656" s="1"/>
      <c r="B2656" s="2" t="s">
        <v>7053</v>
      </c>
      <c r="C2656" s="3" t="s">
        <v>83</v>
      </c>
      <c r="D2656" s="3" t="s">
        <v>5011</v>
      </c>
      <c r="E2656" s="3" t="s">
        <v>5012</v>
      </c>
      <c r="F2656" s="3" t="s">
        <v>5013</v>
      </c>
      <c r="G2656" s="19" t="s">
        <v>5014</v>
      </c>
      <c r="H2656" s="2" t="s">
        <v>694</v>
      </c>
      <c r="I2656" s="4">
        <v>0</v>
      </c>
      <c r="J2656" s="5">
        <v>710000000</v>
      </c>
      <c r="K2656" s="5" t="s">
        <v>89</v>
      </c>
      <c r="L2656" s="2" t="s">
        <v>754</v>
      </c>
      <c r="M2656" s="6" t="s">
        <v>689</v>
      </c>
      <c r="N2656" s="7" t="s">
        <v>92</v>
      </c>
      <c r="O2656" s="7" t="s">
        <v>93</v>
      </c>
      <c r="P2656" s="3" t="s">
        <v>673</v>
      </c>
      <c r="Q2656" s="8" t="s">
        <v>522</v>
      </c>
      <c r="R2656" s="7" t="s">
        <v>523</v>
      </c>
      <c r="S2656" s="9">
        <v>2</v>
      </c>
      <c r="T2656" s="9">
        <v>110</v>
      </c>
      <c r="U2656" s="9">
        <f t="shared" si="1785"/>
        <v>220</v>
      </c>
      <c r="V2656" s="9">
        <f t="shared" si="1786"/>
        <v>246.40000000000003</v>
      </c>
      <c r="W2656" s="7"/>
      <c r="X2656" s="2">
        <v>2016</v>
      </c>
      <c r="Y2656" s="2"/>
    </row>
    <row r="2657" spans="1:25" s="11" customFormat="1" ht="89.25" customHeight="1" outlineLevel="1" x14ac:dyDescent="0.25">
      <c r="A2657" s="1"/>
      <c r="B2657" s="2" t="s">
        <v>7054</v>
      </c>
      <c r="C2657" s="3" t="s">
        <v>83</v>
      </c>
      <c r="D2657" s="3" t="s">
        <v>5122</v>
      </c>
      <c r="E2657" s="3" t="s">
        <v>5012</v>
      </c>
      <c r="F2657" s="3" t="s">
        <v>5123</v>
      </c>
      <c r="G2657" s="19" t="s">
        <v>5014</v>
      </c>
      <c r="H2657" s="2" t="s">
        <v>694</v>
      </c>
      <c r="I2657" s="4">
        <v>0</v>
      </c>
      <c r="J2657" s="5">
        <v>710000000</v>
      </c>
      <c r="K2657" s="5" t="s">
        <v>89</v>
      </c>
      <c r="L2657" s="2" t="s">
        <v>754</v>
      </c>
      <c r="M2657" s="6" t="s">
        <v>689</v>
      </c>
      <c r="N2657" s="7" t="s">
        <v>92</v>
      </c>
      <c r="O2657" s="7" t="s">
        <v>93</v>
      </c>
      <c r="P2657" s="3" t="s">
        <v>673</v>
      </c>
      <c r="Q2657" s="8" t="s">
        <v>522</v>
      </c>
      <c r="R2657" s="7" t="s">
        <v>523</v>
      </c>
      <c r="S2657" s="9">
        <v>2</v>
      </c>
      <c r="T2657" s="9">
        <v>165</v>
      </c>
      <c r="U2657" s="9">
        <f t="shared" si="1785"/>
        <v>330</v>
      </c>
      <c r="V2657" s="9">
        <f t="shared" si="1786"/>
        <v>369.6</v>
      </c>
      <c r="W2657" s="7"/>
      <c r="X2657" s="2">
        <v>2016</v>
      </c>
      <c r="Y2657" s="2"/>
    </row>
    <row r="2658" spans="1:25" s="11" customFormat="1" ht="89.25" customHeight="1" outlineLevel="1" x14ac:dyDescent="0.25">
      <c r="A2658" s="1"/>
      <c r="B2658" s="2" t="s">
        <v>7055</v>
      </c>
      <c r="C2658" s="3" t="s">
        <v>83</v>
      </c>
      <c r="D2658" s="3" t="s">
        <v>4974</v>
      </c>
      <c r="E2658" s="3" t="s">
        <v>4975</v>
      </c>
      <c r="F2658" s="3" t="s">
        <v>4976</v>
      </c>
      <c r="G2658" s="3" t="s">
        <v>5124</v>
      </c>
      <c r="H2658" s="2" t="s">
        <v>694</v>
      </c>
      <c r="I2658" s="4">
        <v>0</v>
      </c>
      <c r="J2658" s="5">
        <v>710000000</v>
      </c>
      <c r="K2658" s="5" t="s">
        <v>89</v>
      </c>
      <c r="L2658" s="2" t="s">
        <v>754</v>
      </c>
      <c r="M2658" s="6" t="s">
        <v>689</v>
      </c>
      <c r="N2658" s="7" t="s">
        <v>92</v>
      </c>
      <c r="O2658" s="7" t="s">
        <v>93</v>
      </c>
      <c r="P2658" s="3" t="s">
        <v>673</v>
      </c>
      <c r="Q2658" s="8">
        <v>796</v>
      </c>
      <c r="R2658" s="7" t="s">
        <v>118</v>
      </c>
      <c r="S2658" s="9">
        <v>12</v>
      </c>
      <c r="T2658" s="9">
        <v>23</v>
      </c>
      <c r="U2658" s="9">
        <f t="shared" si="1785"/>
        <v>276</v>
      </c>
      <c r="V2658" s="9">
        <f t="shared" si="1786"/>
        <v>309.12</v>
      </c>
      <c r="W2658" s="7"/>
      <c r="X2658" s="2">
        <v>2016</v>
      </c>
      <c r="Y2658" s="2"/>
    </row>
    <row r="2659" spans="1:25" s="11" customFormat="1" ht="89.25" customHeight="1" outlineLevel="1" x14ac:dyDescent="0.25">
      <c r="A2659" s="1"/>
      <c r="B2659" s="2" t="s">
        <v>7056</v>
      </c>
      <c r="C2659" s="3" t="s">
        <v>83</v>
      </c>
      <c r="D2659" s="3" t="s">
        <v>5125</v>
      </c>
      <c r="E2659" s="3" t="s">
        <v>3173</v>
      </c>
      <c r="F2659" s="3" t="s">
        <v>5126</v>
      </c>
      <c r="G2659" s="3" t="s">
        <v>5127</v>
      </c>
      <c r="H2659" s="2" t="s">
        <v>694</v>
      </c>
      <c r="I2659" s="4">
        <v>0</v>
      </c>
      <c r="J2659" s="5">
        <v>710000000</v>
      </c>
      <c r="K2659" s="5" t="s">
        <v>89</v>
      </c>
      <c r="L2659" s="2" t="s">
        <v>754</v>
      </c>
      <c r="M2659" s="6" t="s">
        <v>689</v>
      </c>
      <c r="N2659" s="7" t="s">
        <v>92</v>
      </c>
      <c r="O2659" s="7" t="s">
        <v>93</v>
      </c>
      <c r="P2659" s="3" t="s">
        <v>673</v>
      </c>
      <c r="Q2659" s="8">
        <v>796</v>
      </c>
      <c r="R2659" s="7" t="s">
        <v>118</v>
      </c>
      <c r="S2659" s="9">
        <v>12</v>
      </c>
      <c r="T2659" s="9">
        <v>157.68</v>
      </c>
      <c r="U2659" s="9">
        <f t="shared" si="1785"/>
        <v>1892.16</v>
      </c>
      <c r="V2659" s="9">
        <f t="shared" si="1786"/>
        <v>2119.2192000000005</v>
      </c>
      <c r="W2659" s="7"/>
      <c r="X2659" s="2">
        <v>2016</v>
      </c>
      <c r="Y2659" s="2"/>
    </row>
    <row r="2660" spans="1:25" s="11" customFormat="1" ht="89.25" customHeight="1" outlineLevel="1" x14ac:dyDescent="0.25">
      <c r="A2660" s="1"/>
      <c r="B2660" s="2" t="s">
        <v>7057</v>
      </c>
      <c r="C2660" s="3" t="s">
        <v>83</v>
      </c>
      <c r="D2660" s="3" t="s">
        <v>5128</v>
      </c>
      <c r="E2660" s="3" t="s">
        <v>4983</v>
      </c>
      <c r="F2660" s="3" t="s">
        <v>5129</v>
      </c>
      <c r="G2660" s="3"/>
      <c r="H2660" s="2" t="s">
        <v>694</v>
      </c>
      <c r="I2660" s="4">
        <v>0</v>
      </c>
      <c r="J2660" s="5">
        <v>710000000</v>
      </c>
      <c r="K2660" s="5" t="s">
        <v>89</v>
      </c>
      <c r="L2660" s="2" t="s">
        <v>754</v>
      </c>
      <c r="M2660" s="6" t="s">
        <v>689</v>
      </c>
      <c r="N2660" s="7" t="s">
        <v>92</v>
      </c>
      <c r="O2660" s="7" t="s">
        <v>93</v>
      </c>
      <c r="P2660" s="3" t="s">
        <v>673</v>
      </c>
      <c r="Q2660" s="8">
        <v>796</v>
      </c>
      <c r="R2660" s="7" t="s">
        <v>118</v>
      </c>
      <c r="S2660" s="9">
        <v>2</v>
      </c>
      <c r="T2660" s="9">
        <v>47.1</v>
      </c>
      <c r="U2660" s="9">
        <f t="shared" si="1785"/>
        <v>94.2</v>
      </c>
      <c r="V2660" s="9">
        <f t="shared" si="1786"/>
        <v>105.50400000000002</v>
      </c>
      <c r="W2660" s="7"/>
      <c r="X2660" s="2">
        <v>2016</v>
      </c>
      <c r="Y2660" s="2"/>
    </row>
    <row r="2661" spans="1:25" s="11" customFormat="1" ht="89.25" customHeight="1" outlineLevel="1" x14ac:dyDescent="0.25">
      <c r="A2661" s="1"/>
      <c r="B2661" s="2" t="s">
        <v>7058</v>
      </c>
      <c r="C2661" s="3" t="s">
        <v>83</v>
      </c>
      <c r="D2661" s="3" t="s">
        <v>5001</v>
      </c>
      <c r="E2661" s="3" t="s">
        <v>5002</v>
      </c>
      <c r="F2661" s="3" t="s">
        <v>5003</v>
      </c>
      <c r="G2661" s="19"/>
      <c r="H2661" s="2" t="s">
        <v>694</v>
      </c>
      <c r="I2661" s="4">
        <v>0</v>
      </c>
      <c r="J2661" s="5">
        <v>710000000</v>
      </c>
      <c r="K2661" s="5" t="s">
        <v>89</v>
      </c>
      <c r="L2661" s="2" t="s">
        <v>754</v>
      </c>
      <c r="M2661" s="6" t="s">
        <v>689</v>
      </c>
      <c r="N2661" s="7" t="s">
        <v>92</v>
      </c>
      <c r="O2661" s="7" t="s">
        <v>93</v>
      </c>
      <c r="P2661" s="3" t="s">
        <v>673</v>
      </c>
      <c r="Q2661" s="8">
        <v>796</v>
      </c>
      <c r="R2661" s="7" t="s">
        <v>118</v>
      </c>
      <c r="S2661" s="9">
        <v>6</v>
      </c>
      <c r="T2661" s="9">
        <v>28</v>
      </c>
      <c r="U2661" s="9">
        <f t="shared" si="1785"/>
        <v>168</v>
      </c>
      <c r="V2661" s="9">
        <f t="shared" si="1786"/>
        <v>188.16000000000003</v>
      </c>
      <c r="W2661" s="7"/>
      <c r="X2661" s="2">
        <v>2016</v>
      </c>
      <c r="Y2661" s="2"/>
    </row>
    <row r="2662" spans="1:25" s="11" customFormat="1" ht="89.25" customHeight="1" outlineLevel="1" x14ac:dyDescent="0.25">
      <c r="A2662" s="1"/>
      <c r="B2662" s="2" t="s">
        <v>7059</v>
      </c>
      <c r="C2662" s="3" t="s">
        <v>83</v>
      </c>
      <c r="D2662" s="3" t="s">
        <v>5130</v>
      </c>
      <c r="E2662" s="3" t="s">
        <v>4978</v>
      </c>
      <c r="F2662" s="3" t="s">
        <v>5131</v>
      </c>
      <c r="G2662" s="3" t="s">
        <v>5132</v>
      </c>
      <c r="H2662" s="2" t="s">
        <v>694</v>
      </c>
      <c r="I2662" s="4">
        <v>0</v>
      </c>
      <c r="J2662" s="5">
        <v>710000000</v>
      </c>
      <c r="K2662" s="5" t="s">
        <v>89</v>
      </c>
      <c r="L2662" s="2" t="s">
        <v>754</v>
      </c>
      <c r="M2662" s="6" t="s">
        <v>689</v>
      </c>
      <c r="N2662" s="7" t="s">
        <v>92</v>
      </c>
      <c r="O2662" s="7" t="s">
        <v>93</v>
      </c>
      <c r="P2662" s="3" t="s">
        <v>673</v>
      </c>
      <c r="Q2662" s="8">
        <v>796</v>
      </c>
      <c r="R2662" s="7" t="s">
        <v>118</v>
      </c>
      <c r="S2662" s="9">
        <v>8</v>
      </c>
      <c r="T2662" s="9">
        <v>80</v>
      </c>
      <c r="U2662" s="9">
        <f t="shared" si="1785"/>
        <v>640</v>
      </c>
      <c r="V2662" s="9">
        <f t="shared" si="1786"/>
        <v>716.80000000000007</v>
      </c>
      <c r="W2662" s="7"/>
      <c r="X2662" s="2">
        <v>2016</v>
      </c>
      <c r="Y2662" s="2"/>
    </row>
    <row r="2663" spans="1:25" s="11" customFormat="1" ht="89.25" customHeight="1" outlineLevel="1" x14ac:dyDescent="0.25">
      <c r="A2663" s="1"/>
      <c r="B2663" s="2" t="s">
        <v>7060</v>
      </c>
      <c r="C2663" s="3" t="s">
        <v>83</v>
      </c>
      <c r="D2663" s="3" t="s">
        <v>5035</v>
      </c>
      <c r="E2663" s="3" t="s">
        <v>3753</v>
      </c>
      <c r="F2663" s="3" t="s">
        <v>5036</v>
      </c>
      <c r="G2663" s="3" t="s">
        <v>5133</v>
      </c>
      <c r="H2663" s="2" t="s">
        <v>694</v>
      </c>
      <c r="I2663" s="4">
        <v>0</v>
      </c>
      <c r="J2663" s="5">
        <v>710000000</v>
      </c>
      <c r="K2663" s="5" t="s">
        <v>89</v>
      </c>
      <c r="L2663" s="2" t="s">
        <v>754</v>
      </c>
      <c r="M2663" s="6" t="s">
        <v>689</v>
      </c>
      <c r="N2663" s="7" t="s">
        <v>92</v>
      </c>
      <c r="O2663" s="7" t="s">
        <v>93</v>
      </c>
      <c r="P2663" s="3" t="s">
        <v>673</v>
      </c>
      <c r="Q2663" s="8">
        <v>796</v>
      </c>
      <c r="R2663" s="7" t="s">
        <v>118</v>
      </c>
      <c r="S2663" s="9">
        <v>4</v>
      </c>
      <c r="T2663" s="9">
        <v>228</v>
      </c>
      <c r="U2663" s="9">
        <f t="shared" si="1785"/>
        <v>912</v>
      </c>
      <c r="V2663" s="9">
        <f t="shared" si="1786"/>
        <v>1021.44</v>
      </c>
      <c r="W2663" s="7"/>
      <c r="X2663" s="2">
        <v>2016</v>
      </c>
      <c r="Y2663" s="2"/>
    </row>
    <row r="2664" spans="1:25" s="11" customFormat="1" ht="89.25" customHeight="1" outlineLevel="1" x14ac:dyDescent="0.25">
      <c r="A2664" s="1"/>
      <c r="B2664" s="2" t="s">
        <v>7061</v>
      </c>
      <c r="C2664" s="3" t="s">
        <v>83</v>
      </c>
      <c r="D2664" s="3" t="s">
        <v>5134</v>
      </c>
      <c r="E2664" s="3" t="s">
        <v>4950</v>
      </c>
      <c r="F2664" s="3" t="s">
        <v>5135</v>
      </c>
      <c r="G2664" s="3" t="s">
        <v>5136</v>
      </c>
      <c r="H2664" s="2" t="s">
        <v>694</v>
      </c>
      <c r="I2664" s="4">
        <v>0</v>
      </c>
      <c r="J2664" s="5">
        <v>710000000</v>
      </c>
      <c r="K2664" s="5" t="s">
        <v>89</v>
      </c>
      <c r="L2664" s="2" t="s">
        <v>754</v>
      </c>
      <c r="M2664" s="6" t="s">
        <v>689</v>
      </c>
      <c r="N2664" s="7" t="s">
        <v>92</v>
      </c>
      <c r="O2664" s="7" t="s">
        <v>93</v>
      </c>
      <c r="P2664" s="3" t="s">
        <v>673</v>
      </c>
      <c r="Q2664" s="8">
        <v>796</v>
      </c>
      <c r="R2664" s="7" t="s">
        <v>118</v>
      </c>
      <c r="S2664" s="9">
        <v>4</v>
      </c>
      <c r="T2664" s="9">
        <v>67.87</v>
      </c>
      <c r="U2664" s="9">
        <f t="shared" si="1785"/>
        <v>271.48</v>
      </c>
      <c r="V2664" s="9">
        <f t="shared" si="1786"/>
        <v>304.05760000000004</v>
      </c>
      <c r="W2664" s="7"/>
      <c r="X2664" s="2">
        <v>2016</v>
      </c>
      <c r="Y2664" s="2"/>
    </row>
    <row r="2665" spans="1:25" s="11" customFormat="1" ht="89.25" customHeight="1" outlineLevel="1" x14ac:dyDescent="0.25">
      <c r="A2665" s="1"/>
      <c r="B2665" s="2" t="s">
        <v>7062</v>
      </c>
      <c r="C2665" s="3" t="s">
        <v>83</v>
      </c>
      <c r="D2665" s="3" t="s">
        <v>5137</v>
      </c>
      <c r="E2665" s="3" t="s">
        <v>4950</v>
      </c>
      <c r="F2665" s="3" t="s">
        <v>5138</v>
      </c>
      <c r="G2665" s="3" t="s">
        <v>5139</v>
      </c>
      <c r="H2665" s="2" t="s">
        <v>694</v>
      </c>
      <c r="I2665" s="4">
        <v>0</v>
      </c>
      <c r="J2665" s="5">
        <v>710000000</v>
      </c>
      <c r="K2665" s="5" t="s">
        <v>89</v>
      </c>
      <c r="L2665" s="2" t="s">
        <v>754</v>
      </c>
      <c r="M2665" s="6" t="s">
        <v>689</v>
      </c>
      <c r="N2665" s="7" t="s">
        <v>92</v>
      </c>
      <c r="O2665" s="7" t="s">
        <v>93</v>
      </c>
      <c r="P2665" s="3" t="s">
        <v>673</v>
      </c>
      <c r="Q2665" s="8">
        <v>796</v>
      </c>
      <c r="R2665" s="7" t="s">
        <v>118</v>
      </c>
      <c r="S2665" s="9">
        <v>4</v>
      </c>
      <c r="T2665" s="9">
        <v>123.21</v>
      </c>
      <c r="U2665" s="9">
        <f t="shared" si="1785"/>
        <v>492.84</v>
      </c>
      <c r="V2665" s="9">
        <f t="shared" si="1786"/>
        <v>551.98080000000004</v>
      </c>
      <c r="W2665" s="7"/>
      <c r="X2665" s="2">
        <v>2016</v>
      </c>
      <c r="Y2665" s="2"/>
    </row>
    <row r="2666" spans="1:25" s="11" customFormat="1" ht="89.25" customHeight="1" outlineLevel="1" x14ac:dyDescent="0.25">
      <c r="A2666" s="1"/>
      <c r="B2666" s="2" t="s">
        <v>7063</v>
      </c>
      <c r="C2666" s="3" t="s">
        <v>83</v>
      </c>
      <c r="D2666" s="3" t="s">
        <v>5140</v>
      </c>
      <c r="E2666" s="3" t="s">
        <v>4950</v>
      </c>
      <c r="F2666" s="3" t="s">
        <v>5141</v>
      </c>
      <c r="G2666" s="3" t="s">
        <v>5142</v>
      </c>
      <c r="H2666" s="2" t="s">
        <v>694</v>
      </c>
      <c r="I2666" s="4">
        <v>0</v>
      </c>
      <c r="J2666" s="5">
        <v>710000000</v>
      </c>
      <c r="K2666" s="5" t="s">
        <v>89</v>
      </c>
      <c r="L2666" s="2" t="s">
        <v>754</v>
      </c>
      <c r="M2666" s="6" t="s">
        <v>689</v>
      </c>
      <c r="N2666" s="7" t="s">
        <v>92</v>
      </c>
      <c r="O2666" s="7" t="s">
        <v>93</v>
      </c>
      <c r="P2666" s="3" t="s">
        <v>673</v>
      </c>
      <c r="Q2666" s="8">
        <v>796</v>
      </c>
      <c r="R2666" s="7" t="s">
        <v>118</v>
      </c>
      <c r="S2666" s="9">
        <v>2</v>
      </c>
      <c r="T2666" s="9">
        <v>304.48</v>
      </c>
      <c r="U2666" s="9">
        <f t="shared" si="1785"/>
        <v>608.96</v>
      </c>
      <c r="V2666" s="9">
        <f t="shared" si="1786"/>
        <v>682.03520000000015</v>
      </c>
      <c r="W2666" s="7"/>
      <c r="X2666" s="2">
        <v>2016</v>
      </c>
      <c r="Y2666" s="2"/>
    </row>
    <row r="2667" spans="1:25" s="11" customFormat="1" ht="89.25" customHeight="1" outlineLevel="1" x14ac:dyDescent="0.25">
      <c r="A2667" s="1"/>
      <c r="B2667" s="2" t="s">
        <v>7064</v>
      </c>
      <c r="C2667" s="3" t="s">
        <v>83</v>
      </c>
      <c r="D2667" s="3" t="s">
        <v>4952</v>
      </c>
      <c r="E2667" s="3" t="s">
        <v>4950</v>
      </c>
      <c r="F2667" s="3" t="s">
        <v>4953</v>
      </c>
      <c r="G2667" s="3" t="s">
        <v>5143</v>
      </c>
      <c r="H2667" s="2" t="s">
        <v>694</v>
      </c>
      <c r="I2667" s="4">
        <v>0</v>
      </c>
      <c r="J2667" s="5">
        <v>710000000</v>
      </c>
      <c r="K2667" s="5" t="s">
        <v>89</v>
      </c>
      <c r="L2667" s="2" t="s">
        <v>754</v>
      </c>
      <c r="M2667" s="6" t="s">
        <v>689</v>
      </c>
      <c r="N2667" s="7" t="s">
        <v>92</v>
      </c>
      <c r="O2667" s="7" t="s">
        <v>93</v>
      </c>
      <c r="P2667" s="3" t="s">
        <v>673</v>
      </c>
      <c r="Q2667" s="8">
        <v>796</v>
      </c>
      <c r="R2667" s="7" t="s">
        <v>118</v>
      </c>
      <c r="S2667" s="9">
        <v>5</v>
      </c>
      <c r="T2667" s="9">
        <v>381.53</v>
      </c>
      <c r="U2667" s="9">
        <f t="shared" si="1785"/>
        <v>1907.6499999999999</v>
      </c>
      <c r="V2667" s="9">
        <f t="shared" si="1786"/>
        <v>2136.5680000000002</v>
      </c>
      <c r="W2667" s="7"/>
      <c r="X2667" s="2">
        <v>2016</v>
      </c>
      <c r="Y2667" s="2"/>
    </row>
    <row r="2668" spans="1:25" s="11" customFormat="1" ht="89.25" customHeight="1" outlineLevel="1" x14ac:dyDescent="0.25">
      <c r="A2668" s="1"/>
      <c r="B2668" s="2" t="s">
        <v>7065</v>
      </c>
      <c r="C2668" s="3" t="s">
        <v>83</v>
      </c>
      <c r="D2668" s="3" t="s">
        <v>5144</v>
      </c>
      <c r="E2668" s="3" t="s">
        <v>5145</v>
      </c>
      <c r="F2668" s="3" t="s">
        <v>5146</v>
      </c>
      <c r="G2668" s="3" t="s">
        <v>5147</v>
      </c>
      <c r="H2668" s="2" t="s">
        <v>694</v>
      </c>
      <c r="I2668" s="4">
        <v>0</v>
      </c>
      <c r="J2668" s="5">
        <v>710000000</v>
      </c>
      <c r="K2668" s="5" t="s">
        <v>89</v>
      </c>
      <c r="L2668" s="2" t="s">
        <v>754</v>
      </c>
      <c r="M2668" s="6" t="s">
        <v>689</v>
      </c>
      <c r="N2668" s="7" t="s">
        <v>92</v>
      </c>
      <c r="O2668" s="7" t="s">
        <v>93</v>
      </c>
      <c r="P2668" s="3" t="s">
        <v>673</v>
      </c>
      <c r="Q2668" s="8">
        <v>796</v>
      </c>
      <c r="R2668" s="7" t="s">
        <v>118</v>
      </c>
      <c r="S2668" s="9">
        <v>2</v>
      </c>
      <c r="T2668" s="9">
        <v>1449.02</v>
      </c>
      <c r="U2668" s="9">
        <f t="shared" si="1785"/>
        <v>2898.04</v>
      </c>
      <c r="V2668" s="9">
        <f t="shared" si="1786"/>
        <v>3245.8048000000003</v>
      </c>
      <c r="W2668" s="7"/>
      <c r="X2668" s="2">
        <v>2016</v>
      </c>
      <c r="Y2668" s="2"/>
    </row>
    <row r="2669" spans="1:25" s="11" customFormat="1" ht="89.25" customHeight="1" outlineLevel="1" x14ac:dyDescent="0.25">
      <c r="A2669" s="1"/>
      <c r="B2669" s="2" t="s">
        <v>7066</v>
      </c>
      <c r="C2669" s="3" t="s">
        <v>83</v>
      </c>
      <c r="D2669" s="3" t="s">
        <v>3507</v>
      </c>
      <c r="E2669" s="3" t="s">
        <v>3508</v>
      </c>
      <c r="F2669" s="3" t="s">
        <v>3509</v>
      </c>
      <c r="G2669" s="3" t="s">
        <v>5148</v>
      </c>
      <c r="H2669" s="2" t="s">
        <v>694</v>
      </c>
      <c r="I2669" s="4">
        <v>0</v>
      </c>
      <c r="J2669" s="5">
        <v>710000000</v>
      </c>
      <c r="K2669" s="5" t="s">
        <v>89</v>
      </c>
      <c r="L2669" s="2" t="s">
        <v>754</v>
      </c>
      <c r="M2669" s="6" t="s">
        <v>689</v>
      </c>
      <c r="N2669" s="7" t="s">
        <v>92</v>
      </c>
      <c r="O2669" s="7" t="s">
        <v>93</v>
      </c>
      <c r="P2669" s="3" t="s">
        <v>673</v>
      </c>
      <c r="Q2669" s="8">
        <v>796</v>
      </c>
      <c r="R2669" s="7" t="s">
        <v>118</v>
      </c>
      <c r="S2669" s="9">
        <v>10</v>
      </c>
      <c r="T2669" s="9">
        <v>31.68</v>
      </c>
      <c r="U2669" s="9">
        <f t="shared" si="1785"/>
        <v>316.8</v>
      </c>
      <c r="V2669" s="9">
        <f t="shared" si="1786"/>
        <v>354.81600000000003</v>
      </c>
      <c r="W2669" s="7"/>
      <c r="X2669" s="2">
        <v>2016</v>
      </c>
      <c r="Y2669" s="2"/>
    </row>
    <row r="2670" spans="1:25" s="11" customFormat="1" ht="89.25" customHeight="1" outlineLevel="1" x14ac:dyDescent="0.25">
      <c r="A2670" s="1"/>
      <c r="B2670" s="2" t="s">
        <v>7067</v>
      </c>
      <c r="C2670" s="3" t="s">
        <v>83</v>
      </c>
      <c r="D2670" s="3" t="s">
        <v>5149</v>
      </c>
      <c r="E2670" s="3" t="s">
        <v>3325</v>
      </c>
      <c r="F2670" s="3" t="s">
        <v>5150</v>
      </c>
      <c r="G2670" s="3" t="s">
        <v>5151</v>
      </c>
      <c r="H2670" s="2" t="s">
        <v>694</v>
      </c>
      <c r="I2670" s="4">
        <v>0</v>
      </c>
      <c r="J2670" s="5">
        <v>710000000</v>
      </c>
      <c r="K2670" s="5" t="s">
        <v>89</v>
      </c>
      <c r="L2670" s="2" t="s">
        <v>754</v>
      </c>
      <c r="M2670" s="6" t="s">
        <v>689</v>
      </c>
      <c r="N2670" s="7" t="s">
        <v>92</v>
      </c>
      <c r="O2670" s="7" t="s">
        <v>93</v>
      </c>
      <c r="P2670" s="3" t="s">
        <v>673</v>
      </c>
      <c r="Q2670" s="8" t="s">
        <v>117</v>
      </c>
      <c r="R2670" s="7" t="s">
        <v>118</v>
      </c>
      <c r="S2670" s="9">
        <v>14</v>
      </c>
      <c r="T2670" s="9">
        <v>569.35</v>
      </c>
      <c r="U2670" s="9">
        <f t="shared" si="1785"/>
        <v>7970.9000000000005</v>
      </c>
      <c r="V2670" s="9">
        <f t="shared" si="1786"/>
        <v>8927.4080000000013</v>
      </c>
      <c r="W2670" s="7"/>
      <c r="X2670" s="2">
        <v>2016</v>
      </c>
      <c r="Y2670" s="2"/>
    </row>
    <row r="2671" spans="1:25" s="11" customFormat="1" ht="89.25" customHeight="1" outlineLevel="1" x14ac:dyDescent="0.25">
      <c r="A2671" s="1"/>
      <c r="B2671" s="2" t="s">
        <v>7068</v>
      </c>
      <c r="C2671" s="3" t="s">
        <v>83</v>
      </c>
      <c r="D2671" s="3" t="s">
        <v>5152</v>
      </c>
      <c r="E2671" s="3" t="s">
        <v>3325</v>
      </c>
      <c r="F2671" s="3" t="s">
        <v>5153</v>
      </c>
      <c r="G2671" s="3" t="s">
        <v>5154</v>
      </c>
      <c r="H2671" s="2" t="s">
        <v>694</v>
      </c>
      <c r="I2671" s="4">
        <v>0</v>
      </c>
      <c r="J2671" s="5">
        <v>710000000</v>
      </c>
      <c r="K2671" s="5" t="s">
        <v>89</v>
      </c>
      <c r="L2671" s="2" t="s">
        <v>754</v>
      </c>
      <c r="M2671" s="6" t="s">
        <v>689</v>
      </c>
      <c r="N2671" s="7" t="s">
        <v>92</v>
      </c>
      <c r="O2671" s="7" t="s">
        <v>93</v>
      </c>
      <c r="P2671" s="3" t="s">
        <v>673</v>
      </c>
      <c r="Q2671" s="8" t="s">
        <v>117</v>
      </c>
      <c r="R2671" s="7" t="s">
        <v>118</v>
      </c>
      <c r="S2671" s="9">
        <v>6</v>
      </c>
      <c r="T2671" s="9">
        <v>39.729999999999997</v>
      </c>
      <c r="U2671" s="9">
        <f t="shared" si="1785"/>
        <v>238.38</v>
      </c>
      <c r="V2671" s="9">
        <f t="shared" si="1786"/>
        <v>266.98560000000003</v>
      </c>
      <c r="W2671" s="7"/>
      <c r="X2671" s="2">
        <v>2016</v>
      </c>
      <c r="Y2671" s="2"/>
    </row>
    <row r="2672" spans="1:25" s="11" customFormat="1" ht="89.25" customHeight="1" outlineLevel="1" x14ac:dyDescent="0.25">
      <c r="A2672" s="1"/>
      <c r="B2672" s="2" t="s">
        <v>7069</v>
      </c>
      <c r="C2672" s="3" t="s">
        <v>83</v>
      </c>
      <c r="D2672" s="3" t="s">
        <v>5155</v>
      </c>
      <c r="E2672" s="3" t="s">
        <v>5020</v>
      </c>
      <c r="F2672" s="3" t="s">
        <v>5156</v>
      </c>
      <c r="G2672" s="3" t="s">
        <v>5157</v>
      </c>
      <c r="H2672" s="2" t="s">
        <v>694</v>
      </c>
      <c r="I2672" s="4">
        <v>0</v>
      </c>
      <c r="J2672" s="5">
        <v>710000000</v>
      </c>
      <c r="K2672" s="5" t="s">
        <v>89</v>
      </c>
      <c r="L2672" s="2" t="s">
        <v>754</v>
      </c>
      <c r="M2672" s="6" t="s">
        <v>689</v>
      </c>
      <c r="N2672" s="7" t="s">
        <v>92</v>
      </c>
      <c r="O2672" s="7" t="s">
        <v>93</v>
      </c>
      <c r="P2672" s="3" t="s">
        <v>673</v>
      </c>
      <c r="Q2672" s="8" t="s">
        <v>522</v>
      </c>
      <c r="R2672" s="7" t="s">
        <v>523</v>
      </c>
      <c r="S2672" s="9">
        <v>2</v>
      </c>
      <c r="T2672" s="9">
        <v>98.07</v>
      </c>
      <c r="U2672" s="9">
        <f t="shared" si="1785"/>
        <v>196.14</v>
      </c>
      <c r="V2672" s="9">
        <f t="shared" si="1786"/>
        <v>219.67680000000001</v>
      </c>
      <c r="W2672" s="7"/>
      <c r="X2672" s="2">
        <v>2016</v>
      </c>
      <c r="Y2672" s="2"/>
    </row>
    <row r="2673" spans="1:25" s="11" customFormat="1" ht="89.25" customHeight="1" outlineLevel="1" x14ac:dyDescent="0.25">
      <c r="A2673" s="1"/>
      <c r="B2673" s="2" t="s">
        <v>7070</v>
      </c>
      <c r="C2673" s="3" t="s">
        <v>83</v>
      </c>
      <c r="D2673" s="3" t="s">
        <v>5019</v>
      </c>
      <c r="E2673" s="3" t="s">
        <v>5020</v>
      </c>
      <c r="F2673" s="3" t="s">
        <v>5021</v>
      </c>
      <c r="G2673" s="3" t="s">
        <v>5158</v>
      </c>
      <c r="H2673" s="2" t="s">
        <v>694</v>
      </c>
      <c r="I2673" s="4">
        <v>0</v>
      </c>
      <c r="J2673" s="5">
        <v>710000000</v>
      </c>
      <c r="K2673" s="5" t="s">
        <v>89</v>
      </c>
      <c r="L2673" s="2" t="s">
        <v>754</v>
      </c>
      <c r="M2673" s="6" t="s">
        <v>689</v>
      </c>
      <c r="N2673" s="7" t="s">
        <v>92</v>
      </c>
      <c r="O2673" s="7" t="s">
        <v>93</v>
      </c>
      <c r="P2673" s="3" t="s">
        <v>673</v>
      </c>
      <c r="Q2673" s="8" t="s">
        <v>522</v>
      </c>
      <c r="R2673" s="7" t="s">
        <v>523</v>
      </c>
      <c r="S2673" s="9">
        <v>4</v>
      </c>
      <c r="T2673" s="9">
        <v>109.82</v>
      </c>
      <c r="U2673" s="9">
        <f t="shared" si="1785"/>
        <v>439.28</v>
      </c>
      <c r="V2673" s="9">
        <f t="shared" si="1786"/>
        <v>491.99360000000001</v>
      </c>
      <c r="W2673" s="7"/>
      <c r="X2673" s="2">
        <v>2016</v>
      </c>
      <c r="Y2673" s="2"/>
    </row>
    <row r="2674" spans="1:25" s="11" customFormat="1" ht="89.25" customHeight="1" outlineLevel="1" x14ac:dyDescent="0.25">
      <c r="A2674" s="1"/>
      <c r="B2674" s="2" t="s">
        <v>7071</v>
      </c>
      <c r="C2674" s="3" t="s">
        <v>83</v>
      </c>
      <c r="D2674" s="3" t="s">
        <v>5027</v>
      </c>
      <c r="E2674" s="3" t="s">
        <v>3991</v>
      </c>
      <c r="F2674" s="3" t="s">
        <v>5028</v>
      </c>
      <c r="G2674" s="3" t="s">
        <v>5159</v>
      </c>
      <c r="H2674" s="2" t="s">
        <v>694</v>
      </c>
      <c r="I2674" s="4">
        <v>0</v>
      </c>
      <c r="J2674" s="5">
        <v>710000000</v>
      </c>
      <c r="K2674" s="5" t="s">
        <v>89</v>
      </c>
      <c r="L2674" s="2" t="s">
        <v>754</v>
      </c>
      <c r="M2674" s="6" t="s">
        <v>689</v>
      </c>
      <c r="N2674" s="7" t="s">
        <v>92</v>
      </c>
      <c r="O2674" s="7" t="s">
        <v>93</v>
      </c>
      <c r="P2674" s="3" t="s">
        <v>673</v>
      </c>
      <c r="Q2674" s="8">
        <v>796</v>
      </c>
      <c r="R2674" s="7" t="s">
        <v>118</v>
      </c>
      <c r="S2674" s="9">
        <v>1</v>
      </c>
      <c r="T2674" s="9">
        <v>667</v>
      </c>
      <c r="U2674" s="9">
        <f t="shared" si="1785"/>
        <v>667</v>
      </c>
      <c r="V2674" s="9">
        <f t="shared" si="1786"/>
        <v>747.04000000000008</v>
      </c>
      <c r="W2674" s="7"/>
      <c r="X2674" s="2">
        <v>2016</v>
      </c>
      <c r="Y2674" s="2"/>
    </row>
    <row r="2675" spans="1:25" s="11" customFormat="1" ht="89.25" customHeight="1" outlineLevel="1" x14ac:dyDescent="0.25">
      <c r="A2675" s="1"/>
      <c r="B2675" s="2" t="s">
        <v>7072</v>
      </c>
      <c r="C2675" s="3" t="s">
        <v>83</v>
      </c>
      <c r="D2675" s="3" t="s">
        <v>4931</v>
      </c>
      <c r="E2675" s="3" t="s">
        <v>4932</v>
      </c>
      <c r="F2675" s="3" t="s">
        <v>4933</v>
      </c>
      <c r="G2675" s="3" t="s">
        <v>5160</v>
      </c>
      <c r="H2675" s="2" t="s">
        <v>694</v>
      </c>
      <c r="I2675" s="4">
        <v>0</v>
      </c>
      <c r="J2675" s="5">
        <v>710000000</v>
      </c>
      <c r="K2675" s="5" t="s">
        <v>89</v>
      </c>
      <c r="L2675" s="2" t="s">
        <v>754</v>
      </c>
      <c r="M2675" s="6" t="s">
        <v>689</v>
      </c>
      <c r="N2675" s="7" t="s">
        <v>92</v>
      </c>
      <c r="O2675" s="7" t="s">
        <v>93</v>
      </c>
      <c r="P2675" s="3" t="s">
        <v>673</v>
      </c>
      <c r="Q2675" s="8">
        <v>796</v>
      </c>
      <c r="R2675" s="7" t="s">
        <v>118</v>
      </c>
      <c r="S2675" s="9">
        <v>4</v>
      </c>
      <c r="T2675" s="9">
        <v>90</v>
      </c>
      <c r="U2675" s="9">
        <f t="shared" si="1785"/>
        <v>360</v>
      </c>
      <c r="V2675" s="9">
        <f t="shared" si="1786"/>
        <v>403.20000000000005</v>
      </c>
      <c r="W2675" s="7"/>
      <c r="X2675" s="2">
        <v>2016</v>
      </c>
      <c r="Y2675" s="2"/>
    </row>
    <row r="2676" spans="1:25" s="11" customFormat="1" ht="89.25" customHeight="1" outlineLevel="1" x14ac:dyDescent="0.25">
      <c r="A2676" s="1"/>
      <c r="B2676" s="2" t="s">
        <v>7073</v>
      </c>
      <c r="C2676" s="3" t="s">
        <v>83</v>
      </c>
      <c r="D2676" s="3" t="s">
        <v>4998</v>
      </c>
      <c r="E2676" s="3" t="s">
        <v>4999</v>
      </c>
      <c r="F2676" s="3" t="s">
        <v>5000</v>
      </c>
      <c r="G2676" s="3" t="s">
        <v>3921</v>
      </c>
      <c r="H2676" s="2" t="s">
        <v>694</v>
      </c>
      <c r="I2676" s="4">
        <v>0</v>
      </c>
      <c r="J2676" s="5">
        <v>710000000</v>
      </c>
      <c r="K2676" s="5" t="s">
        <v>89</v>
      </c>
      <c r="L2676" s="2" t="s">
        <v>754</v>
      </c>
      <c r="M2676" s="6" t="s">
        <v>689</v>
      </c>
      <c r="N2676" s="7" t="s">
        <v>92</v>
      </c>
      <c r="O2676" s="7" t="s">
        <v>93</v>
      </c>
      <c r="P2676" s="3" t="s">
        <v>673</v>
      </c>
      <c r="Q2676" s="8">
        <v>796</v>
      </c>
      <c r="R2676" s="7" t="s">
        <v>118</v>
      </c>
      <c r="S2676" s="9">
        <v>2</v>
      </c>
      <c r="T2676" s="9">
        <v>80</v>
      </c>
      <c r="U2676" s="9">
        <f t="shared" si="1785"/>
        <v>160</v>
      </c>
      <c r="V2676" s="9">
        <f t="shared" si="1786"/>
        <v>179.20000000000002</v>
      </c>
      <c r="W2676" s="7"/>
      <c r="X2676" s="2">
        <v>2016</v>
      </c>
      <c r="Y2676" s="2"/>
    </row>
    <row r="2677" spans="1:25" s="11" customFormat="1" ht="89.25" customHeight="1" outlineLevel="1" x14ac:dyDescent="0.25">
      <c r="A2677" s="1"/>
      <c r="B2677" s="2" t="s">
        <v>7074</v>
      </c>
      <c r="C2677" s="3" t="s">
        <v>83</v>
      </c>
      <c r="D2677" s="3" t="s">
        <v>4938</v>
      </c>
      <c r="E2677" s="3" t="s">
        <v>4939</v>
      </c>
      <c r="F2677" s="3" t="s">
        <v>4940</v>
      </c>
      <c r="G2677" s="19" t="s">
        <v>4941</v>
      </c>
      <c r="H2677" s="2" t="s">
        <v>694</v>
      </c>
      <c r="I2677" s="4">
        <v>0</v>
      </c>
      <c r="J2677" s="5">
        <v>710000000</v>
      </c>
      <c r="K2677" s="5" t="s">
        <v>89</v>
      </c>
      <c r="L2677" s="2" t="s">
        <v>754</v>
      </c>
      <c r="M2677" s="6" t="s">
        <v>689</v>
      </c>
      <c r="N2677" s="7" t="s">
        <v>92</v>
      </c>
      <c r="O2677" s="7" t="s">
        <v>93</v>
      </c>
      <c r="P2677" s="3" t="s">
        <v>673</v>
      </c>
      <c r="Q2677" s="8">
        <v>796</v>
      </c>
      <c r="R2677" s="7" t="s">
        <v>118</v>
      </c>
      <c r="S2677" s="9">
        <v>100</v>
      </c>
      <c r="T2677" s="9">
        <v>12</v>
      </c>
      <c r="U2677" s="9">
        <f t="shared" si="1785"/>
        <v>1200</v>
      </c>
      <c r="V2677" s="9">
        <f t="shared" si="1786"/>
        <v>1344.0000000000002</v>
      </c>
      <c r="W2677" s="7"/>
      <c r="X2677" s="2">
        <v>2016</v>
      </c>
      <c r="Y2677" s="2"/>
    </row>
    <row r="2678" spans="1:25" s="11" customFormat="1" ht="89.25" customHeight="1" outlineLevel="1" x14ac:dyDescent="0.25">
      <c r="A2678" s="1"/>
      <c r="B2678" s="2" t="s">
        <v>7075</v>
      </c>
      <c r="C2678" s="3" t="s">
        <v>83</v>
      </c>
      <c r="D2678" s="3" t="s">
        <v>5161</v>
      </c>
      <c r="E2678" s="3" t="s">
        <v>5040</v>
      </c>
      <c r="F2678" s="3" t="s">
        <v>5162</v>
      </c>
      <c r="G2678" s="3" t="s">
        <v>5163</v>
      </c>
      <c r="H2678" s="2" t="s">
        <v>694</v>
      </c>
      <c r="I2678" s="4">
        <v>0</v>
      </c>
      <c r="J2678" s="5">
        <v>710000000</v>
      </c>
      <c r="K2678" s="5" t="s">
        <v>89</v>
      </c>
      <c r="L2678" s="2" t="s">
        <v>754</v>
      </c>
      <c r="M2678" s="6" t="s">
        <v>689</v>
      </c>
      <c r="N2678" s="7" t="s">
        <v>92</v>
      </c>
      <c r="O2678" s="7" t="s">
        <v>93</v>
      </c>
      <c r="P2678" s="3" t="s">
        <v>673</v>
      </c>
      <c r="Q2678" s="8">
        <v>796</v>
      </c>
      <c r="R2678" s="7" t="s">
        <v>118</v>
      </c>
      <c r="S2678" s="9">
        <v>1</v>
      </c>
      <c r="T2678" s="9">
        <v>118</v>
      </c>
      <c r="U2678" s="9">
        <f t="shared" si="1785"/>
        <v>118</v>
      </c>
      <c r="V2678" s="9">
        <f t="shared" si="1786"/>
        <v>132.16000000000003</v>
      </c>
      <c r="W2678" s="7"/>
      <c r="X2678" s="2">
        <v>2016</v>
      </c>
      <c r="Y2678" s="2"/>
    </row>
    <row r="2679" spans="1:25" s="11" customFormat="1" ht="89.25" customHeight="1" outlineLevel="1" x14ac:dyDescent="0.25">
      <c r="A2679" s="1"/>
      <c r="B2679" s="2" t="s">
        <v>7076</v>
      </c>
      <c r="C2679" s="3" t="s">
        <v>83</v>
      </c>
      <c r="D2679" s="3" t="s">
        <v>5164</v>
      </c>
      <c r="E2679" s="3" t="s">
        <v>5165</v>
      </c>
      <c r="F2679" s="3" t="s">
        <v>4929</v>
      </c>
      <c r="G2679" s="3" t="s">
        <v>5166</v>
      </c>
      <c r="H2679" s="2" t="s">
        <v>694</v>
      </c>
      <c r="I2679" s="4">
        <v>0</v>
      </c>
      <c r="J2679" s="5">
        <v>710000000</v>
      </c>
      <c r="K2679" s="5" t="s">
        <v>89</v>
      </c>
      <c r="L2679" s="2" t="s">
        <v>754</v>
      </c>
      <c r="M2679" s="6" t="s">
        <v>689</v>
      </c>
      <c r="N2679" s="7" t="s">
        <v>92</v>
      </c>
      <c r="O2679" s="7" t="s">
        <v>93</v>
      </c>
      <c r="P2679" s="3" t="s">
        <v>673</v>
      </c>
      <c r="Q2679" s="8">
        <v>796</v>
      </c>
      <c r="R2679" s="7" t="s">
        <v>118</v>
      </c>
      <c r="S2679" s="9">
        <v>12</v>
      </c>
      <c r="T2679" s="9">
        <v>265</v>
      </c>
      <c r="U2679" s="9">
        <f t="shared" si="1785"/>
        <v>3180</v>
      </c>
      <c r="V2679" s="9">
        <f t="shared" si="1786"/>
        <v>3561.6000000000004</v>
      </c>
      <c r="W2679" s="7"/>
      <c r="X2679" s="2">
        <v>2016</v>
      </c>
      <c r="Y2679" s="2"/>
    </row>
    <row r="2680" spans="1:25" s="11" customFormat="1" ht="89.25" customHeight="1" outlineLevel="1" x14ac:dyDescent="0.25">
      <c r="A2680" s="1"/>
      <c r="B2680" s="2" t="s">
        <v>7077</v>
      </c>
      <c r="C2680" s="3" t="s">
        <v>83</v>
      </c>
      <c r="D2680" s="3" t="s">
        <v>5164</v>
      </c>
      <c r="E2680" s="3" t="s">
        <v>5165</v>
      </c>
      <c r="F2680" s="3" t="s">
        <v>4929</v>
      </c>
      <c r="G2680" s="3" t="s">
        <v>5167</v>
      </c>
      <c r="H2680" s="2" t="s">
        <v>694</v>
      </c>
      <c r="I2680" s="4">
        <v>0</v>
      </c>
      <c r="J2680" s="5">
        <v>710000000</v>
      </c>
      <c r="K2680" s="5" t="s">
        <v>89</v>
      </c>
      <c r="L2680" s="2" t="s">
        <v>754</v>
      </c>
      <c r="M2680" s="6" t="s">
        <v>689</v>
      </c>
      <c r="N2680" s="7" t="s">
        <v>92</v>
      </c>
      <c r="O2680" s="7" t="s">
        <v>93</v>
      </c>
      <c r="P2680" s="3" t="s">
        <v>673</v>
      </c>
      <c r="Q2680" s="8">
        <v>796</v>
      </c>
      <c r="R2680" s="7" t="s">
        <v>118</v>
      </c>
      <c r="S2680" s="9">
        <v>2</v>
      </c>
      <c r="T2680" s="9">
        <v>265</v>
      </c>
      <c r="U2680" s="9">
        <f t="shared" si="1785"/>
        <v>530</v>
      </c>
      <c r="V2680" s="9">
        <f t="shared" si="1786"/>
        <v>593.6</v>
      </c>
      <c r="W2680" s="7"/>
      <c r="X2680" s="2">
        <v>2016</v>
      </c>
      <c r="Y2680" s="2"/>
    </row>
    <row r="2681" spans="1:25" s="11" customFormat="1" ht="89.25" customHeight="1" outlineLevel="1" x14ac:dyDescent="0.25">
      <c r="A2681" s="1"/>
      <c r="B2681" s="2" t="s">
        <v>7078</v>
      </c>
      <c r="C2681" s="3" t="s">
        <v>83</v>
      </c>
      <c r="D2681" s="3" t="s">
        <v>5168</v>
      </c>
      <c r="E2681" s="3" t="s">
        <v>5169</v>
      </c>
      <c r="F2681" s="3" t="s">
        <v>3972</v>
      </c>
      <c r="G2681" s="3" t="s">
        <v>5170</v>
      </c>
      <c r="H2681" s="2" t="s">
        <v>694</v>
      </c>
      <c r="I2681" s="4">
        <v>0</v>
      </c>
      <c r="J2681" s="5">
        <v>710000000</v>
      </c>
      <c r="K2681" s="5" t="s">
        <v>89</v>
      </c>
      <c r="L2681" s="2" t="s">
        <v>754</v>
      </c>
      <c r="M2681" s="6" t="s">
        <v>689</v>
      </c>
      <c r="N2681" s="7" t="s">
        <v>92</v>
      </c>
      <c r="O2681" s="7" t="s">
        <v>93</v>
      </c>
      <c r="P2681" s="3" t="s">
        <v>673</v>
      </c>
      <c r="Q2681" s="8">
        <v>796</v>
      </c>
      <c r="R2681" s="7" t="s">
        <v>118</v>
      </c>
      <c r="S2681" s="9">
        <v>4</v>
      </c>
      <c r="T2681" s="9">
        <v>239.77</v>
      </c>
      <c r="U2681" s="9">
        <f t="shared" si="1785"/>
        <v>959.08</v>
      </c>
      <c r="V2681" s="9">
        <f t="shared" si="1786"/>
        <v>1074.1696000000002</v>
      </c>
      <c r="W2681" s="7"/>
      <c r="X2681" s="2">
        <v>2016</v>
      </c>
      <c r="Y2681" s="2"/>
    </row>
    <row r="2682" spans="1:25" s="11" customFormat="1" ht="89.25" customHeight="1" outlineLevel="1" x14ac:dyDescent="0.25">
      <c r="A2682" s="1"/>
      <c r="B2682" s="2" t="s">
        <v>7079</v>
      </c>
      <c r="C2682" s="3" t="s">
        <v>83</v>
      </c>
      <c r="D2682" s="3" t="s">
        <v>5171</v>
      </c>
      <c r="E2682" s="3" t="s">
        <v>5046</v>
      </c>
      <c r="F2682" s="3" t="s">
        <v>5172</v>
      </c>
      <c r="G2682" s="3" t="s">
        <v>5173</v>
      </c>
      <c r="H2682" s="2" t="s">
        <v>694</v>
      </c>
      <c r="I2682" s="4">
        <v>0</v>
      </c>
      <c r="J2682" s="5">
        <v>710000000</v>
      </c>
      <c r="K2682" s="5" t="s">
        <v>89</v>
      </c>
      <c r="L2682" s="2" t="s">
        <v>754</v>
      </c>
      <c r="M2682" s="6" t="s">
        <v>689</v>
      </c>
      <c r="N2682" s="7" t="s">
        <v>92</v>
      </c>
      <c r="O2682" s="7" t="s">
        <v>93</v>
      </c>
      <c r="P2682" s="3" t="s">
        <v>673</v>
      </c>
      <c r="Q2682" s="8">
        <v>796</v>
      </c>
      <c r="R2682" s="7" t="s">
        <v>118</v>
      </c>
      <c r="S2682" s="9">
        <v>1</v>
      </c>
      <c r="T2682" s="9">
        <v>3140</v>
      </c>
      <c r="U2682" s="9">
        <f t="shared" si="1785"/>
        <v>3140</v>
      </c>
      <c r="V2682" s="9">
        <f t="shared" si="1786"/>
        <v>3516.8</v>
      </c>
      <c r="W2682" s="7"/>
      <c r="X2682" s="2">
        <v>2016</v>
      </c>
      <c r="Y2682" s="2"/>
    </row>
    <row r="2683" spans="1:25" s="11" customFormat="1" ht="89.25" customHeight="1" outlineLevel="1" x14ac:dyDescent="0.25">
      <c r="A2683" s="1"/>
      <c r="B2683" s="2" t="s">
        <v>7080</v>
      </c>
      <c r="C2683" s="3" t="s">
        <v>83</v>
      </c>
      <c r="D2683" s="3" t="s">
        <v>5174</v>
      </c>
      <c r="E2683" s="3" t="s">
        <v>2660</v>
      </c>
      <c r="F2683" s="3" t="s">
        <v>5175</v>
      </c>
      <c r="G2683" s="3" t="s">
        <v>5176</v>
      </c>
      <c r="H2683" s="2" t="s">
        <v>694</v>
      </c>
      <c r="I2683" s="4">
        <v>0</v>
      </c>
      <c r="J2683" s="5">
        <v>710000000</v>
      </c>
      <c r="K2683" s="5" t="s">
        <v>89</v>
      </c>
      <c r="L2683" s="2" t="s">
        <v>754</v>
      </c>
      <c r="M2683" s="6" t="s">
        <v>689</v>
      </c>
      <c r="N2683" s="7" t="s">
        <v>92</v>
      </c>
      <c r="O2683" s="7" t="s">
        <v>93</v>
      </c>
      <c r="P2683" s="3" t="s">
        <v>673</v>
      </c>
      <c r="Q2683" s="8" t="s">
        <v>228</v>
      </c>
      <c r="R2683" s="7" t="s">
        <v>229</v>
      </c>
      <c r="S2683" s="9">
        <v>6</v>
      </c>
      <c r="T2683" s="9">
        <v>241</v>
      </c>
      <c r="U2683" s="9">
        <f t="shared" si="1785"/>
        <v>1446</v>
      </c>
      <c r="V2683" s="9">
        <f t="shared" si="1786"/>
        <v>1619.5200000000002</v>
      </c>
      <c r="W2683" s="7"/>
      <c r="X2683" s="2">
        <v>2016</v>
      </c>
      <c r="Y2683" s="2"/>
    </row>
    <row r="2684" spans="1:25" s="11" customFormat="1" ht="89.25" customHeight="1" outlineLevel="1" x14ac:dyDescent="0.25">
      <c r="A2684" s="1"/>
      <c r="B2684" s="2" t="s">
        <v>7081</v>
      </c>
      <c r="C2684" s="3" t="s">
        <v>83</v>
      </c>
      <c r="D2684" s="3" t="s">
        <v>4969</v>
      </c>
      <c r="E2684" s="3" t="s">
        <v>4101</v>
      </c>
      <c r="F2684" s="3" t="s">
        <v>4970</v>
      </c>
      <c r="G2684" s="3" t="s">
        <v>5177</v>
      </c>
      <c r="H2684" s="2" t="s">
        <v>694</v>
      </c>
      <c r="I2684" s="4">
        <v>0</v>
      </c>
      <c r="J2684" s="5">
        <v>710000000</v>
      </c>
      <c r="K2684" s="5" t="s">
        <v>89</v>
      </c>
      <c r="L2684" s="2" t="s">
        <v>754</v>
      </c>
      <c r="M2684" s="6" t="s">
        <v>689</v>
      </c>
      <c r="N2684" s="7" t="s">
        <v>92</v>
      </c>
      <c r="O2684" s="7" t="s">
        <v>93</v>
      </c>
      <c r="P2684" s="3" t="s">
        <v>673</v>
      </c>
      <c r="Q2684" s="8">
        <v>796</v>
      </c>
      <c r="R2684" s="7" t="s">
        <v>118</v>
      </c>
      <c r="S2684" s="9">
        <v>12</v>
      </c>
      <c r="T2684" s="9">
        <v>105</v>
      </c>
      <c r="U2684" s="9">
        <f t="shared" si="1785"/>
        <v>1260</v>
      </c>
      <c r="V2684" s="9">
        <f t="shared" si="1786"/>
        <v>1411.2</v>
      </c>
      <c r="W2684" s="7"/>
      <c r="X2684" s="2">
        <v>2016</v>
      </c>
      <c r="Y2684" s="2"/>
    </row>
    <row r="2685" spans="1:25" s="11" customFormat="1" ht="89.25" customHeight="1" outlineLevel="1" x14ac:dyDescent="0.25">
      <c r="A2685" s="1"/>
      <c r="B2685" s="2" t="s">
        <v>7082</v>
      </c>
      <c r="C2685" s="3" t="s">
        <v>83</v>
      </c>
      <c r="D2685" s="3" t="s">
        <v>3971</v>
      </c>
      <c r="E2685" s="3" t="s">
        <v>3966</v>
      </c>
      <c r="F2685" s="3" t="s">
        <v>3972</v>
      </c>
      <c r="G2685" s="3" t="s">
        <v>5178</v>
      </c>
      <c r="H2685" s="2" t="s">
        <v>694</v>
      </c>
      <c r="I2685" s="4">
        <v>0</v>
      </c>
      <c r="J2685" s="5">
        <v>710000000</v>
      </c>
      <c r="K2685" s="5" t="s">
        <v>89</v>
      </c>
      <c r="L2685" s="2" t="s">
        <v>754</v>
      </c>
      <c r="M2685" s="6" t="s">
        <v>689</v>
      </c>
      <c r="N2685" s="7" t="s">
        <v>92</v>
      </c>
      <c r="O2685" s="7" t="s">
        <v>93</v>
      </c>
      <c r="P2685" s="3" t="s">
        <v>673</v>
      </c>
      <c r="Q2685" s="8">
        <v>796</v>
      </c>
      <c r="R2685" s="7" t="s">
        <v>118</v>
      </c>
      <c r="S2685" s="9">
        <v>2</v>
      </c>
      <c r="T2685" s="9">
        <v>230</v>
      </c>
      <c r="U2685" s="9">
        <f t="shared" si="1785"/>
        <v>460</v>
      </c>
      <c r="V2685" s="9">
        <f t="shared" si="1786"/>
        <v>515.20000000000005</v>
      </c>
      <c r="W2685" s="7"/>
      <c r="X2685" s="2">
        <v>2016</v>
      </c>
      <c r="Y2685" s="2"/>
    </row>
    <row r="2686" spans="1:25" s="11" customFormat="1" ht="89.25" customHeight="1" outlineLevel="1" x14ac:dyDescent="0.25">
      <c r="A2686" s="1"/>
      <c r="B2686" s="2" t="s">
        <v>7083</v>
      </c>
      <c r="C2686" s="3" t="s">
        <v>83</v>
      </c>
      <c r="D2686" s="3" t="s">
        <v>5023</v>
      </c>
      <c r="E2686" s="3" t="s">
        <v>5024</v>
      </c>
      <c r="F2686" s="3" t="s">
        <v>5025</v>
      </c>
      <c r="G2686" s="3" t="s">
        <v>5179</v>
      </c>
      <c r="H2686" s="2" t="s">
        <v>694</v>
      </c>
      <c r="I2686" s="4">
        <v>0</v>
      </c>
      <c r="J2686" s="5">
        <v>710000000</v>
      </c>
      <c r="K2686" s="5" t="s">
        <v>89</v>
      </c>
      <c r="L2686" s="2" t="s">
        <v>754</v>
      </c>
      <c r="M2686" s="6" t="s">
        <v>682</v>
      </c>
      <c r="N2686" s="7" t="s">
        <v>92</v>
      </c>
      <c r="O2686" s="7" t="s">
        <v>93</v>
      </c>
      <c r="P2686" s="3" t="s">
        <v>673</v>
      </c>
      <c r="Q2686" s="8">
        <v>796</v>
      </c>
      <c r="R2686" s="7" t="s">
        <v>118</v>
      </c>
      <c r="S2686" s="9">
        <v>2</v>
      </c>
      <c r="T2686" s="9">
        <v>107</v>
      </c>
      <c r="U2686" s="9">
        <f t="shared" si="1785"/>
        <v>214</v>
      </c>
      <c r="V2686" s="9">
        <f t="shared" si="1786"/>
        <v>239.68000000000004</v>
      </c>
      <c r="W2686" s="7"/>
      <c r="X2686" s="2">
        <v>2016</v>
      </c>
      <c r="Y2686" s="2"/>
    </row>
    <row r="2687" spans="1:25" s="11" customFormat="1" ht="89.25" customHeight="1" outlineLevel="1" x14ac:dyDescent="0.25">
      <c r="A2687" s="1"/>
      <c r="B2687" s="2" t="s">
        <v>7084</v>
      </c>
      <c r="C2687" s="3" t="s">
        <v>83</v>
      </c>
      <c r="D2687" s="3" t="s">
        <v>5015</v>
      </c>
      <c r="E2687" s="3" t="s">
        <v>5012</v>
      </c>
      <c r="F2687" s="3" t="s">
        <v>5016</v>
      </c>
      <c r="G2687" s="19" t="s">
        <v>5014</v>
      </c>
      <c r="H2687" s="2" t="s">
        <v>694</v>
      </c>
      <c r="I2687" s="4">
        <v>0</v>
      </c>
      <c r="J2687" s="5">
        <v>710000000</v>
      </c>
      <c r="K2687" s="5" t="s">
        <v>89</v>
      </c>
      <c r="L2687" s="2" t="s">
        <v>754</v>
      </c>
      <c r="M2687" s="6" t="s">
        <v>682</v>
      </c>
      <c r="N2687" s="7" t="s">
        <v>92</v>
      </c>
      <c r="O2687" s="7" t="s">
        <v>93</v>
      </c>
      <c r="P2687" s="3" t="s">
        <v>673</v>
      </c>
      <c r="Q2687" s="8" t="s">
        <v>228</v>
      </c>
      <c r="R2687" s="7" t="s">
        <v>229</v>
      </c>
      <c r="S2687" s="9">
        <v>1</v>
      </c>
      <c r="T2687" s="9">
        <v>240</v>
      </c>
      <c r="U2687" s="9">
        <f t="shared" si="1785"/>
        <v>240</v>
      </c>
      <c r="V2687" s="9">
        <f t="shared" si="1786"/>
        <v>268.8</v>
      </c>
      <c r="W2687" s="7"/>
      <c r="X2687" s="2">
        <v>2016</v>
      </c>
      <c r="Y2687" s="2"/>
    </row>
    <row r="2688" spans="1:25" s="11" customFormat="1" ht="89.25" customHeight="1" outlineLevel="1" x14ac:dyDescent="0.25">
      <c r="A2688" s="1"/>
      <c r="B2688" s="2" t="s">
        <v>7085</v>
      </c>
      <c r="C2688" s="3" t="s">
        <v>83</v>
      </c>
      <c r="D2688" s="3" t="s">
        <v>5122</v>
      </c>
      <c r="E2688" s="3" t="s">
        <v>5012</v>
      </c>
      <c r="F2688" s="3" t="s">
        <v>5123</v>
      </c>
      <c r="G2688" s="19" t="s">
        <v>5014</v>
      </c>
      <c r="H2688" s="2" t="s">
        <v>694</v>
      </c>
      <c r="I2688" s="4">
        <v>0</v>
      </c>
      <c r="J2688" s="5">
        <v>710000000</v>
      </c>
      <c r="K2688" s="5" t="s">
        <v>89</v>
      </c>
      <c r="L2688" s="2" t="s">
        <v>754</v>
      </c>
      <c r="M2688" s="6" t="s">
        <v>682</v>
      </c>
      <c r="N2688" s="7" t="s">
        <v>92</v>
      </c>
      <c r="O2688" s="7" t="s">
        <v>93</v>
      </c>
      <c r="P2688" s="3" t="s">
        <v>673</v>
      </c>
      <c r="Q2688" s="8" t="s">
        <v>522</v>
      </c>
      <c r="R2688" s="7" t="s">
        <v>523</v>
      </c>
      <c r="S2688" s="9">
        <v>1</v>
      </c>
      <c r="T2688" s="9">
        <v>165</v>
      </c>
      <c r="U2688" s="9">
        <f t="shared" si="1785"/>
        <v>165</v>
      </c>
      <c r="V2688" s="9">
        <f t="shared" si="1786"/>
        <v>184.8</v>
      </c>
      <c r="W2688" s="7"/>
      <c r="X2688" s="2">
        <v>2016</v>
      </c>
      <c r="Y2688" s="2"/>
    </row>
    <row r="2689" spans="1:25" s="11" customFormat="1" ht="89.25" customHeight="1" outlineLevel="1" x14ac:dyDescent="0.25">
      <c r="A2689" s="1"/>
      <c r="B2689" s="2" t="s">
        <v>7086</v>
      </c>
      <c r="C2689" s="3" t="s">
        <v>83</v>
      </c>
      <c r="D2689" s="3" t="s">
        <v>5120</v>
      </c>
      <c r="E2689" s="3" t="s">
        <v>5012</v>
      </c>
      <c r="F2689" s="3" t="s">
        <v>5121</v>
      </c>
      <c r="G2689" s="19" t="s">
        <v>5014</v>
      </c>
      <c r="H2689" s="2" t="s">
        <v>694</v>
      </c>
      <c r="I2689" s="4">
        <v>0</v>
      </c>
      <c r="J2689" s="5">
        <v>710000000</v>
      </c>
      <c r="K2689" s="5" t="s">
        <v>89</v>
      </c>
      <c r="L2689" s="2" t="s">
        <v>754</v>
      </c>
      <c r="M2689" s="6" t="s">
        <v>682</v>
      </c>
      <c r="N2689" s="7" t="s">
        <v>92</v>
      </c>
      <c r="O2689" s="7" t="s">
        <v>93</v>
      </c>
      <c r="P2689" s="3" t="s">
        <v>673</v>
      </c>
      <c r="Q2689" s="8" t="s">
        <v>522</v>
      </c>
      <c r="R2689" s="7" t="s">
        <v>523</v>
      </c>
      <c r="S2689" s="9">
        <v>1</v>
      </c>
      <c r="T2689" s="9">
        <v>90</v>
      </c>
      <c r="U2689" s="9">
        <f t="shared" ref="U2689:U2772" si="1787">T2689*S2689</f>
        <v>90</v>
      </c>
      <c r="V2689" s="9">
        <f t="shared" si="1786"/>
        <v>100.80000000000001</v>
      </c>
      <c r="W2689" s="7"/>
      <c r="X2689" s="2">
        <v>2016</v>
      </c>
      <c r="Y2689" s="2"/>
    </row>
    <row r="2690" spans="1:25" s="11" customFormat="1" ht="89.25" customHeight="1" outlineLevel="1" x14ac:dyDescent="0.25">
      <c r="A2690" s="1"/>
      <c r="B2690" s="2" t="s">
        <v>7087</v>
      </c>
      <c r="C2690" s="3" t="s">
        <v>83</v>
      </c>
      <c r="D2690" s="3" t="s">
        <v>4974</v>
      </c>
      <c r="E2690" s="3" t="s">
        <v>4975</v>
      </c>
      <c r="F2690" s="3" t="s">
        <v>4976</v>
      </c>
      <c r="G2690" s="3" t="s">
        <v>5180</v>
      </c>
      <c r="H2690" s="2" t="s">
        <v>694</v>
      </c>
      <c r="I2690" s="4">
        <v>0</v>
      </c>
      <c r="J2690" s="5">
        <v>710000000</v>
      </c>
      <c r="K2690" s="5" t="s">
        <v>89</v>
      </c>
      <c r="L2690" s="2" t="s">
        <v>754</v>
      </c>
      <c r="M2690" s="6" t="s">
        <v>682</v>
      </c>
      <c r="N2690" s="7" t="s">
        <v>92</v>
      </c>
      <c r="O2690" s="7" t="s">
        <v>93</v>
      </c>
      <c r="P2690" s="3" t="s">
        <v>673</v>
      </c>
      <c r="Q2690" s="8">
        <v>796</v>
      </c>
      <c r="R2690" s="7" t="s">
        <v>118</v>
      </c>
      <c r="S2690" s="9">
        <v>45</v>
      </c>
      <c r="T2690" s="9">
        <v>23</v>
      </c>
      <c r="U2690" s="9">
        <f t="shared" si="1787"/>
        <v>1035</v>
      </c>
      <c r="V2690" s="9">
        <f t="shared" si="1786"/>
        <v>1159.2</v>
      </c>
      <c r="W2690" s="7"/>
      <c r="X2690" s="2">
        <v>2016</v>
      </c>
      <c r="Y2690" s="2"/>
    </row>
    <row r="2691" spans="1:25" s="11" customFormat="1" ht="89.25" customHeight="1" outlineLevel="1" x14ac:dyDescent="0.25">
      <c r="A2691" s="1"/>
      <c r="B2691" s="2" t="s">
        <v>7088</v>
      </c>
      <c r="C2691" s="3" t="s">
        <v>83</v>
      </c>
      <c r="D2691" s="3" t="s">
        <v>5125</v>
      </c>
      <c r="E2691" s="3" t="s">
        <v>3173</v>
      </c>
      <c r="F2691" s="3" t="s">
        <v>5126</v>
      </c>
      <c r="G2691" s="3" t="s">
        <v>5181</v>
      </c>
      <c r="H2691" s="2" t="s">
        <v>694</v>
      </c>
      <c r="I2691" s="4">
        <v>0</v>
      </c>
      <c r="J2691" s="5">
        <v>710000000</v>
      </c>
      <c r="K2691" s="5" t="s">
        <v>89</v>
      </c>
      <c r="L2691" s="2" t="s">
        <v>754</v>
      </c>
      <c r="M2691" s="6" t="s">
        <v>682</v>
      </c>
      <c r="N2691" s="7" t="s">
        <v>92</v>
      </c>
      <c r="O2691" s="7" t="s">
        <v>93</v>
      </c>
      <c r="P2691" s="3" t="s">
        <v>673</v>
      </c>
      <c r="Q2691" s="8">
        <v>796</v>
      </c>
      <c r="R2691" s="7" t="s">
        <v>118</v>
      </c>
      <c r="S2691" s="9">
        <v>10</v>
      </c>
      <c r="T2691" s="9">
        <v>157.68</v>
      </c>
      <c r="U2691" s="9">
        <f t="shared" si="1787"/>
        <v>1576.8000000000002</v>
      </c>
      <c r="V2691" s="9">
        <f t="shared" si="1786"/>
        <v>1766.0160000000003</v>
      </c>
      <c r="W2691" s="7"/>
      <c r="X2691" s="2">
        <v>2016</v>
      </c>
      <c r="Y2691" s="2"/>
    </row>
    <row r="2692" spans="1:25" s="11" customFormat="1" ht="89.25" customHeight="1" outlineLevel="1" x14ac:dyDescent="0.25">
      <c r="A2692" s="1"/>
      <c r="B2692" s="2" t="s">
        <v>7089</v>
      </c>
      <c r="C2692" s="3" t="s">
        <v>83</v>
      </c>
      <c r="D2692" s="3" t="s">
        <v>5115</v>
      </c>
      <c r="E2692" s="3" t="s">
        <v>2660</v>
      </c>
      <c r="F2692" s="3" t="s">
        <v>5116</v>
      </c>
      <c r="G2692" s="3" t="s">
        <v>5182</v>
      </c>
      <c r="H2692" s="2" t="s">
        <v>694</v>
      </c>
      <c r="I2692" s="4">
        <v>0</v>
      </c>
      <c r="J2692" s="5">
        <v>710000000</v>
      </c>
      <c r="K2692" s="5" t="s">
        <v>89</v>
      </c>
      <c r="L2692" s="2" t="s">
        <v>754</v>
      </c>
      <c r="M2692" s="6" t="s">
        <v>682</v>
      </c>
      <c r="N2692" s="7" t="s">
        <v>92</v>
      </c>
      <c r="O2692" s="7" t="s">
        <v>93</v>
      </c>
      <c r="P2692" s="3" t="s">
        <v>673</v>
      </c>
      <c r="Q2692" s="8">
        <v>796</v>
      </c>
      <c r="R2692" s="7" t="s">
        <v>118</v>
      </c>
      <c r="S2692" s="9">
        <v>20</v>
      </c>
      <c r="T2692" s="9">
        <v>110</v>
      </c>
      <c r="U2692" s="9">
        <f t="shared" si="1787"/>
        <v>2200</v>
      </c>
      <c r="V2692" s="9">
        <f t="shared" si="1786"/>
        <v>2464.0000000000005</v>
      </c>
      <c r="W2692" s="7"/>
      <c r="X2692" s="2">
        <v>2016</v>
      </c>
      <c r="Y2692" s="2"/>
    </row>
    <row r="2693" spans="1:25" s="11" customFormat="1" ht="89.25" customHeight="1" outlineLevel="1" x14ac:dyDescent="0.25">
      <c r="A2693" s="1"/>
      <c r="B2693" s="2" t="s">
        <v>7090</v>
      </c>
      <c r="C2693" s="3" t="s">
        <v>83</v>
      </c>
      <c r="D2693" s="3" t="s">
        <v>5042</v>
      </c>
      <c r="E2693" s="3" t="s">
        <v>3983</v>
      </c>
      <c r="F2693" s="3" t="s">
        <v>5028</v>
      </c>
      <c r="G2693" s="3" t="s">
        <v>5183</v>
      </c>
      <c r="H2693" s="2" t="s">
        <v>694</v>
      </c>
      <c r="I2693" s="4">
        <v>0</v>
      </c>
      <c r="J2693" s="5">
        <v>710000000</v>
      </c>
      <c r="K2693" s="5" t="s">
        <v>89</v>
      </c>
      <c r="L2693" s="2" t="s">
        <v>754</v>
      </c>
      <c r="M2693" s="6" t="s">
        <v>682</v>
      </c>
      <c r="N2693" s="7" t="s">
        <v>92</v>
      </c>
      <c r="O2693" s="7" t="s">
        <v>93</v>
      </c>
      <c r="P2693" s="3" t="s">
        <v>673</v>
      </c>
      <c r="Q2693" s="8">
        <v>796</v>
      </c>
      <c r="R2693" s="7" t="s">
        <v>118</v>
      </c>
      <c r="S2693" s="9">
        <v>2</v>
      </c>
      <c r="T2693" s="9">
        <v>547.77</v>
      </c>
      <c r="U2693" s="9">
        <f t="shared" si="1787"/>
        <v>1095.54</v>
      </c>
      <c r="V2693" s="9">
        <f t="shared" si="1786"/>
        <v>1227.0048000000002</v>
      </c>
      <c r="W2693" s="7"/>
      <c r="X2693" s="2">
        <v>2016</v>
      </c>
      <c r="Y2693" s="2"/>
    </row>
    <row r="2694" spans="1:25" s="11" customFormat="1" ht="89.25" customHeight="1" outlineLevel="1" x14ac:dyDescent="0.25">
      <c r="A2694" s="1"/>
      <c r="B2694" s="2" t="s">
        <v>7091</v>
      </c>
      <c r="C2694" s="3" t="s">
        <v>83</v>
      </c>
      <c r="D2694" s="3" t="s">
        <v>5184</v>
      </c>
      <c r="E2694" s="3" t="s">
        <v>3325</v>
      </c>
      <c r="F2694" s="3" t="s">
        <v>5185</v>
      </c>
      <c r="G2694" s="3" t="s">
        <v>5186</v>
      </c>
      <c r="H2694" s="2" t="s">
        <v>694</v>
      </c>
      <c r="I2694" s="4">
        <v>0</v>
      </c>
      <c r="J2694" s="5">
        <v>710000000</v>
      </c>
      <c r="K2694" s="5" t="s">
        <v>89</v>
      </c>
      <c r="L2694" s="2" t="s">
        <v>754</v>
      </c>
      <c r="M2694" s="6" t="s">
        <v>682</v>
      </c>
      <c r="N2694" s="7" t="s">
        <v>92</v>
      </c>
      <c r="O2694" s="7" t="s">
        <v>93</v>
      </c>
      <c r="P2694" s="3" t="s">
        <v>673</v>
      </c>
      <c r="Q2694" s="8" t="s">
        <v>117</v>
      </c>
      <c r="R2694" s="7" t="s">
        <v>118</v>
      </c>
      <c r="S2694" s="9">
        <v>30</v>
      </c>
      <c r="T2694" s="9">
        <v>235.72</v>
      </c>
      <c r="U2694" s="9">
        <f t="shared" si="1787"/>
        <v>7071.6</v>
      </c>
      <c r="V2694" s="9">
        <f t="shared" si="1786"/>
        <v>7920.1920000000009</v>
      </c>
      <c r="W2694" s="7"/>
      <c r="X2694" s="2">
        <v>2016</v>
      </c>
      <c r="Y2694" s="2"/>
    </row>
    <row r="2695" spans="1:25" s="11" customFormat="1" ht="89.25" customHeight="1" outlineLevel="1" x14ac:dyDescent="0.25">
      <c r="A2695" s="1"/>
      <c r="B2695" s="2" t="s">
        <v>7092</v>
      </c>
      <c r="C2695" s="3" t="s">
        <v>83</v>
      </c>
      <c r="D2695" s="3" t="s">
        <v>5152</v>
      </c>
      <c r="E2695" s="3" t="s">
        <v>3325</v>
      </c>
      <c r="F2695" s="3" t="s">
        <v>5153</v>
      </c>
      <c r="G2695" s="3" t="s">
        <v>5187</v>
      </c>
      <c r="H2695" s="2" t="s">
        <v>694</v>
      </c>
      <c r="I2695" s="4">
        <v>0</v>
      </c>
      <c r="J2695" s="5">
        <v>710000000</v>
      </c>
      <c r="K2695" s="5" t="s">
        <v>89</v>
      </c>
      <c r="L2695" s="2" t="s">
        <v>754</v>
      </c>
      <c r="M2695" s="6" t="s">
        <v>682</v>
      </c>
      <c r="N2695" s="7" t="s">
        <v>92</v>
      </c>
      <c r="O2695" s="7" t="s">
        <v>93</v>
      </c>
      <c r="P2695" s="3" t="s">
        <v>673</v>
      </c>
      <c r="Q2695" s="8" t="s">
        <v>117</v>
      </c>
      <c r="R2695" s="7" t="s">
        <v>118</v>
      </c>
      <c r="S2695" s="9">
        <v>10</v>
      </c>
      <c r="T2695" s="9">
        <v>57.15</v>
      </c>
      <c r="U2695" s="9">
        <f t="shared" si="1787"/>
        <v>571.5</v>
      </c>
      <c r="V2695" s="9">
        <f t="shared" si="1786"/>
        <v>640.08000000000004</v>
      </c>
      <c r="W2695" s="7"/>
      <c r="X2695" s="2">
        <v>2016</v>
      </c>
      <c r="Y2695" s="2"/>
    </row>
    <row r="2696" spans="1:25" s="11" customFormat="1" ht="89.25" customHeight="1" outlineLevel="1" x14ac:dyDescent="0.25">
      <c r="A2696" s="1"/>
      <c r="B2696" s="2" t="s">
        <v>7093</v>
      </c>
      <c r="C2696" s="3" t="s">
        <v>83</v>
      </c>
      <c r="D2696" s="3" t="s">
        <v>5019</v>
      </c>
      <c r="E2696" s="3" t="s">
        <v>5020</v>
      </c>
      <c r="F2696" s="3" t="s">
        <v>5021</v>
      </c>
      <c r="G2696" s="3" t="s">
        <v>5188</v>
      </c>
      <c r="H2696" s="2" t="s">
        <v>694</v>
      </c>
      <c r="I2696" s="4">
        <v>0</v>
      </c>
      <c r="J2696" s="5">
        <v>710000000</v>
      </c>
      <c r="K2696" s="5" t="s">
        <v>89</v>
      </c>
      <c r="L2696" s="2" t="s">
        <v>754</v>
      </c>
      <c r="M2696" s="6" t="s">
        <v>682</v>
      </c>
      <c r="N2696" s="7" t="s">
        <v>92</v>
      </c>
      <c r="O2696" s="7" t="s">
        <v>93</v>
      </c>
      <c r="P2696" s="3" t="s">
        <v>673</v>
      </c>
      <c r="Q2696" s="8" t="s">
        <v>522</v>
      </c>
      <c r="R2696" s="7" t="s">
        <v>523</v>
      </c>
      <c r="S2696" s="9">
        <v>6</v>
      </c>
      <c r="T2696" s="9">
        <v>81.7</v>
      </c>
      <c r="U2696" s="9">
        <f t="shared" si="1787"/>
        <v>490.20000000000005</v>
      </c>
      <c r="V2696" s="9">
        <f t="shared" si="1786"/>
        <v>549.02400000000011</v>
      </c>
      <c r="W2696" s="7"/>
      <c r="X2696" s="2">
        <v>2016</v>
      </c>
      <c r="Y2696" s="2"/>
    </row>
    <row r="2697" spans="1:25" s="11" customFormat="1" ht="89.25" customHeight="1" outlineLevel="1" x14ac:dyDescent="0.25">
      <c r="A2697" s="1"/>
      <c r="B2697" s="2" t="s">
        <v>7094</v>
      </c>
      <c r="C2697" s="3" t="s">
        <v>83</v>
      </c>
      <c r="D2697" s="3" t="s">
        <v>4931</v>
      </c>
      <c r="E2697" s="3" t="s">
        <v>4932</v>
      </c>
      <c r="F2697" s="3" t="s">
        <v>4933</v>
      </c>
      <c r="G2697" s="3" t="s">
        <v>5189</v>
      </c>
      <c r="H2697" s="2" t="s">
        <v>694</v>
      </c>
      <c r="I2697" s="4">
        <v>0</v>
      </c>
      <c r="J2697" s="5">
        <v>710000000</v>
      </c>
      <c r="K2697" s="5" t="s">
        <v>89</v>
      </c>
      <c r="L2697" s="2" t="s">
        <v>754</v>
      </c>
      <c r="M2697" s="6" t="s">
        <v>682</v>
      </c>
      <c r="N2697" s="7" t="s">
        <v>92</v>
      </c>
      <c r="O2697" s="7" t="s">
        <v>93</v>
      </c>
      <c r="P2697" s="3" t="s">
        <v>673</v>
      </c>
      <c r="Q2697" s="8">
        <v>796</v>
      </c>
      <c r="R2697" s="7" t="s">
        <v>118</v>
      </c>
      <c r="S2697" s="9">
        <v>40</v>
      </c>
      <c r="T2697" s="9">
        <v>90</v>
      </c>
      <c r="U2697" s="9">
        <f t="shared" si="1787"/>
        <v>3600</v>
      </c>
      <c r="V2697" s="9">
        <f t="shared" si="1786"/>
        <v>4032.0000000000005</v>
      </c>
      <c r="W2697" s="7"/>
      <c r="X2697" s="2">
        <v>2016</v>
      </c>
      <c r="Y2697" s="2"/>
    </row>
    <row r="2698" spans="1:25" s="11" customFormat="1" ht="89.25" customHeight="1" outlineLevel="1" x14ac:dyDescent="0.25">
      <c r="A2698" s="1"/>
      <c r="B2698" s="2" t="s">
        <v>7095</v>
      </c>
      <c r="C2698" s="3" t="s">
        <v>83</v>
      </c>
      <c r="D2698" s="3" t="s">
        <v>5027</v>
      </c>
      <c r="E2698" s="3" t="s">
        <v>3991</v>
      </c>
      <c r="F2698" s="3" t="s">
        <v>5028</v>
      </c>
      <c r="G2698" s="3" t="s">
        <v>5190</v>
      </c>
      <c r="H2698" s="2" t="s">
        <v>694</v>
      </c>
      <c r="I2698" s="4">
        <v>0</v>
      </c>
      <c r="J2698" s="5">
        <v>710000000</v>
      </c>
      <c r="K2698" s="5" t="s">
        <v>89</v>
      </c>
      <c r="L2698" s="2" t="s">
        <v>754</v>
      </c>
      <c r="M2698" s="6" t="s">
        <v>682</v>
      </c>
      <c r="N2698" s="7" t="s">
        <v>92</v>
      </c>
      <c r="O2698" s="7" t="s">
        <v>93</v>
      </c>
      <c r="P2698" s="3" t="s">
        <v>673</v>
      </c>
      <c r="Q2698" s="8">
        <v>796</v>
      </c>
      <c r="R2698" s="7" t="s">
        <v>118</v>
      </c>
      <c r="S2698" s="9">
        <v>2</v>
      </c>
      <c r="T2698" s="9">
        <v>667</v>
      </c>
      <c r="U2698" s="9">
        <f t="shared" si="1787"/>
        <v>1334</v>
      </c>
      <c r="V2698" s="9">
        <f t="shared" si="1786"/>
        <v>1494.0800000000002</v>
      </c>
      <c r="W2698" s="7"/>
      <c r="X2698" s="2">
        <v>2016</v>
      </c>
      <c r="Y2698" s="2"/>
    </row>
    <row r="2699" spans="1:25" s="11" customFormat="1" ht="89.25" customHeight="1" outlineLevel="1" x14ac:dyDescent="0.25">
      <c r="A2699" s="1"/>
      <c r="B2699" s="2" t="s">
        <v>7096</v>
      </c>
      <c r="C2699" s="3" t="s">
        <v>83</v>
      </c>
      <c r="D2699" s="3" t="s">
        <v>4998</v>
      </c>
      <c r="E2699" s="3" t="s">
        <v>4999</v>
      </c>
      <c r="F2699" s="3" t="s">
        <v>5000</v>
      </c>
      <c r="G2699" s="3" t="s">
        <v>3921</v>
      </c>
      <c r="H2699" s="2" t="s">
        <v>694</v>
      </c>
      <c r="I2699" s="4">
        <v>0</v>
      </c>
      <c r="J2699" s="5">
        <v>710000000</v>
      </c>
      <c r="K2699" s="5" t="s">
        <v>89</v>
      </c>
      <c r="L2699" s="2" t="s">
        <v>754</v>
      </c>
      <c r="M2699" s="6" t="s">
        <v>682</v>
      </c>
      <c r="N2699" s="7" t="s">
        <v>92</v>
      </c>
      <c r="O2699" s="7" t="s">
        <v>93</v>
      </c>
      <c r="P2699" s="3" t="s">
        <v>673</v>
      </c>
      <c r="Q2699" s="8">
        <v>796</v>
      </c>
      <c r="R2699" s="7" t="s">
        <v>118</v>
      </c>
      <c r="S2699" s="9">
        <v>4</v>
      </c>
      <c r="T2699" s="9">
        <v>80</v>
      </c>
      <c r="U2699" s="9">
        <f t="shared" si="1787"/>
        <v>320</v>
      </c>
      <c r="V2699" s="9">
        <f t="shared" si="1786"/>
        <v>358.40000000000003</v>
      </c>
      <c r="W2699" s="7"/>
      <c r="X2699" s="2">
        <v>2016</v>
      </c>
      <c r="Y2699" s="2"/>
    </row>
    <row r="2700" spans="1:25" s="11" customFormat="1" ht="89.25" customHeight="1" outlineLevel="1" x14ac:dyDescent="0.25">
      <c r="A2700" s="1"/>
      <c r="B2700" s="2" t="s">
        <v>7097</v>
      </c>
      <c r="C2700" s="3" t="s">
        <v>83</v>
      </c>
      <c r="D2700" s="3" t="s">
        <v>4938</v>
      </c>
      <c r="E2700" s="3" t="s">
        <v>4939</v>
      </c>
      <c r="F2700" s="3" t="s">
        <v>4940</v>
      </c>
      <c r="G2700" s="19" t="s">
        <v>4941</v>
      </c>
      <c r="H2700" s="2" t="s">
        <v>694</v>
      </c>
      <c r="I2700" s="4">
        <v>0</v>
      </c>
      <c r="J2700" s="5">
        <v>710000000</v>
      </c>
      <c r="K2700" s="5" t="s">
        <v>89</v>
      </c>
      <c r="L2700" s="2" t="s">
        <v>754</v>
      </c>
      <c r="M2700" s="6" t="s">
        <v>682</v>
      </c>
      <c r="N2700" s="7" t="s">
        <v>92</v>
      </c>
      <c r="O2700" s="7" t="s">
        <v>93</v>
      </c>
      <c r="P2700" s="3" t="s">
        <v>673</v>
      </c>
      <c r="Q2700" s="8">
        <v>796</v>
      </c>
      <c r="R2700" s="7" t="s">
        <v>118</v>
      </c>
      <c r="S2700" s="9">
        <v>400</v>
      </c>
      <c r="T2700" s="9">
        <v>12</v>
      </c>
      <c r="U2700" s="9">
        <f t="shared" si="1787"/>
        <v>4800</v>
      </c>
      <c r="V2700" s="9">
        <f t="shared" si="1786"/>
        <v>5376.0000000000009</v>
      </c>
      <c r="W2700" s="7"/>
      <c r="X2700" s="2">
        <v>2016</v>
      </c>
      <c r="Y2700" s="2"/>
    </row>
    <row r="2701" spans="1:25" s="11" customFormat="1" ht="89.25" customHeight="1" outlineLevel="1" x14ac:dyDescent="0.25">
      <c r="A2701" s="1"/>
      <c r="B2701" s="2" t="s">
        <v>7098</v>
      </c>
      <c r="C2701" s="3" t="s">
        <v>83</v>
      </c>
      <c r="D2701" s="3" t="s">
        <v>4991</v>
      </c>
      <c r="E2701" s="3" t="s">
        <v>4992</v>
      </c>
      <c r="F2701" s="3" t="s">
        <v>4993</v>
      </c>
      <c r="G2701" s="3" t="s">
        <v>5191</v>
      </c>
      <c r="H2701" s="2" t="s">
        <v>694</v>
      </c>
      <c r="I2701" s="4">
        <v>0</v>
      </c>
      <c r="J2701" s="5">
        <v>710000000</v>
      </c>
      <c r="K2701" s="5" t="s">
        <v>89</v>
      </c>
      <c r="L2701" s="2" t="s">
        <v>754</v>
      </c>
      <c r="M2701" s="6" t="s">
        <v>682</v>
      </c>
      <c r="N2701" s="7" t="s">
        <v>92</v>
      </c>
      <c r="O2701" s="7" t="s">
        <v>93</v>
      </c>
      <c r="P2701" s="3" t="s">
        <v>673</v>
      </c>
      <c r="Q2701" s="8">
        <v>796</v>
      </c>
      <c r="R2701" s="7" t="s">
        <v>118</v>
      </c>
      <c r="S2701" s="9">
        <v>4</v>
      </c>
      <c r="T2701" s="9">
        <v>138</v>
      </c>
      <c r="U2701" s="9">
        <f t="shared" si="1787"/>
        <v>552</v>
      </c>
      <c r="V2701" s="9">
        <f t="shared" si="1786"/>
        <v>618.24</v>
      </c>
      <c r="W2701" s="7"/>
      <c r="X2701" s="2">
        <v>2016</v>
      </c>
      <c r="Y2701" s="2"/>
    </row>
    <row r="2702" spans="1:25" s="11" customFormat="1" ht="89.25" customHeight="1" outlineLevel="1" x14ac:dyDescent="0.25">
      <c r="A2702" s="1"/>
      <c r="B2702" s="2" t="s">
        <v>7099</v>
      </c>
      <c r="C2702" s="3" t="s">
        <v>83</v>
      </c>
      <c r="D2702" s="3" t="s">
        <v>5001</v>
      </c>
      <c r="E2702" s="3" t="s">
        <v>5002</v>
      </c>
      <c r="F2702" s="3" t="s">
        <v>5003</v>
      </c>
      <c r="G2702" s="3" t="s">
        <v>5192</v>
      </c>
      <c r="H2702" s="2" t="s">
        <v>694</v>
      </c>
      <c r="I2702" s="4">
        <v>0</v>
      </c>
      <c r="J2702" s="5">
        <v>710000000</v>
      </c>
      <c r="K2702" s="5" t="s">
        <v>89</v>
      </c>
      <c r="L2702" s="2" t="s">
        <v>754</v>
      </c>
      <c r="M2702" s="6" t="s">
        <v>682</v>
      </c>
      <c r="N2702" s="7" t="s">
        <v>92</v>
      </c>
      <c r="O2702" s="7" t="s">
        <v>93</v>
      </c>
      <c r="P2702" s="3" t="s">
        <v>673</v>
      </c>
      <c r="Q2702" s="8">
        <v>796</v>
      </c>
      <c r="R2702" s="7" t="s">
        <v>118</v>
      </c>
      <c r="S2702" s="9">
        <v>10</v>
      </c>
      <c r="T2702" s="9">
        <v>28</v>
      </c>
      <c r="U2702" s="9">
        <f t="shared" si="1787"/>
        <v>280</v>
      </c>
      <c r="V2702" s="9">
        <f t="shared" si="1786"/>
        <v>313.60000000000002</v>
      </c>
      <c r="W2702" s="7"/>
      <c r="X2702" s="2">
        <v>2016</v>
      </c>
      <c r="Y2702" s="2"/>
    </row>
    <row r="2703" spans="1:25" s="11" customFormat="1" ht="89.25" customHeight="1" outlineLevel="1" x14ac:dyDescent="0.25">
      <c r="A2703" s="1"/>
      <c r="B2703" s="2" t="s">
        <v>7100</v>
      </c>
      <c r="C2703" s="3" t="s">
        <v>83</v>
      </c>
      <c r="D2703" s="3" t="s">
        <v>5193</v>
      </c>
      <c r="E2703" s="3" t="s">
        <v>4983</v>
      </c>
      <c r="F2703" s="3" t="s">
        <v>5194</v>
      </c>
      <c r="G2703" s="3" t="s">
        <v>5195</v>
      </c>
      <c r="H2703" s="2" t="s">
        <v>694</v>
      </c>
      <c r="I2703" s="4">
        <v>0</v>
      </c>
      <c r="J2703" s="5">
        <v>710000000</v>
      </c>
      <c r="K2703" s="5" t="s">
        <v>89</v>
      </c>
      <c r="L2703" s="2" t="s">
        <v>754</v>
      </c>
      <c r="M2703" s="6" t="s">
        <v>682</v>
      </c>
      <c r="N2703" s="7" t="s">
        <v>92</v>
      </c>
      <c r="O2703" s="7" t="s">
        <v>93</v>
      </c>
      <c r="P2703" s="3" t="s">
        <v>673</v>
      </c>
      <c r="Q2703" s="8">
        <v>796</v>
      </c>
      <c r="R2703" s="7" t="s">
        <v>118</v>
      </c>
      <c r="S2703" s="9">
        <v>2</v>
      </c>
      <c r="T2703" s="9">
        <v>64.290000000000006</v>
      </c>
      <c r="U2703" s="9">
        <f t="shared" si="1787"/>
        <v>128.58000000000001</v>
      </c>
      <c r="V2703" s="9">
        <f t="shared" si="1786"/>
        <v>144.00960000000003</v>
      </c>
      <c r="W2703" s="7"/>
      <c r="X2703" s="2">
        <v>2016</v>
      </c>
      <c r="Y2703" s="2"/>
    </row>
    <row r="2704" spans="1:25" s="11" customFormat="1" ht="114.75" customHeight="1" outlineLevel="1" x14ac:dyDescent="0.25">
      <c r="A2704" s="1"/>
      <c r="B2704" s="2" t="s">
        <v>7101</v>
      </c>
      <c r="C2704" s="3" t="s">
        <v>83</v>
      </c>
      <c r="D2704" s="3" t="s">
        <v>4977</v>
      </c>
      <c r="E2704" s="3" t="s">
        <v>4978</v>
      </c>
      <c r="F2704" s="3" t="s">
        <v>4979</v>
      </c>
      <c r="G2704" s="3" t="s">
        <v>5196</v>
      </c>
      <c r="H2704" s="2" t="s">
        <v>694</v>
      </c>
      <c r="I2704" s="4">
        <v>0</v>
      </c>
      <c r="J2704" s="5">
        <v>710000000</v>
      </c>
      <c r="K2704" s="5" t="s">
        <v>89</v>
      </c>
      <c r="L2704" s="2" t="s">
        <v>754</v>
      </c>
      <c r="M2704" s="6" t="s">
        <v>682</v>
      </c>
      <c r="N2704" s="7" t="s">
        <v>92</v>
      </c>
      <c r="O2704" s="7" t="s">
        <v>93</v>
      </c>
      <c r="P2704" s="3" t="s">
        <v>673</v>
      </c>
      <c r="Q2704" s="8" t="s">
        <v>3876</v>
      </c>
      <c r="R2704" s="7" t="s">
        <v>2605</v>
      </c>
      <c r="S2704" s="9">
        <v>2</v>
      </c>
      <c r="T2704" s="9">
        <v>230</v>
      </c>
      <c r="U2704" s="9">
        <f t="shared" si="1787"/>
        <v>460</v>
      </c>
      <c r="V2704" s="9">
        <f t="shared" si="1786"/>
        <v>515.20000000000005</v>
      </c>
      <c r="W2704" s="7"/>
      <c r="X2704" s="2">
        <v>2016</v>
      </c>
      <c r="Y2704" s="2"/>
    </row>
    <row r="2705" spans="1:25" s="11" customFormat="1" ht="89.25" customHeight="1" outlineLevel="1" x14ac:dyDescent="0.25">
      <c r="A2705" s="1"/>
      <c r="B2705" s="2" t="s">
        <v>7102</v>
      </c>
      <c r="C2705" s="3" t="s">
        <v>83</v>
      </c>
      <c r="D2705" s="3" t="s">
        <v>5035</v>
      </c>
      <c r="E2705" s="3" t="s">
        <v>3753</v>
      </c>
      <c r="F2705" s="3" t="s">
        <v>5036</v>
      </c>
      <c r="G2705" s="3" t="s">
        <v>5197</v>
      </c>
      <c r="H2705" s="2" t="s">
        <v>694</v>
      </c>
      <c r="I2705" s="4">
        <v>0</v>
      </c>
      <c r="J2705" s="5">
        <v>710000000</v>
      </c>
      <c r="K2705" s="5" t="s">
        <v>89</v>
      </c>
      <c r="L2705" s="2" t="s">
        <v>754</v>
      </c>
      <c r="M2705" s="6" t="s">
        <v>682</v>
      </c>
      <c r="N2705" s="7" t="s">
        <v>92</v>
      </c>
      <c r="O2705" s="7" t="s">
        <v>93</v>
      </c>
      <c r="P2705" s="3" t="s">
        <v>673</v>
      </c>
      <c r="Q2705" s="8">
        <v>796</v>
      </c>
      <c r="R2705" s="7" t="s">
        <v>118</v>
      </c>
      <c r="S2705" s="9">
        <v>2</v>
      </c>
      <c r="T2705" s="9">
        <v>228</v>
      </c>
      <c r="U2705" s="9">
        <f t="shared" si="1787"/>
        <v>456</v>
      </c>
      <c r="V2705" s="9">
        <f t="shared" si="1786"/>
        <v>510.72</v>
      </c>
      <c r="W2705" s="7"/>
      <c r="X2705" s="2">
        <v>2016</v>
      </c>
      <c r="Y2705" s="2"/>
    </row>
    <row r="2706" spans="1:25" s="11" customFormat="1" ht="89.25" customHeight="1" outlineLevel="1" x14ac:dyDescent="0.25">
      <c r="A2706" s="1"/>
      <c r="B2706" s="2" t="s">
        <v>7103</v>
      </c>
      <c r="C2706" s="3" t="s">
        <v>83</v>
      </c>
      <c r="D2706" s="3" t="s">
        <v>4955</v>
      </c>
      <c r="E2706" s="3" t="s">
        <v>4950</v>
      </c>
      <c r="F2706" s="3" t="s">
        <v>4956</v>
      </c>
      <c r="G2706" s="3" t="s">
        <v>5198</v>
      </c>
      <c r="H2706" s="2" t="s">
        <v>694</v>
      </c>
      <c r="I2706" s="4">
        <v>0</v>
      </c>
      <c r="J2706" s="5">
        <v>710000000</v>
      </c>
      <c r="K2706" s="5" t="s">
        <v>89</v>
      </c>
      <c r="L2706" s="2" t="s">
        <v>754</v>
      </c>
      <c r="M2706" s="6" t="s">
        <v>682</v>
      </c>
      <c r="N2706" s="7" t="s">
        <v>92</v>
      </c>
      <c r="O2706" s="7" t="s">
        <v>93</v>
      </c>
      <c r="P2706" s="3" t="s">
        <v>673</v>
      </c>
      <c r="Q2706" s="8">
        <v>796</v>
      </c>
      <c r="R2706" s="7" t="s">
        <v>118</v>
      </c>
      <c r="S2706" s="9">
        <v>15</v>
      </c>
      <c r="T2706" s="9">
        <v>166.07</v>
      </c>
      <c r="U2706" s="9">
        <f t="shared" si="1787"/>
        <v>2491.0499999999997</v>
      </c>
      <c r="V2706" s="9">
        <f t="shared" ref="V2706:V2825" si="1788">U2706*1.12</f>
        <v>2789.9760000000001</v>
      </c>
      <c r="W2706" s="7"/>
      <c r="X2706" s="2">
        <v>2016</v>
      </c>
      <c r="Y2706" s="2"/>
    </row>
    <row r="2707" spans="1:25" s="11" customFormat="1" ht="89.25" customHeight="1" outlineLevel="1" x14ac:dyDescent="0.25">
      <c r="A2707" s="1"/>
      <c r="B2707" s="2" t="s">
        <v>7104</v>
      </c>
      <c r="C2707" s="3" t="s">
        <v>83</v>
      </c>
      <c r="D2707" s="3" t="s">
        <v>4955</v>
      </c>
      <c r="E2707" s="3" t="s">
        <v>4950</v>
      </c>
      <c r="F2707" s="3" t="s">
        <v>4956</v>
      </c>
      <c r="G2707" s="3" t="s">
        <v>5199</v>
      </c>
      <c r="H2707" s="2" t="s">
        <v>694</v>
      </c>
      <c r="I2707" s="4">
        <v>0</v>
      </c>
      <c r="J2707" s="5">
        <v>710000000</v>
      </c>
      <c r="K2707" s="5" t="s">
        <v>89</v>
      </c>
      <c r="L2707" s="2" t="s">
        <v>754</v>
      </c>
      <c r="M2707" s="6" t="s">
        <v>682</v>
      </c>
      <c r="N2707" s="7" t="s">
        <v>92</v>
      </c>
      <c r="O2707" s="7" t="s">
        <v>93</v>
      </c>
      <c r="P2707" s="3" t="s">
        <v>673</v>
      </c>
      <c r="Q2707" s="8">
        <v>796</v>
      </c>
      <c r="R2707" s="7" t="s">
        <v>118</v>
      </c>
      <c r="S2707" s="9">
        <v>50</v>
      </c>
      <c r="T2707" s="9">
        <v>381.53</v>
      </c>
      <c r="U2707" s="9">
        <f t="shared" si="1787"/>
        <v>19076.5</v>
      </c>
      <c r="V2707" s="9">
        <f t="shared" si="1788"/>
        <v>21365.68</v>
      </c>
      <c r="W2707" s="7"/>
      <c r="X2707" s="2">
        <v>2016</v>
      </c>
      <c r="Y2707" s="2"/>
    </row>
    <row r="2708" spans="1:25" s="11" customFormat="1" ht="89.25" customHeight="1" outlineLevel="1" x14ac:dyDescent="0.25">
      <c r="A2708" s="1"/>
      <c r="B2708" s="2" t="s">
        <v>7105</v>
      </c>
      <c r="C2708" s="3" t="s">
        <v>83</v>
      </c>
      <c r="D2708" s="3" t="s">
        <v>3507</v>
      </c>
      <c r="E2708" s="3" t="s">
        <v>3508</v>
      </c>
      <c r="F2708" s="3" t="s">
        <v>3509</v>
      </c>
      <c r="G2708" s="3" t="s">
        <v>5200</v>
      </c>
      <c r="H2708" s="2" t="s">
        <v>694</v>
      </c>
      <c r="I2708" s="4">
        <v>0</v>
      </c>
      <c r="J2708" s="5">
        <v>710000000</v>
      </c>
      <c r="K2708" s="5" t="s">
        <v>89</v>
      </c>
      <c r="L2708" s="2" t="s">
        <v>754</v>
      </c>
      <c r="M2708" s="6" t="s">
        <v>682</v>
      </c>
      <c r="N2708" s="7" t="s">
        <v>92</v>
      </c>
      <c r="O2708" s="7" t="s">
        <v>93</v>
      </c>
      <c r="P2708" s="3" t="s">
        <v>673</v>
      </c>
      <c r="Q2708" s="8">
        <v>796</v>
      </c>
      <c r="R2708" s="7" t="s">
        <v>118</v>
      </c>
      <c r="S2708" s="9">
        <v>15</v>
      </c>
      <c r="T2708" s="9">
        <v>116.07</v>
      </c>
      <c r="U2708" s="9">
        <f t="shared" si="1787"/>
        <v>1741.05</v>
      </c>
      <c r="V2708" s="9">
        <f t="shared" si="1788"/>
        <v>1949.9760000000001</v>
      </c>
      <c r="W2708" s="7"/>
      <c r="X2708" s="2">
        <v>2016</v>
      </c>
      <c r="Y2708" s="2"/>
    </row>
    <row r="2709" spans="1:25" s="11" customFormat="1" ht="89.25" customHeight="1" outlineLevel="1" x14ac:dyDescent="0.25">
      <c r="A2709" s="1"/>
      <c r="B2709" s="2" t="s">
        <v>7106</v>
      </c>
      <c r="C2709" s="3" t="s">
        <v>83</v>
      </c>
      <c r="D2709" s="3" t="s">
        <v>4969</v>
      </c>
      <c r="E2709" s="3" t="s">
        <v>4101</v>
      </c>
      <c r="F2709" s="3" t="s">
        <v>4970</v>
      </c>
      <c r="G2709" s="3" t="s">
        <v>5201</v>
      </c>
      <c r="H2709" s="2" t="s">
        <v>694</v>
      </c>
      <c r="I2709" s="4">
        <v>0</v>
      </c>
      <c r="J2709" s="5">
        <v>710000000</v>
      </c>
      <c r="K2709" s="5" t="s">
        <v>89</v>
      </c>
      <c r="L2709" s="2" t="s">
        <v>754</v>
      </c>
      <c r="M2709" s="6" t="s">
        <v>682</v>
      </c>
      <c r="N2709" s="7" t="s">
        <v>92</v>
      </c>
      <c r="O2709" s="7" t="s">
        <v>93</v>
      </c>
      <c r="P2709" s="3" t="s">
        <v>673</v>
      </c>
      <c r="Q2709" s="8">
        <v>796</v>
      </c>
      <c r="R2709" s="7" t="s">
        <v>118</v>
      </c>
      <c r="S2709" s="9">
        <v>45</v>
      </c>
      <c r="T2709" s="9">
        <v>80</v>
      </c>
      <c r="U2709" s="9">
        <f t="shared" si="1787"/>
        <v>3600</v>
      </c>
      <c r="V2709" s="9">
        <f t="shared" si="1788"/>
        <v>4032.0000000000005</v>
      </c>
      <c r="W2709" s="7"/>
      <c r="X2709" s="2">
        <v>2016</v>
      </c>
      <c r="Y2709" s="2"/>
    </row>
    <row r="2710" spans="1:25" s="11" customFormat="1" ht="89.25" customHeight="1" outlineLevel="1" x14ac:dyDescent="0.25">
      <c r="A2710" s="1"/>
      <c r="B2710" s="2" t="s">
        <v>7107</v>
      </c>
      <c r="C2710" s="3" t="s">
        <v>83</v>
      </c>
      <c r="D2710" s="3" t="s">
        <v>5030</v>
      </c>
      <c r="E2710" s="3" t="s">
        <v>5031</v>
      </c>
      <c r="F2710" s="3" t="s">
        <v>5032</v>
      </c>
      <c r="G2710" s="3" t="s">
        <v>5202</v>
      </c>
      <c r="H2710" s="2" t="s">
        <v>694</v>
      </c>
      <c r="I2710" s="4">
        <v>0</v>
      </c>
      <c r="J2710" s="5">
        <v>710000000</v>
      </c>
      <c r="K2710" s="5" t="s">
        <v>89</v>
      </c>
      <c r="L2710" s="2" t="s">
        <v>754</v>
      </c>
      <c r="M2710" s="6" t="s">
        <v>682</v>
      </c>
      <c r="N2710" s="7" t="s">
        <v>92</v>
      </c>
      <c r="O2710" s="7" t="s">
        <v>93</v>
      </c>
      <c r="P2710" s="3" t="s">
        <v>673</v>
      </c>
      <c r="Q2710" s="8" t="s">
        <v>522</v>
      </c>
      <c r="R2710" s="7" t="s">
        <v>523</v>
      </c>
      <c r="S2710" s="9">
        <v>6</v>
      </c>
      <c r="T2710" s="9">
        <v>174</v>
      </c>
      <c r="U2710" s="9">
        <f t="shared" si="1787"/>
        <v>1044</v>
      </c>
      <c r="V2710" s="9">
        <f t="shared" si="1788"/>
        <v>1169.2800000000002</v>
      </c>
      <c r="W2710" s="7"/>
      <c r="X2710" s="2">
        <v>2016</v>
      </c>
      <c r="Y2710" s="2"/>
    </row>
    <row r="2711" spans="1:25" s="11" customFormat="1" ht="89.25" customHeight="1" outlineLevel="1" x14ac:dyDescent="0.25">
      <c r="A2711" s="1"/>
      <c r="B2711" s="2" t="s">
        <v>7108</v>
      </c>
      <c r="C2711" s="3" t="s">
        <v>83</v>
      </c>
      <c r="D2711" s="3" t="s">
        <v>5045</v>
      </c>
      <c r="E2711" s="3" t="s">
        <v>5046</v>
      </c>
      <c r="F2711" s="3" t="s">
        <v>5047</v>
      </c>
      <c r="G2711" s="3" t="s">
        <v>5203</v>
      </c>
      <c r="H2711" s="2" t="s">
        <v>694</v>
      </c>
      <c r="I2711" s="4">
        <v>0</v>
      </c>
      <c r="J2711" s="5">
        <v>710000000</v>
      </c>
      <c r="K2711" s="5" t="s">
        <v>89</v>
      </c>
      <c r="L2711" s="2" t="s">
        <v>754</v>
      </c>
      <c r="M2711" s="6" t="s">
        <v>682</v>
      </c>
      <c r="N2711" s="7" t="s">
        <v>92</v>
      </c>
      <c r="O2711" s="7" t="s">
        <v>93</v>
      </c>
      <c r="P2711" s="3" t="s">
        <v>673</v>
      </c>
      <c r="Q2711" s="8">
        <v>796</v>
      </c>
      <c r="R2711" s="7" t="s">
        <v>118</v>
      </c>
      <c r="S2711" s="9">
        <v>2</v>
      </c>
      <c r="T2711" s="9">
        <v>1779</v>
      </c>
      <c r="U2711" s="9">
        <f t="shared" si="1787"/>
        <v>3558</v>
      </c>
      <c r="V2711" s="9">
        <f t="shared" si="1788"/>
        <v>3984.9600000000005</v>
      </c>
      <c r="W2711" s="7"/>
      <c r="X2711" s="2">
        <v>2016</v>
      </c>
      <c r="Y2711" s="2"/>
    </row>
    <row r="2712" spans="1:25" s="11" customFormat="1" ht="89.25" customHeight="1" outlineLevel="1" x14ac:dyDescent="0.25">
      <c r="A2712" s="1"/>
      <c r="B2712" s="2" t="s">
        <v>7109</v>
      </c>
      <c r="C2712" s="3" t="s">
        <v>83</v>
      </c>
      <c r="D2712" s="3" t="s">
        <v>4920</v>
      </c>
      <c r="E2712" s="3" t="s">
        <v>4921</v>
      </c>
      <c r="F2712" s="3" t="s">
        <v>4922</v>
      </c>
      <c r="G2712" s="3" t="s">
        <v>5204</v>
      </c>
      <c r="H2712" s="2" t="s">
        <v>694</v>
      </c>
      <c r="I2712" s="4">
        <v>0</v>
      </c>
      <c r="J2712" s="5">
        <v>710000000</v>
      </c>
      <c r="K2712" s="5" t="s">
        <v>89</v>
      </c>
      <c r="L2712" s="2" t="s">
        <v>754</v>
      </c>
      <c r="M2712" s="6" t="s">
        <v>682</v>
      </c>
      <c r="N2712" s="7" t="s">
        <v>92</v>
      </c>
      <c r="O2712" s="7" t="s">
        <v>93</v>
      </c>
      <c r="P2712" s="3" t="s">
        <v>673</v>
      </c>
      <c r="Q2712" s="8">
        <v>796</v>
      </c>
      <c r="R2712" s="7" t="s">
        <v>118</v>
      </c>
      <c r="S2712" s="9">
        <v>6</v>
      </c>
      <c r="T2712" s="9">
        <v>1493</v>
      </c>
      <c r="U2712" s="9">
        <f t="shared" si="1787"/>
        <v>8958</v>
      </c>
      <c r="V2712" s="9">
        <f t="shared" si="1788"/>
        <v>10032.960000000001</v>
      </c>
      <c r="W2712" s="7"/>
      <c r="X2712" s="2">
        <v>2016</v>
      </c>
      <c r="Y2712" s="2"/>
    </row>
    <row r="2713" spans="1:25" s="11" customFormat="1" ht="89.25" customHeight="1" outlineLevel="1" x14ac:dyDescent="0.25">
      <c r="A2713" s="1"/>
      <c r="B2713" s="2" t="s">
        <v>7110</v>
      </c>
      <c r="C2713" s="3" t="s">
        <v>83</v>
      </c>
      <c r="D2713" s="3" t="s">
        <v>3971</v>
      </c>
      <c r="E2713" s="3" t="s">
        <v>3966</v>
      </c>
      <c r="F2713" s="3" t="s">
        <v>3972</v>
      </c>
      <c r="G2713" s="19"/>
      <c r="H2713" s="2" t="s">
        <v>694</v>
      </c>
      <c r="I2713" s="4">
        <v>0</v>
      </c>
      <c r="J2713" s="5">
        <v>710000000</v>
      </c>
      <c r="K2713" s="5" t="s">
        <v>89</v>
      </c>
      <c r="L2713" s="2" t="s">
        <v>754</v>
      </c>
      <c r="M2713" s="6" t="s">
        <v>682</v>
      </c>
      <c r="N2713" s="7" t="s">
        <v>92</v>
      </c>
      <c r="O2713" s="7" t="s">
        <v>93</v>
      </c>
      <c r="P2713" s="3" t="s">
        <v>673</v>
      </c>
      <c r="Q2713" s="8">
        <v>796</v>
      </c>
      <c r="R2713" s="7" t="s">
        <v>118</v>
      </c>
      <c r="S2713" s="9">
        <v>20</v>
      </c>
      <c r="T2713" s="9">
        <v>130</v>
      </c>
      <c r="U2713" s="9">
        <f t="shared" si="1787"/>
        <v>2600</v>
      </c>
      <c r="V2713" s="9">
        <f t="shared" si="1788"/>
        <v>2912.0000000000005</v>
      </c>
      <c r="W2713" s="7"/>
      <c r="X2713" s="2">
        <v>2016</v>
      </c>
      <c r="Y2713" s="2"/>
    </row>
    <row r="2714" spans="1:25" s="11" customFormat="1" ht="89.25" customHeight="1" outlineLevel="1" x14ac:dyDescent="0.25">
      <c r="A2714" s="1"/>
      <c r="B2714" s="2" t="s">
        <v>7111</v>
      </c>
      <c r="C2714" s="3" t="s">
        <v>83</v>
      </c>
      <c r="D2714" s="3" t="s">
        <v>5205</v>
      </c>
      <c r="E2714" s="3" t="s">
        <v>2660</v>
      </c>
      <c r="F2714" s="3" t="s">
        <v>5206</v>
      </c>
      <c r="G2714" s="3" t="s">
        <v>5207</v>
      </c>
      <c r="H2714" s="2" t="s">
        <v>694</v>
      </c>
      <c r="I2714" s="4">
        <v>0</v>
      </c>
      <c r="J2714" s="5">
        <v>710000000</v>
      </c>
      <c r="K2714" s="5" t="s">
        <v>89</v>
      </c>
      <c r="L2714" s="2" t="s">
        <v>754</v>
      </c>
      <c r="M2714" s="6" t="s">
        <v>2682</v>
      </c>
      <c r="N2714" s="7" t="s">
        <v>92</v>
      </c>
      <c r="O2714" s="7" t="s">
        <v>93</v>
      </c>
      <c r="P2714" s="3" t="s">
        <v>673</v>
      </c>
      <c r="Q2714" s="8" t="s">
        <v>228</v>
      </c>
      <c r="R2714" s="8" t="s">
        <v>229</v>
      </c>
      <c r="S2714" s="9">
        <v>4</v>
      </c>
      <c r="T2714" s="9">
        <v>130</v>
      </c>
      <c r="U2714" s="9">
        <v>0</v>
      </c>
      <c r="V2714" s="9">
        <f t="shared" si="1788"/>
        <v>0</v>
      </c>
      <c r="W2714" s="7"/>
      <c r="X2714" s="2">
        <v>2016</v>
      </c>
      <c r="Y2714" s="2">
        <v>11</v>
      </c>
    </row>
    <row r="2715" spans="1:25" s="11" customFormat="1" ht="89.25" customHeight="1" outlineLevel="1" x14ac:dyDescent="0.25">
      <c r="A2715" s="1"/>
      <c r="B2715" s="2" t="s">
        <v>8816</v>
      </c>
      <c r="C2715" s="3" t="s">
        <v>83</v>
      </c>
      <c r="D2715" s="3" t="s">
        <v>5205</v>
      </c>
      <c r="E2715" s="3" t="s">
        <v>2660</v>
      </c>
      <c r="F2715" s="3" t="s">
        <v>5206</v>
      </c>
      <c r="G2715" s="3" t="s">
        <v>5207</v>
      </c>
      <c r="H2715" s="2" t="s">
        <v>694</v>
      </c>
      <c r="I2715" s="4">
        <v>0</v>
      </c>
      <c r="J2715" s="5">
        <v>710000000</v>
      </c>
      <c r="K2715" s="5" t="s">
        <v>89</v>
      </c>
      <c r="L2715" s="2" t="s">
        <v>8710</v>
      </c>
      <c r="M2715" s="6" t="s">
        <v>2682</v>
      </c>
      <c r="N2715" s="7" t="s">
        <v>92</v>
      </c>
      <c r="O2715" s="7" t="s">
        <v>93</v>
      </c>
      <c r="P2715" s="3" t="s">
        <v>673</v>
      </c>
      <c r="Q2715" s="8" t="s">
        <v>228</v>
      </c>
      <c r="R2715" s="8" t="s">
        <v>229</v>
      </c>
      <c r="S2715" s="9">
        <v>4</v>
      </c>
      <c r="T2715" s="9">
        <v>130</v>
      </c>
      <c r="U2715" s="9">
        <f t="shared" ref="U2715" si="1789">T2715*S2715</f>
        <v>520</v>
      </c>
      <c r="V2715" s="9">
        <f t="shared" ref="V2715" si="1790">U2715*1.12</f>
        <v>582.40000000000009</v>
      </c>
      <c r="W2715" s="7"/>
      <c r="X2715" s="2">
        <v>2016</v>
      </c>
      <c r="Y2715" s="2"/>
    </row>
    <row r="2716" spans="1:25" s="11" customFormat="1" ht="89.25" customHeight="1" outlineLevel="1" x14ac:dyDescent="0.25">
      <c r="A2716" s="16"/>
      <c r="B2716" s="2" t="s">
        <v>7112</v>
      </c>
      <c r="C2716" s="3" t="s">
        <v>83</v>
      </c>
      <c r="D2716" s="3" t="s">
        <v>5115</v>
      </c>
      <c r="E2716" s="3" t="s">
        <v>2660</v>
      </c>
      <c r="F2716" s="3" t="s">
        <v>5116</v>
      </c>
      <c r="G2716" s="3" t="s">
        <v>5117</v>
      </c>
      <c r="H2716" s="2" t="s">
        <v>694</v>
      </c>
      <c r="I2716" s="4">
        <v>0</v>
      </c>
      <c r="J2716" s="5">
        <v>710000000</v>
      </c>
      <c r="K2716" s="5" t="s">
        <v>89</v>
      </c>
      <c r="L2716" s="2" t="s">
        <v>754</v>
      </c>
      <c r="M2716" s="6" t="s">
        <v>2682</v>
      </c>
      <c r="N2716" s="7" t="s">
        <v>92</v>
      </c>
      <c r="O2716" s="7" t="s">
        <v>93</v>
      </c>
      <c r="P2716" s="3" t="s">
        <v>673</v>
      </c>
      <c r="Q2716" s="8">
        <v>796</v>
      </c>
      <c r="R2716" s="7" t="s">
        <v>118</v>
      </c>
      <c r="S2716" s="9">
        <v>8</v>
      </c>
      <c r="T2716" s="9">
        <v>110</v>
      </c>
      <c r="U2716" s="9">
        <v>0</v>
      </c>
      <c r="V2716" s="9">
        <f t="shared" si="1788"/>
        <v>0</v>
      </c>
      <c r="W2716" s="7"/>
      <c r="X2716" s="2">
        <v>2016</v>
      </c>
      <c r="Y2716" s="2">
        <v>11</v>
      </c>
    </row>
    <row r="2717" spans="1:25" s="11" customFormat="1" ht="89.25" customHeight="1" outlineLevel="1" x14ac:dyDescent="0.25">
      <c r="A2717" s="16"/>
      <c r="B2717" s="2" t="s">
        <v>8817</v>
      </c>
      <c r="C2717" s="3" t="s">
        <v>83</v>
      </c>
      <c r="D2717" s="3" t="s">
        <v>5115</v>
      </c>
      <c r="E2717" s="3" t="s">
        <v>2660</v>
      </c>
      <c r="F2717" s="3" t="s">
        <v>5116</v>
      </c>
      <c r="G2717" s="3" t="s">
        <v>5117</v>
      </c>
      <c r="H2717" s="2" t="s">
        <v>694</v>
      </c>
      <c r="I2717" s="4">
        <v>0</v>
      </c>
      <c r="J2717" s="5">
        <v>710000000</v>
      </c>
      <c r="K2717" s="5" t="s">
        <v>89</v>
      </c>
      <c r="L2717" s="2" t="s">
        <v>8710</v>
      </c>
      <c r="M2717" s="6" t="s">
        <v>2682</v>
      </c>
      <c r="N2717" s="7" t="s">
        <v>92</v>
      </c>
      <c r="O2717" s="7" t="s">
        <v>93</v>
      </c>
      <c r="P2717" s="3" t="s">
        <v>673</v>
      </c>
      <c r="Q2717" s="8">
        <v>796</v>
      </c>
      <c r="R2717" s="7" t="s">
        <v>118</v>
      </c>
      <c r="S2717" s="9">
        <v>8</v>
      </c>
      <c r="T2717" s="9">
        <v>110</v>
      </c>
      <c r="U2717" s="9">
        <f t="shared" ref="U2717" si="1791">T2717*S2717</f>
        <v>880</v>
      </c>
      <c r="V2717" s="9">
        <f t="shared" ref="V2717" si="1792">U2717*1.12</f>
        <v>985.60000000000014</v>
      </c>
      <c r="W2717" s="7"/>
      <c r="X2717" s="2">
        <v>2016</v>
      </c>
      <c r="Y2717" s="2"/>
    </row>
    <row r="2718" spans="1:25" s="11" customFormat="1" ht="89.25" customHeight="1" outlineLevel="1" x14ac:dyDescent="0.25">
      <c r="A2718" s="16"/>
      <c r="B2718" s="2" t="s">
        <v>7113</v>
      </c>
      <c r="C2718" s="3" t="s">
        <v>83</v>
      </c>
      <c r="D2718" s="3" t="s">
        <v>5042</v>
      </c>
      <c r="E2718" s="3" t="s">
        <v>3983</v>
      </c>
      <c r="F2718" s="3" t="s">
        <v>5028</v>
      </c>
      <c r="G2718" s="3" t="s">
        <v>5208</v>
      </c>
      <c r="H2718" s="2" t="s">
        <v>694</v>
      </c>
      <c r="I2718" s="4">
        <v>0</v>
      </c>
      <c r="J2718" s="5">
        <v>710000000</v>
      </c>
      <c r="K2718" s="5" t="s">
        <v>89</v>
      </c>
      <c r="L2718" s="2" t="s">
        <v>754</v>
      </c>
      <c r="M2718" s="6" t="s">
        <v>2682</v>
      </c>
      <c r="N2718" s="7" t="s">
        <v>92</v>
      </c>
      <c r="O2718" s="7" t="s">
        <v>93</v>
      </c>
      <c r="P2718" s="3" t="s">
        <v>673</v>
      </c>
      <c r="Q2718" s="8">
        <v>796</v>
      </c>
      <c r="R2718" s="7" t="s">
        <v>118</v>
      </c>
      <c r="S2718" s="9">
        <v>1</v>
      </c>
      <c r="T2718" s="9">
        <v>350</v>
      </c>
      <c r="U2718" s="9">
        <v>0</v>
      </c>
      <c r="V2718" s="9">
        <f t="shared" si="1788"/>
        <v>0</v>
      </c>
      <c r="W2718" s="7"/>
      <c r="X2718" s="2">
        <v>2016</v>
      </c>
      <c r="Y2718" s="2">
        <v>11</v>
      </c>
    </row>
    <row r="2719" spans="1:25" s="11" customFormat="1" ht="89.25" customHeight="1" outlineLevel="1" x14ac:dyDescent="0.25">
      <c r="A2719" s="16"/>
      <c r="B2719" s="2" t="s">
        <v>8818</v>
      </c>
      <c r="C2719" s="3" t="s">
        <v>83</v>
      </c>
      <c r="D2719" s="3" t="s">
        <v>5042</v>
      </c>
      <c r="E2719" s="3" t="s">
        <v>3983</v>
      </c>
      <c r="F2719" s="3" t="s">
        <v>5028</v>
      </c>
      <c r="G2719" s="3" t="s">
        <v>5208</v>
      </c>
      <c r="H2719" s="2" t="s">
        <v>694</v>
      </c>
      <c r="I2719" s="4">
        <v>0</v>
      </c>
      <c r="J2719" s="5">
        <v>710000000</v>
      </c>
      <c r="K2719" s="5" t="s">
        <v>89</v>
      </c>
      <c r="L2719" s="2" t="s">
        <v>8710</v>
      </c>
      <c r="M2719" s="6" t="s">
        <v>2682</v>
      </c>
      <c r="N2719" s="7" t="s">
        <v>92</v>
      </c>
      <c r="O2719" s="7" t="s">
        <v>93</v>
      </c>
      <c r="P2719" s="3" t="s">
        <v>673</v>
      </c>
      <c r="Q2719" s="8">
        <v>796</v>
      </c>
      <c r="R2719" s="7" t="s">
        <v>118</v>
      </c>
      <c r="S2719" s="9">
        <v>1</v>
      </c>
      <c r="T2719" s="9">
        <v>350</v>
      </c>
      <c r="U2719" s="9">
        <f t="shared" ref="U2719" si="1793">T2719*S2719</f>
        <v>350</v>
      </c>
      <c r="V2719" s="9">
        <f t="shared" ref="V2719" si="1794">U2719*1.12</f>
        <v>392.00000000000006</v>
      </c>
      <c r="W2719" s="7"/>
      <c r="X2719" s="2">
        <v>2016</v>
      </c>
      <c r="Y2719" s="2"/>
    </row>
    <row r="2720" spans="1:25" s="11" customFormat="1" ht="89.25" customHeight="1" outlineLevel="1" x14ac:dyDescent="0.25">
      <c r="A2720" s="16"/>
      <c r="B2720" s="2" t="s">
        <v>7114</v>
      </c>
      <c r="C2720" s="3" t="s">
        <v>83</v>
      </c>
      <c r="D2720" s="3" t="s">
        <v>5209</v>
      </c>
      <c r="E2720" s="3" t="s">
        <v>4921</v>
      </c>
      <c r="F2720" s="3" t="s">
        <v>5210</v>
      </c>
      <c r="G2720" s="3" t="s">
        <v>5211</v>
      </c>
      <c r="H2720" s="2" t="s">
        <v>694</v>
      </c>
      <c r="I2720" s="4">
        <v>0</v>
      </c>
      <c r="J2720" s="5">
        <v>710000000</v>
      </c>
      <c r="K2720" s="5" t="s">
        <v>89</v>
      </c>
      <c r="L2720" s="2" t="s">
        <v>754</v>
      </c>
      <c r="M2720" s="6" t="s">
        <v>2682</v>
      </c>
      <c r="N2720" s="7" t="s">
        <v>92</v>
      </c>
      <c r="O2720" s="7" t="s">
        <v>93</v>
      </c>
      <c r="P2720" s="3" t="s">
        <v>673</v>
      </c>
      <c r="Q2720" s="8">
        <v>796</v>
      </c>
      <c r="R2720" s="7" t="s">
        <v>118</v>
      </c>
      <c r="S2720" s="9">
        <v>1</v>
      </c>
      <c r="T2720" s="9">
        <v>1493</v>
      </c>
      <c r="U2720" s="9">
        <v>0</v>
      </c>
      <c r="V2720" s="9">
        <f t="shared" si="1788"/>
        <v>0</v>
      </c>
      <c r="W2720" s="7"/>
      <c r="X2720" s="2">
        <v>2016</v>
      </c>
      <c r="Y2720" s="2">
        <v>11</v>
      </c>
    </row>
    <row r="2721" spans="1:25" s="11" customFormat="1" ht="89.25" customHeight="1" outlineLevel="1" x14ac:dyDescent="0.25">
      <c r="A2721" s="16"/>
      <c r="B2721" s="2" t="s">
        <v>8819</v>
      </c>
      <c r="C2721" s="3" t="s">
        <v>83</v>
      </c>
      <c r="D2721" s="3" t="s">
        <v>5209</v>
      </c>
      <c r="E2721" s="3" t="s">
        <v>4921</v>
      </c>
      <c r="F2721" s="3" t="s">
        <v>5210</v>
      </c>
      <c r="G2721" s="3" t="s">
        <v>5211</v>
      </c>
      <c r="H2721" s="2" t="s">
        <v>694</v>
      </c>
      <c r="I2721" s="4">
        <v>0</v>
      </c>
      <c r="J2721" s="5">
        <v>710000000</v>
      </c>
      <c r="K2721" s="5" t="s">
        <v>89</v>
      </c>
      <c r="L2721" s="2" t="s">
        <v>8710</v>
      </c>
      <c r="M2721" s="6" t="s">
        <v>2682</v>
      </c>
      <c r="N2721" s="7" t="s">
        <v>92</v>
      </c>
      <c r="O2721" s="7" t="s">
        <v>93</v>
      </c>
      <c r="P2721" s="3" t="s">
        <v>673</v>
      </c>
      <c r="Q2721" s="8">
        <v>796</v>
      </c>
      <c r="R2721" s="7" t="s">
        <v>118</v>
      </c>
      <c r="S2721" s="9">
        <v>1</v>
      </c>
      <c r="T2721" s="9">
        <v>1493</v>
      </c>
      <c r="U2721" s="9">
        <f t="shared" ref="U2721" si="1795">T2721*S2721</f>
        <v>1493</v>
      </c>
      <c r="V2721" s="9">
        <f t="shared" ref="V2721" si="1796">U2721*1.12</f>
        <v>1672.16</v>
      </c>
      <c r="W2721" s="7"/>
      <c r="X2721" s="2">
        <v>2016</v>
      </c>
      <c r="Y2721" s="2"/>
    </row>
    <row r="2722" spans="1:25" s="11" customFormat="1" ht="89.25" customHeight="1" outlineLevel="1" x14ac:dyDescent="0.25">
      <c r="A2722" s="16"/>
      <c r="B2722" s="2" t="s">
        <v>7115</v>
      </c>
      <c r="C2722" s="3" t="s">
        <v>83</v>
      </c>
      <c r="D2722" s="3" t="s">
        <v>4920</v>
      </c>
      <c r="E2722" s="3" t="s">
        <v>4921</v>
      </c>
      <c r="F2722" s="3" t="s">
        <v>4922</v>
      </c>
      <c r="G2722" s="3" t="s">
        <v>5118</v>
      </c>
      <c r="H2722" s="2" t="s">
        <v>694</v>
      </c>
      <c r="I2722" s="4">
        <v>0</v>
      </c>
      <c r="J2722" s="5">
        <v>710000000</v>
      </c>
      <c r="K2722" s="5" t="s">
        <v>89</v>
      </c>
      <c r="L2722" s="2" t="s">
        <v>754</v>
      </c>
      <c r="M2722" s="6" t="s">
        <v>2682</v>
      </c>
      <c r="N2722" s="7" t="s">
        <v>92</v>
      </c>
      <c r="O2722" s="7" t="s">
        <v>93</v>
      </c>
      <c r="P2722" s="3" t="s">
        <v>673</v>
      </c>
      <c r="Q2722" s="8">
        <v>796</v>
      </c>
      <c r="R2722" s="7" t="s">
        <v>118</v>
      </c>
      <c r="S2722" s="9">
        <v>1</v>
      </c>
      <c r="T2722" s="9">
        <v>1493</v>
      </c>
      <c r="U2722" s="9">
        <v>0</v>
      </c>
      <c r="V2722" s="9">
        <f t="shared" si="1788"/>
        <v>0</v>
      </c>
      <c r="W2722" s="7"/>
      <c r="X2722" s="2">
        <v>2016</v>
      </c>
      <c r="Y2722" s="2">
        <v>11</v>
      </c>
    </row>
    <row r="2723" spans="1:25" s="11" customFormat="1" ht="89.25" customHeight="1" outlineLevel="1" x14ac:dyDescent="0.25">
      <c r="A2723" s="16"/>
      <c r="B2723" s="2" t="s">
        <v>8820</v>
      </c>
      <c r="C2723" s="3" t="s">
        <v>83</v>
      </c>
      <c r="D2723" s="3" t="s">
        <v>4920</v>
      </c>
      <c r="E2723" s="3" t="s">
        <v>4921</v>
      </c>
      <c r="F2723" s="3" t="s">
        <v>4922</v>
      </c>
      <c r="G2723" s="3" t="s">
        <v>5118</v>
      </c>
      <c r="H2723" s="2" t="s">
        <v>694</v>
      </c>
      <c r="I2723" s="4">
        <v>0</v>
      </c>
      <c r="J2723" s="5">
        <v>710000000</v>
      </c>
      <c r="K2723" s="5" t="s">
        <v>89</v>
      </c>
      <c r="L2723" s="2" t="s">
        <v>8710</v>
      </c>
      <c r="M2723" s="6" t="s">
        <v>2682</v>
      </c>
      <c r="N2723" s="7" t="s">
        <v>92</v>
      </c>
      <c r="O2723" s="7" t="s">
        <v>93</v>
      </c>
      <c r="P2723" s="3" t="s">
        <v>673</v>
      </c>
      <c r="Q2723" s="8">
        <v>796</v>
      </c>
      <c r="R2723" s="7" t="s">
        <v>118</v>
      </c>
      <c r="S2723" s="9">
        <v>1</v>
      </c>
      <c r="T2723" s="9">
        <v>1493</v>
      </c>
      <c r="U2723" s="9">
        <f t="shared" ref="U2723" si="1797">T2723*S2723</f>
        <v>1493</v>
      </c>
      <c r="V2723" s="9">
        <f t="shared" ref="V2723" si="1798">U2723*1.12</f>
        <v>1672.16</v>
      </c>
      <c r="W2723" s="7"/>
      <c r="X2723" s="2">
        <v>2016</v>
      </c>
      <c r="Y2723" s="2"/>
    </row>
    <row r="2724" spans="1:25" s="11" customFormat="1" ht="89.25" customHeight="1" outlineLevel="1" x14ac:dyDescent="0.25">
      <c r="A2724" s="16"/>
      <c r="B2724" s="2" t="s">
        <v>7116</v>
      </c>
      <c r="C2724" s="3" t="s">
        <v>83</v>
      </c>
      <c r="D2724" s="3" t="s">
        <v>4920</v>
      </c>
      <c r="E2724" s="3" t="s">
        <v>4921</v>
      </c>
      <c r="F2724" s="3" t="s">
        <v>4922</v>
      </c>
      <c r="G2724" s="3" t="s">
        <v>5119</v>
      </c>
      <c r="H2724" s="2" t="s">
        <v>694</v>
      </c>
      <c r="I2724" s="4">
        <v>0</v>
      </c>
      <c r="J2724" s="5">
        <v>710000000</v>
      </c>
      <c r="K2724" s="5" t="s">
        <v>89</v>
      </c>
      <c r="L2724" s="2" t="s">
        <v>754</v>
      </c>
      <c r="M2724" s="6" t="s">
        <v>2682</v>
      </c>
      <c r="N2724" s="7" t="s">
        <v>92</v>
      </c>
      <c r="O2724" s="7" t="s">
        <v>93</v>
      </c>
      <c r="P2724" s="3" t="s">
        <v>673</v>
      </c>
      <c r="Q2724" s="8">
        <v>796</v>
      </c>
      <c r="R2724" s="7" t="s">
        <v>118</v>
      </c>
      <c r="S2724" s="9">
        <v>2</v>
      </c>
      <c r="T2724" s="9">
        <v>1493</v>
      </c>
      <c r="U2724" s="9">
        <v>0</v>
      </c>
      <c r="V2724" s="9">
        <f t="shared" si="1788"/>
        <v>0</v>
      </c>
      <c r="W2724" s="7"/>
      <c r="X2724" s="2">
        <v>2016</v>
      </c>
      <c r="Y2724" s="2">
        <v>11</v>
      </c>
    </row>
    <row r="2725" spans="1:25" s="11" customFormat="1" ht="89.25" customHeight="1" outlineLevel="1" x14ac:dyDescent="0.25">
      <c r="A2725" s="16"/>
      <c r="B2725" s="2" t="s">
        <v>8821</v>
      </c>
      <c r="C2725" s="3" t="s">
        <v>83</v>
      </c>
      <c r="D2725" s="3" t="s">
        <v>4920</v>
      </c>
      <c r="E2725" s="3" t="s">
        <v>4921</v>
      </c>
      <c r="F2725" s="3" t="s">
        <v>4922</v>
      </c>
      <c r="G2725" s="3" t="s">
        <v>5119</v>
      </c>
      <c r="H2725" s="2" t="s">
        <v>694</v>
      </c>
      <c r="I2725" s="4">
        <v>0</v>
      </c>
      <c r="J2725" s="5">
        <v>710000000</v>
      </c>
      <c r="K2725" s="5" t="s">
        <v>89</v>
      </c>
      <c r="L2725" s="2" t="s">
        <v>8710</v>
      </c>
      <c r="M2725" s="6" t="s">
        <v>2682</v>
      </c>
      <c r="N2725" s="7" t="s">
        <v>92</v>
      </c>
      <c r="O2725" s="7" t="s">
        <v>93</v>
      </c>
      <c r="P2725" s="3" t="s">
        <v>673</v>
      </c>
      <c r="Q2725" s="8">
        <v>796</v>
      </c>
      <c r="R2725" s="7" t="s">
        <v>118</v>
      </c>
      <c r="S2725" s="9">
        <v>2</v>
      </c>
      <c r="T2725" s="9">
        <v>1493</v>
      </c>
      <c r="U2725" s="9">
        <f t="shared" ref="U2725" si="1799">T2725*S2725</f>
        <v>2986</v>
      </c>
      <c r="V2725" s="9">
        <f t="shared" ref="V2725" si="1800">U2725*1.12</f>
        <v>3344.32</v>
      </c>
      <c r="W2725" s="7"/>
      <c r="X2725" s="2">
        <v>2016</v>
      </c>
      <c r="Y2725" s="2"/>
    </row>
    <row r="2726" spans="1:25" s="11" customFormat="1" ht="89.25" customHeight="1" outlineLevel="1" x14ac:dyDescent="0.25">
      <c r="A2726" s="16"/>
      <c r="B2726" s="2" t="s">
        <v>7117</v>
      </c>
      <c r="C2726" s="3" t="s">
        <v>83</v>
      </c>
      <c r="D2726" s="3" t="s">
        <v>5212</v>
      </c>
      <c r="E2726" s="3" t="s">
        <v>5213</v>
      </c>
      <c r="F2726" s="3" t="s">
        <v>3584</v>
      </c>
      <c r="G2726" s="3" t="s">
        <v>5214</v>
      </c>
      <c r="H2726" s="2" t="s">
        <v>694</v>
      </c>
      <c r="I2726" s="4">
        <v>0</v>
      </c>
      <c r="J2726" s="5">
        <v>710000000</v>
      </c>
      <c r="K2726" s="5" t="s">
        <v>89</v>
      </c>
      <c r="L2726" s="2" t="s">
        <v>754</v>
      </c>
      <c r="M2726" s="6" t="s">
        <v>2682</v>
      </c>
      <c r="N2726" s="7" t="s">
        <v>92</v>
      </c>
      <c r="O2726" s="7" t="s">
        <v>93</v>
      </c>
      <c r="P2726" s="3" t="s">
        <v>673</v>
      </c>
      <c r="Q2726" s="8">
        <v>796</v>
      </c>
      <c r="R2726" s="7" t="s">
        <v>118</v>
      </c>
      <c r="S2726" s="9">
        <v>1</v>
      </c>
      <c r="T2726" s="9">
        <v>1070</v>
      </c>
      <c r="U2726" s="9">
        <v>0</v>
      </c>
      <c r="V2726" s="9">
        <f t="shared" si="1788"/>
        <v>0</v>
      </c>
      <c r="W2726" s="7"/>
      <c r="X2726" s="2">
        <v>2016</v>
      </c>
      <c r="Y2726" s="2">
        <v>11</v>
      </c>
    </row>
    <row r="2727" spans="1:25" s="11" customFormat="1" ht="89.25" customHeight="1" outlineLevel="1" x14ac:dyDescent="0.25">
      <c r="A2727" s="16"/>
      <c r="B2727" s="2" t="s">
        <v>8822</v>
      </c>
      <c r="C2727" s="3" t="s">
        <v>83</v>
      </c>
      <c r="D2727" s="3" t="s">
        <v>5212</v>
      </c>
      <c r="E2727" s="3" t="s">
        <v>5213</v>
      </c>
      <c r="F2727" s="3" t="s">
        <v>3584</v>
      </c>
      <c r="G2727" s="3" t="s">
        <v>5214</v>
      </c>
      <c r="H2727" s="2" t="s">
        <v>694</v>
      </c>
      <c r="I2727" s="4">
        <v>0</v>
      </c>
      <c r="J2727" s="5">
        <v>710000000</v>
      </c>
      <c r="K2727" s="5" t="s">
        <v>89</v>
      </c>
      <c r="L2727" s="2" t="s">
        <v>8710</v>
      </c>
      <c r="M2727" s="6" t="s">
        <v>2682</v>
      </c>
      <c r="N2727" s="7" t="s">
        <v>92</v>
      </c>
      <c r="O2727" s="7" t="s">
        <v>93</v>
      </c>
      <c r="P2727" s="3" t="s">
        <v>673</v>
      </c>
      <c r="Q2727" s="8">
        <v>796</v>
      </c>
      <c r="R2727" s="7" t="s">
        <v>118</v>
      </c>
      <c r="S2727" s="9">
        <v>1</v>
      </c>
      <c r="T2727" s="9">
        <v>1070</v>
      </c>
      <c r="U2727" s="9">
        <f t="shared" ref="U2727" si="1801">T2727*S2727</f>
        <v>1070</v>
      </c>
      <c r="V2727" s="9">
        <f t="shared" ref="V2727" si="1802">U2727*1.12</f>
        <v>1198.4000000000001</v>
      </c>
      <c r="W2727" s="7"/>
      <c r="X2727" s="2">
        <v>2016</v>
      </c>
      <c r="Y2727" s="2"/>
    </row>
    <row r="2728" spans="1:25" s="11" customFormat="1" ht="89.25" customHeight="1" outlineLevel="1" x14ac:dyDescent="0.25">
      <c r="A2728" s="16"/>
      <c r="B2728" s="2" t="s">
        <v>7118</v>
      </c>
      <c r="C2728" s="3" t="s">
        <v>83</v>
      </c>
      <c r="D2728" s="3" t="s">
        <v>4989</v>
      </c>
      <c r="E2728" s="3" t="s">
        <v>4986</v>
      </c>
      <c r="F2728" s="3" t="s">
        <v>4990</v>
      </c>
      <c r="G2728" s="3" t="s">
        <v>5215</v>
      </c>
      <c r="H2728" s="2" t="s">
        <v>694</v>
      </c>
      <c r="I2728" s="4">
        <v>0</v>
      </c>
      <c r="J2728" s="5">
        <v>710000000</v>
      </c>
      <c r="K2728" s="5" t="s">
        <v>89</v>
      </c>
      <c r="L2728" s="2" t="s">
        <v>754</v>
      </c>
      <c r="M2728" s="6" t="s">
        <v>2682</v>
      </c>
      <c r="N2728" s="7" t="s">
        <v>92</v>
      </c>
      <c r="O2728" s="7" t="s">
        <v>93</v>
      </c>
      <c r="P2728" s="3" t="s">
        <v>673</v>
      </c>
      <c r="Q2728" s="8">
        <v>796</v>
      </c>
      <c r="R2728" s="7" t="s">
        <v>118</v>
      </c>
      <c r="S2728" s="9">
        <v>4</v>
      </c>
      <c r="T2728" s="9">
        <v>198</v>
      </c>
      <c r="U2728" s="9">
        <v>0</v>
      </c>
      <c r="V2728" s="9">
        <f t="shared" si="1788"/>
        <v>0</v>
      </c>
      <c r="W2728" s="7"/>
      <c r="X2728" s="2">
        <v>2016</v>
      </c>
      <c r="Y2728" s="2">
        <v>11</v>
      </c>
    </row>
    <row r="2729" spans="1:25" s="11" customFormat="1" ht="89.25" customHeight="1" outlineLevel="1" x14ac:dyDescent="0.25">
      <c r="A2729" s="16"/>
      <c r="B2729" s="2" t="s">
        <v>8823</v>
      </c>
      <c r="C2729" s="3" t="s">
        <v>83</v>
      </c>
      <c r="D2729" s="3" t="s">
        <v>4989</v>
      </c>
      <c r="E2729" s="3" t="s">
        <v>4986</v>
      </c>
      <c r="F2729" s="3" t="s">
        <v>4990</v>
      </c>
      <c r="G2729" s="3" t="s">
        <v>5215</v>
      </c>
      <c r="H2729" s="2" t="s">
        <v>694</v>
      </c>
      <c r="I2729" s="4">
        <v>0</v>
      </c>
      <c r="J2729" s="5">
        <v>710000000</v>
      </c>
      <c r="K2729" s="5" t="s">
        <v>89</v>
      </c>
      <c r="L2729" s="2" t="s">
        <v>8710</v>
      </c>
      <c r="M2729" s="6" t="s">
        <v>2682</v>
      </c>
      <c r="N2729" s="7" t="s">
        <v>92</v>
      </c>
      <c r="O2729" s="7" t="s">
        <v>93</v>
      </c>
      <c r="P2729" s="3" t="s">
        <v>673</v>
      </c>
      <c r="Q2729" s="8">
        <v>796</v>
      </c>
      <c r="R2729" s="7" t="s">
        <v>118</v>
      </c>
      <c r="S2729" s="9">
        <v>4</v>
      </c>
      <c r="T2729" s="9">
        <v>198</v>
      </c>
      <c r="U2729" s="9">
        <f t="shared" ref="U2729" si="1803">T2729*S2729</f>
        <v>792</v>
      </c>
      <c r="V2729" s="9">
        <f t="shared" ref="V2729" si="1804">U2729*1.12</f>
        <v>887.04000000000008</v>
      </c>
      <c r="W2729" s="7"/>
      <c r="X2729" s="2">
        <v>2016</v>
      </c>
      <c r="Y2729" s="2"/>
    </row>
    <row r="2730" spans="1:25" s="11" customFormat="1" ht="89.25" customHeight="1" outlineLevel="1" x14ac:dyDescent="0.25">
      <c r="A2730" s="16"/>
      <c r="B2730" s="2" t="s">
        <v>7119</v>
      </c>
      <c r="C2730" s="3" t="s">
        <v>83</v>
      </c>
      <c r="D2730" s="3" t="s">
        <v>5171</v>
      </c>
      <c r="E2730" s="3" t="s">
        <v>5046</v>
      </c>
      <c r="F2730" s="3" t="s">
        <v>5172</v>
      </c>
      <c r="G2730" s="3" t="s">
        <v>5173</v>
      </c>
      <c r="H2730" s="2" t="s">
        <v>694</v>
      </c>
      <c r="I2730" s="4">
        <v>0</v>
      </c>
      <c r="J2730" s="5">
        <v>710000000</v>
      </c>
      <c r="K2730" s="5" t="s">
        <v>89</v>
      </c>
      <c r="L2730" s="2" t="s">
        <v>754</v>
      </c>
      <c r="M2730" s="6" t="s">
        <v>2682</v>
      </c>
      <c r="N2730" s="7" t="s">
        <v>92</v>
      </c>
      <c r="O2730" s="7" t="s">
        <v>93</v>
      </c>
      <c r="P2730" s="3" t="s">
        <v>673</v>
      </c>
      <c r="Q2730" s="8">
        <v>796</v>
      </c>
      <c r="R2730" s="7" t="s">
        <v>118</v>
      </c>
      <c r="S2730" s="9">
        <v>4</v>
      </c>
      <c r="T2730" s="9">
        <v>3140</v>
      </c>
      <c r="U2730" s="9">
        <v>0</v>
      </c>
      <c r="V2730" s="9">
        <f t="shared" si="1788"/>
        <v>0</v>
      </c>
      <c r="W2730" s="7"/>
      <c r="X2730" s="2">
        <v>2016</v>
      </c>
      <c r="Y2730" s="2">
        <v>11</v>
      </c>
    </row>
    <row r="2731" spans="1:25" s="11" customFormat="1" ht="89.25" customHeight="1" outlineLevel="1" x14ac:dyDescent="0.25">
      <c r="A2731" s="16"/>
      <c r="B2731" s="2" t="s">
        <v>8824</v>
      </c>
      <c r="C2731" s="3" t="s">
        <v>83</v>
      </c>
      <c r="D2731" s="3" t="s">
        <v>5171</v>
      </c>
      <c r="E2731" s="3" t="s">
        <v>5046</v>
      </c>
      <c r="F2731" s="3" t="s">
        <v>5172</v>
      </c>
      <c r="G2731" s="3" t="s">
        <v>5173</v>
      </c>
      <c r="H2731" s="2" t="s">
        <v>694</v>
      </c>
      <c r="I2731" s="4">
        <v>0</v>
      </c>
      <c r="J2731" s="5">
        <v>710000000</v>
      </c>
      <c r="K2731" s="5" t="s">
        <v>89</v>
      </c>
      <c r="L2731" s="2" t="s">
        <v>8710</v>
      </c>
      <c r="M2731" s="6" t="s">
        <v>2682</v>
      </c>
      <c r="N2731" s="7" t="s">
        <v>92</v>
      </c>
      <c r="O2731" s="7" t="s">
        <v>93</v>
      </c>
      <c r="P2731" s="3" t="s">
        <v>673</v>
      </c>
      <c r="Q2731" s="8">
        <v>796</v>
      </c>
      <c r="R2731" s="7" t="s">
        <v>118</v>
      </c>
      <c r="S2731" s="9">
        <v>4</v>
      </c>
      <c r="T2731" s="9">
        <v>3140</v>
      </c>
      <c r="U2731" s="9">
        <f t="shared" ref="U2731" si="1805">T2731*S2731</f>
        <v>12560</v>
      </c>
      <c r="V2731" s="9">
        <f t="shared" ref="V2731" si="1806">U2731*1.12</f>
        <v>14067.2</v>
      </c>
      <c r="W2731" s="7"/>
      <c r="X2731" s="2">
        <v>2016</v>
      </c>
      <c r="Y2731" s="2"/>
    </row>
    <row r="2732" spans="1:25" s="11" customFormat="1" ht="89.25" customHeight="1" outlineLevel="1" x14ac:dyDescent="0.25">
      <c r="A2732" s="16"/>
      <c r="B2732" s="2" t="s">
        <v>7120</v>
      </c>
      <c r="C2732" s="3" t="s">
        <v>83</v>
      </c>
      <c r="D2732" s="3" t="s">
        <v>4974</v>
      </c>
      <c r="E2732" s="3" t="s">
        <v>4975</v>
      </c>
      <c r="F2732" s="3" t="s">
        <v>4976</v>
      </c>
      <c r="G2732" s="3" t="s">
        <v>5216</v>
      </c>
      <c r="H2732" s="2" t="s">
        <v>694</v>
      </c>
      <c r="I2732" s="4">
        <v>0</v>
      </c>
      <c r="J2732" s="5">
        <v>710000000</v>
      </c>
      <c r="K2732" s="5" t="s">
        <v>89</v>
      </c>
      <c r="L2732" s="2" t="s">
        <v>754</v>
      </c>
      <c r="M2732" s="6" t="s">
        <v>2682</v>
      </c>
      <c r="N2732" s="7" t="s">
        <v>92</v>
      </c>
      <c r="O2732" s="7" t="s">
        <v>93</v>
      </c>
      <c r="P2732" s="3" t="s">
        <v>673</v>
      </c>
      <c r="Q2732" s="8">
        <v>796</v>
      </c>
      <c r="R2732" s="7" t="s">
        <v>118</v>
      </c>
      <c r="S2732" s="9">
        <v>24</v>
      </c>
      <c r="T2732" s="9">
        <v>23</v>
      </c>
      <c r="U2732" s="9">
        <v>0</v>
      </c>
      <c r="V2732" s="9">
        <f t="shared" si="1788"/>
        <v>0</v>
      </c>
      <c r="W2732" s="7"/>
      <c r="X2732" s="2">
        <v>2016</v>
      </c>
      <c r="Y2732" s="2">
        <v>11</v>
      </c>
    </row>
    <row r="2733" spans="1:25" s="11" customFormat="1" ht="89.25" customHeight="1" outlineLevel="1" x14ac:dyDescent="0.25">
      <c r="A2733" s="16"/>
      <c r="B2733" s="2" t="s">
        <v>8825</v>
      </c>
      <c r="C2733" s="3" t="s">
        <v>83</v>
      </c>
      <c r="D2733" s="3" t="s">
        <v>4974</v>
      </c>
      <c r="E2733" s="3" t="s">
        <v>4975</v>
      </c>
      <c r="F2733" s="3" t="s">
        <v>4976</v>
      </c>
      <c r="G2733" s="3" t="s">
        <v>5216</v>
      </c>
      <c r="H2733" s="2" t="s">
        <v>694</v>
      </c>
      <c r="I2733" s="4">
        <v>0</v>
      </c>
      <c r="J2733" s="5">
        <v>710000000</v>
      </c>
      <c r="K2733" s="5" t="s">
        <v>89</v>
      </c>
      <c r="L2733" s="2" t="s">
        <v>8710</v>
      </c>
      <c r="M2733" s="6" t="s">
        <v>2682</v>
      </c>
      <c r="N2733" s="7" t="s">
        <v>92</v>
      </c>
      <c r="O2733" s="7" t="s">
        <v>93</v>
      </c>
      <c r="P2733" s="3" t="s">
        <v>673</v>
      </c>
      <c r="Q2733" s="8">
        <v>796</v>
      </c>
      <c r="R2733" s="7" t="s">
        <v>118</v>
      </c>
      <c r="S2733" s="9">
        <v>24</v>
      </c>
      <c r="T2733" s="9">
        <v>23</v>
      </c>
      <c r="U2733" s="9">
        <f t="shared" ref="U2733" si="1807">T2733*S2733</f>
        <v>552</v>
      </c>
      <c r="V2733" s="9">
        <f t="shared" ref="V2733" si="1808">U2733*1.12</f>
        <v>618.24</v>
      </c>
      <c r="W2733" s="7"/>
      <c r="X2733" s="2">
        <v>2016</v>
      </c>
      <c r="Y2733" s="2"/>
    </row>
    <row r="2734" spans="1:25" s="11" customFormat="1" ht="89.25" customHeight="1" outlineLevel="1" x14ac:dyDescent="0.25">
      <c r="A2734" s="16"/>
      <c r="B2734" s="2" t="s">
        <v>7121</v>
      </c>
      <c r="C2734" s="3" t="s">
        <v>83</v>
      </c>
      <c r="D2734" s="3" t="s">
        <v>5217</v>
      </c>
      <c r="E2734" s="3" t="s">
        <v>3173</v>
      </c>
      <c r="F2734" s="3" t="s">
        <v>5218</v>
      </c>
      <c r="G2734" s="19"/>
      <c r="H2734" s="2" t="s">
        <v>694</v>
      </c>
      <c r="I2734" s="4">
        <v>0</v>
      </c>
      <c r="J2734" s="5">
        <v>710000000</v>
      </c>
      <c r="K2734" s="5" t="s">
        <v>89</v>
      </c>
      <c r="L2734" s="2" t="s">
        <v>754</v>
      </c>
      <c r="M2734" s="6" t="s">
        <v>2682</v>
      </c>
      <c r="N2734" s="7" t="s">
        <v>92</v>
      </c>
      <c r="O2734" s="7" t="s">
        <v>93</v>
      </c>
      <c r="P2734" s="3" t="s">
        <v>673</v>
      </c>
      <c r="Q2734" s="8">
        <v>796</v>
      </c>
      <c r="R2734" s="7" t="s">
        <v>118</v>
      </c>
      <c r="S2734" s="9">
        <v>4</v>
      </c>
      <c r="T2734" s="9">
        <v>53</v>
      </c>
      <c r="U2734" s="9">
        <v>0</v>
      </c>
      <c r="V2734" s="9">
        <f t="shared" si="1788"/>
        <v>0</v>
      </c>
      <c r="W2734" s="7"/>
      <c r="X2734" s="2">
        <v>2016</v>
      </c>
      <c r="Y2734" s="2">
        <v>11</v>
      </c>
    </row>
    <row r="2735" spans="1:25" s="11" customFormat="1" ht="89.25" customHeight="1" outlineLevel="1" x14ac:dyDescent="0.25">
      <c r="A2735" s="16"/>
      <c r="B2735" s="2" t="s">
        <v>8826</v>
      </c>
      <c r="C2735" s="3" t="s">
        <v>83</v>
      </c>
      <c r="D2735" s="3" t="s">
        <v>5217</v>
      </c>
      <c r="E2735" s="3" t="s">
        <v>3173</v>
      </c>
      <c r="F2735" s="3" t="s">
        <v>5218</v>
      </c>
      <c r="G2735" s="19"/>
      <c r="H2735" s="2" t="s">
        <v>694</v>
      </c>
      <c r="I2735" s="4">
        <v>0</v>
      </c>
      <c r="J2735" s="5">
        <v>710000000</v>
      </c>
      <c r="K2735" s="5" t="s">
        <v>89</v>
      </c>
      <c r="L2735" s="2" t="s">
        <v>8710</v>
      </c>
      <c r="M2735" s="6" t="s">
        <v>2682</v>
      </c>
      <c r="N2735" s="7" t="s">
        <v>92</v>
      </c>
      <c r="O2735" s="7" t="s">
        <v>93</v>
      </c>
      <c r="P2735" s="3" t="s">
        <v>673</v>
      </c>
      <c r="Q2735" s="8">
        <v>796</v>
      </c>
      <c r="R2735" s="7" t="s">
        <v>118</v>
      </c>
      <c r="S2735" s="9">
        <v>4</v>
      </c>
      <c r="T2735" s="9">
        <v>53</v>
      </c>
      <c r="U2735" s="9">
        <f t="shared" ref="U2735" si="1809">T2735*S2735</f>
        <v>212</v>
      </c>
      <c r="V2735" s="9">
        <f t="shared" ref="V2735" si="1810">U2735*1.12</f>
        <v>237.44000000000003</v>
      </c>
      <c r="W2735" s="7"/>
      <c r="X2735" s="2">
        <v>2016</v>
      </c>
      <c r="Y2735" s="2"/>
    </row>
    <row r="2736" spans="1:25" s="11" customFormat="1" ht="89.25" customHeight="1" outlineLevel="1" x14ac:dyDescent="0.25">
      <c r="A2736" s="16"/>
      <c r="B2736" s="2" t="s">
        <v>7122</v>
      </c>
      <c r="C2736" s="3" t="s">
        <v>83</v>
      </c>
      <c r="D2736" s="3" t="s">
        <v>5219</v>
      </c>
      <c r="E2736" s="3" t="s">
        <v>5165</v>
      </c>
      <c r="F2736" s="3" t="s">
        <v>4926</v>
      </c>
      <c r="G2736" s="3" t="s">
        <v>5220</v>
      </c>
      <c r="H2736" s="2" t="s">
        <v>694</v>
      </c>
      <c r="I2736" s="4">
        <v>0</v>
      </c>
      <c r="J2736" s="5">
        <v>710000000</v>
      </c>
      <c r="K2736" s="5" t="s">
        <v>89</v>
      </c>
      <c r="L2736" s="2" t="s">
        <v>754</v>
      </c>
      <c r="M2736" s="6" t="s">
        <v>2682</v>
      </c>
      <c r="N2736" s="7" t="s">
        <v>92</v>
      </c>
      <c r="O2736" s="7" t="s">
        <v>93</v>
      </c>
      <c r="P2736" s="3" t="s">
        <v>673</v>
      </c>
      <c r="Q2736" s="8">
        <v>796</v>
      </c>
      <c r="R2736" s="7" t="s">
        <v>118</v>
      </c>
      <c r="S2736" s="9">
        <v>2</v>
      </c>
      <c r="T2736" s="9">
        <v>265</v>
      </c>
      <c r="U2736" s="9">
        <v>0</v>
      </c>
      <c r="V2736" s="9">
        <f t="shared" si="1788"/>
        <v>0</v>
      </c>
      <c r="W2736" s="7"/>
      <c r="X2736" s="2">
        <v>2016</v>
      </c>
      <c r="Y2736" s="2">
        <v>11</v>
      </c>
    </row>
    <row r="2737" spans="1:25" s="11" customFormat="1" ht="89.25" customHeight="1" outlineLevel="1" x14ac:dyDescent="0.25">
      <c r="A2737" s="16"/>
      <c r="B2737" s="2" t="s">
        <v>8827</v>
      </c>
      <c r="C2737" s="3" t="s">
        <v>83</v>
      </c>
      <c r="D2737" s="3" t="s">
        <v>5219</v>
      </c>
      <c r="E2737" s="3" t="s">
        <v>5165</v>
      </c>
      <c r="F2737" s="3" t="s">
        <v>4926</v>
      </c>
      <c r="G2737" s="3" t="s">
        <v>5220</v>
      </c>
      <c r="H2737" s="2" t="s">
        <v>694</v>
      </c>
      <c r="I2737" s="4">
        <v>0</v>
      </c>
      <c r="J2737" s="5">
        <v>710000000</v>
      </c>
      <c r="K2737" s="5" t="s">
        <v>89</v>
      </c>
      <c r="L2737" s="2" t="s">
        <v>8710</v>
      </c>
      <c r="M2737" s="6" t="s">
        <v>2682</v>
      </c>
      <c r="N2737" s="7" t="s">
        <v>92</v>
      </c>
      <c r="O2737" s="7" t="s">
        <v>93</v>
      </c>
      <c r="P2737" s="3" t="s">
        <v>673</v>
      </c>
      <c r="Q2737" s="8">
        <v>796</v>
      </c>
      <c r="R2737" s="7" t="s">
        <v>118</v>
      </c>
      <c r="S2737" s="9">
        <v>2</v>
      </c>
      <c r="T2737" s="9">
        <v>265</v>
      </c>
      <c r="U2737" s="9">
        <f t="shared" ref="U2737" si="1811">T2737*S2737</f>
        <v>530</v>
      </c>
      <c r="V2737" s="9">
        <f t="shared" ref="V2737" si="1812">U2737*1.12</f>
        <v>593.6</v>
      </c>
      <c r="W2737" s="7"/>
      <c r="X2737" s="2">
        <v>2016</v>
      </c>
      <c r="Y2737" s="2"/>
    </row>
    <row r="2738" spans="1:25" s="11" customFormat="1" ht="89.25" customHeight="1" outlineLevel="1" x14ac:dyDescent="0.25">
      <c r="A2738" s="16"/>
      <c r="B2738" s="2" t="s">
        <v>7123</v>
      </c>
      <c r="C2738" s="3" t="s">
        <v>83</v>
      </c>
      <c r="D2738" s="3" t="s">
        <v>5219</v>
      </c>
      <c r="E2738" s="3" t="s">
        <v>5165</v>
      </c>
      <c r="F2738" s="3" t="s">
        <v>4926</v>
      </c>
      <c r="G2738" s="3" t="s">
        <v>5221</v>
      </c>
      <c r="H2738" s="2" t="s">
        <v>694</v>
      </c>
      <c r="I2738" s="4">
        <v>0</v>
      </c>
      <c r="J2738" s="5">
        <v>710000000</v>
      </c>
      <c r="K2738" s="5" t="s">
        <v>89</v>
      </c>
      <c r="L2738" s="2" t="s">
        <v>754</v>
      </c>
      <c r="M2738" s="6" t="s">
        <v>2682</v>
      </c>
      <c r="N2738" s="7" t="s">
        <v>92</v>
      </c>
      <c r="O2738" s="7" t="s">
        <v>93</v>
      </c>
      <c r="P2738" s="3" t="s">
        <v>673</v>
      </c>
      <c r="Q2738" s="8">
        <v>796</v>
      </c>
      <c r="R2738" s="7" t="s">
        <v>118</v>
      </c>
      <c r="S2738" s="9">
        <v>2</v>
      </c>
      <c r="T2738" s="9">
        <v>265</v>
      </c>
      <c r="U2738" s="9">
        <v>0</v>
      </c>
      <c r="V2738" s="9">
        <f t="shared" si="1788"/>
        <v>0</v>
      </c>
      <c r="W2738" s="7"/>
      <c r="X2738" s="2">
        <v>2016</v>
      </c>
      <c r="Y2738" s="2">
        <v>11</v>
      </c>
    </row>
    <row r="2739" spans="1:25" s="11" customFormat="1" ht="89.25" customHeight="1" outlineLevel="1" x14ac:dyDescent="0.25">
      <c r="A2739" s="16"/>
      <c r="B2739" s="2" t="s">
        <v>8828</v>
      </c>
      <c r="C2739" s="3" t="s">
        <v>83</v>
      </c>
      <c r="D2739" s="3" t="s">
        <v>5219</v>
      </c>
      <c r="E2739" s="3" t="s">
        <v>5165</v>
      </c>
      <c r="F2739" s="3" t="s">
        <v>4926</v>
      </c>
      <c r="G2739" s="3" t="s">
        <v>5221</v>
      </c>
      <c r="H2739" s="2" t="s">
        <v>694</v>
      </c>
      <c r="I2739" s="4">
        <v>0</v>
      </c>
      <c r="J2739" s="5">
        <v>710000000</v>
      </c>
      <c r="K2739" s="5" t="s">
        <v>89</v>
      </c>
      <c r="L2739" s="2" t="s">
        <v>8710</v>
      </c>
      <c r="M2739" s="6" t="s">
        <v>2682</v>
      </c>
      <c r="N2739" s="7" t="s">
        <v>92</v>
      </c>
      <c r="O2739" s="7" t="s">
        <v>93</v>
      </c>
      <c r="P2739" s="3" t="s">
        <v>673</v>
      </c>
      <c r="Q2739" s="8">
        <v>796</v>
      </c>
      <c r="R2739" s="7" t="s">
        <v>118</v>
      </c>
      <c r="S2739" s="9">
        <v>2</v>
      </c>
      <c r="T2739" s="9">
        <v>265</v>
      </c>
      <c r="U2739" s="9">
        <f t="shared" ref="U2739" si="1813">T2739*S2739</f>
        <v>530</v>
      </c>
      <c r="V2739" s="9">
        <f t="shared" ref="V2739" si="1814">U2739*1.12</f>
        <v>593.6</v>
      </c>
      <c r="W2739" s="7"/>
      <c r="X2739" s="2">
        <v>2016</v>
      </c>
      <c r="Y2739" s="2"/>
    </row>
    <row r="2740" spans="1:25" s="11" customFormat="1" ht="89.25" customHeight="1" outlineLevel="1" x14ac:dyDescent="0.25">
      <c r="A2740" s="16"/>
      <c r="B2740" s="2" t="s">
        <v>7124</v>
      </c>
      <c r="C2740" s="3" t="s">
        <v>83</v>
      </c>
      <c r="D2740" s="3" t="s">
        <v>4991</v>
      </c>
      <c r="E2740" s="3" t="s">
        <v>4992</v>
      </c>
      <c r="F2740" s="3" t="s">
        <v>4993</v>
      </c>
      <c r="G2740" s="19" t="s">
        <v>5222</v>
      </c>
      <c r="H2740" s="2" t="s">
        <v>694</v>
      </c>
      <c r="I2740" s="4">
        <v>0</v>
      </c>
      <c r="J2740" s="5">
        <v>710000000</v>
      </c>
      <c r="K2740" s="5" t="s">
        <v>89</v>
      </c>
      <c r="L2740" s="2" t="s">
        <v>754</v>
      </c>
      <c r="M2740" s="6" t="s">
        <v>2682</v>
      </c>
      <c r="N2740" s="7" t="s">
        <v>92</v>
      </c>
      <c r="O2740" s="7" t="s">
        <v>93</v>
      </c>
      <c r="P2740" s="3" t="s">
        <v>673</v>
      </c>
      <c r="Q2740" s="8">
        <v>796</v>
      </c>
      <c r="R2740" s="7" t="s">
        <v>118</v>
      </c>
      <c r="S2740" s="9">
        <v>4</v>
      </c>
      <c r="T2740" s="9">
        <v>105</v>
      </c>
      <c r="U2740" s="9">
        <v>0</v>
      </c>
      <c r="V2740" s="9">
        <f t="shared" si="1788"/>
        <v>0</v>
      </c>
      <c r="W2740" s="7"/>
      <c r="X2740" s="2">
        <v>2016</v>
      </c>
      <c r="Y2740" s="2">
        <v>11</v>
      </c>
    </row>
    <row r="2741" spans="1:25" s="11" customFormat="1" ht="89.25" customHeight="1" outlineLevel="1" x14ac:dyDescent="0.25">
      <c r="A2741" s="16"/>
      <c r="B2741" s="2" t="s">
        <v>8829</v>
      </c>
      <c r="C2741" s="3" t="s">
        <v>83</v>
      </c>
      <c r="D2741" s="3" t="s">
        <v>4991</v>
      </c>
      <c r="E2741" s="3" t="s">
        <v>4992</v>
      </c>
      <c r="F2741" s="3" t="s">
        <v>4993</v>
      </c>
      <c r="G2741" s="19" t="s">
        <v>5222</v>
      </c>
      <c r="H2741" s="2" t="s">
        <v>694</v>
      </c>
      <c r="I2741" s="4">
        <v>0</v>
      </c>
      <c r="J2741" s="5">
        <v>710000000</v>
      </c>
      <c r="K2741" s="5" t="s">
        <v>89</v>
      </c>
      <c r="L2741" s="2" t="s">
        <v>8710</v>
      </c>
      <c r="M2741" s="6" t="s">
        <v>2682</v>
      </c>
      <c r="N2741" s="7" t="s">
        <v>92</v>
      </c>
      <c r="O2741" s="7" t="s">
        <v>93</v>
      </c>
      <c r="P2741" s="3" t="s">
        <v>673</v>
      </c>
      <c r="Q2741" s="8">
        <v>796</v>
      </c>
      <c r="R2741" s="7" t="s">
        <v>118</v>
      </c>
      <c r="S2741" s="9">
        <v>4</v>
      </c>
      <c r="T2741" s="9">
        <v>105</v>
      </c>
      <c r="U2741" s="9">
        <f t="shared" ref="U2741" si="1815">T2741*S2741</f>
        <v>420</v>
      </c>
      <c r="V2741" s="9">
        <f t="shared" ref="V2741" si="1816">U2741*1.12</f>
        <v>470.40000000000003</v>
      </c>
      <c r="W2741" s="7"/>
      <c r="X2741" s="2">
        <v>2016</v>
      </c>
      <c r="Y2741" s="2"/>
    </row>
    <row r="2742" spans="1:25" s="11" customFormat="1" ht="89.25" customHeight="1" outlineLevel="1" x14ac:dyDescent="0.25">
      <c r="A2742" s="16"/>
      <c r="B2742" s="2" t="s">
        <v>7125</v>
      </c>
      <c r="C2742" s="3" t="s">
        <v>83</v>
      </c>
      <c r="D2742" s="3" t="s">
        <v>5001</v>
      </c>
      <c r="E2742" s="3" t="s">
        <v>5002</v>
      </c>
      <c r="F2742" s="3" t="s">
        <v>5003</v>
      </c>
      <c r="G2742" s="3" t="s">
        <v>5223</v>
      </c>
      <c r="H2742" s="2" t="s">
        <v>694</v>
      </c>
      <c r="I2742" s="4">
        <v>0</v>
      </c>
      <c r="J2742" s="5">
        <v>710000000</v>
      </c>
      <c r="K2742" s="5" t="s">
        <v>89</v>
      </c>
      <c r="L2742" s="2" t="s">
        <v>754</v>
      </c>
      <c r="M2742" s="6" t="s">
        <v>2682</v>
      </c>
      <c r="N2742" s="7" t="s">
        <v>92</v>
      </c>
      <c r="O2742" s="7" t="s">
        <v>93</v>
      </c>
      <c r="P2742" s="3" t="s">
        <v>673</v>
      </c>
      <c r="Q2742" s="8">
        <v>796</v>
      </c>
      <c r="R2742" s="7" t="s">
        <v>118</v>
      </c>
      <c r="S2742" s="9">
        <v>4</v>
      </c>
      <c r="T2742" s="9">
        <v>28</v>
      </c>
      <c r="U2742" s="9">
        <v>0</v>
      </c>
      <c r="V2742" s="9">
        <f t="shared" si="1788"/>
        <v>0</v>
      </c>
      <c r="W2742" s="7"/>
      <c r="X2742" s="2">
        <v>2016</v>
      </c>
      <c r="Y2742" s="2">
        <v>11</v>
      </c>
    </row>
    <row r="2743" spans="1:25" s="11" customFormat="1" ht="89.25" customHeight="1" outlineLevel="1" x14ac:dyDescent="0.25">
      <c r="A2743" s="16"/>
      <c r="B2743" s="2" t="s">
        <v>8830</v>
      </c>
      <c r="C2743" s="3" t="s">
        <v>83</v>
      </c>
      <c r="D2743" s="3" t="s">
        <v>5001</v>
      </c>
      <c r="E2743" s="3" t="s">
        <v>5002</v>
      </c>
      <c r="F2743" s="3" t="s">
        <v>5003</v>
      </c>
      <c r="G2743" s="3" t="s">
        <v>5223</v>
      </c>
      <c r="H2743" s="2" t="s">
        <v>694</v>
      </c>
      <c r="I2743" s="4">
        <v>0</v>
      </c>
      <c r="J2743" s="5">
        <v>710000000</v>
      </c>
      <c r="K2743" s="5" t="s">
        <v>89</v>
      </c>
      <c r="L2743" s="2" t="s">
        <v>8710</v>
      </c>
      <c r="M2743" s="6" t="s">
        <v>2682</v>
      </c>
      <c r="N2743" s="7" t="s">
        <v>92</v>
      </c>
      <c r="O2743" s="7" t="s">
        <v>93</v>
      </c>
      <c r="P2743" s="3" t="s">
        <v>673</v>
      </c>
      <c r="Q2743" s="8">
        <v>796</v>
      </c>
      <c r="R2743" s="7" t="s">
        <v>118</v>
      </c>
      <c r="S2743" s="9">
        <v>4</v>
      </c>
      <c r="T2743" s="9">
        <v>28</v>
      </c>
      <c r="U2743" s="9">
        <f t="shared" ref="U2743" si="1817">T2743*S2743</f>
        <v>112</v>
      </c>
      <c r="V2743" s="9">
        <f t="shared" ref="V2743" si="1818">U2743*1.12</f>
        <v>125.44000000000001</v>
      </c>
      <c r="W2743" s="7"/>
      <c r="X2743" s="2">
        <v>2016</v>
      </c>
      <c r="Y2743" s="2"/>
    </row>
    <row r="2744" spans="1:25" s="11" customFormat="1" ht="89.25" customHeight="1" outlineLevel="1" x14ac:dyDescent="0.25">
      <c r="A2744" s="16"/>
      <c r="B2744" s="2" t="s">
        <v>7126</v>
      </c>
      <c r="C2744" s="3" t="s">
        <v>83</v>
      </c>
      <c r="D2744" s="3" t="s">
        <v>5224</v>
      </c>
      <c r="E2744" s="3" t="s">
        <v>5050</v>
      </c>
      <c r="F2744" s="3" t="s">
        <v>5225</v>
      </c>
      <c r="G2744" s="3" t="s">
        <v>5226</v>
      </c>
      <c r="H2744" s="2" t="s">
        <v>694</v>
      </c>
      <c r="I2744" s="4">
        <v>0</v>
      </c>
      <c r="J2744" s="5">
        <v>710000000</v>
      </c>
      <c r="K2744" s="5" t="s">
        <v>89</v>
      </c>
      <c r="L2744" s="2" t="s">
        <v>754</v>
      </c>
      <c r="M2744" s="6" t="s">
        <v>2682</v>
      </c>
      <c r="N2744" s="7" t="s">
        <v>92</v>
      </c>
      <c r="O2744" s="7" t="s">
        <v>93</v>
      </c>
      <c r="P2744" s="3" t="s">
        <v>673</v>
      </c>
      <c r="Q2744" s="8">
        <v>796</v>
      </c>
      <c r="R2744" s="7" t="s">
        <v>118</v>
      </c>
      <c r="S2744" s="9">
        <v>4</v>
      </c>
      <c r="T2744" s="9">
        <v>1520</v>
      </c>
      <c r="U2744" s="9">
        <v>0</v>
      </c>
      <c r="V2744" s="9">
        <f t="shared" si="1788"/>
        <v>0</v>
      </c>
      <c r="W2744" s="7"/>
      <c r="X2744" s="2">
        <v>2016</v>
      </c>
      <c r="Y2744" s="2">
        <v>11</v>
      </c>
    </row>
    <row r="2745" spans="1:25" s="11" customFormat="1" ht="89.25" customHeight="1" outlineLevel="1" x14ac:dyDescent="0.25">
      <c r="A2745" s="16"/>
      <c r="B2745" s="2" t="s">
        <v>8831</v>
      </c>
      <c r="C2745" s="3" t="s">
        <v>83</v>
      </c>
      <c r="D2745" s="3" t="s">
        <v>5224</v>
      </c>
      <c r="E2745" s="3" t="s">
        <v>5050</v>
      </c>
      <c r="F2745" s="3" t="s">
        <v>5225</v>
      </c>
      <c r="G2745" s="3" t="s">
        <v>5226</v>
      </c>
      <c r="H2745" s="2" t="s">
        <v>694</v>
      </c>
      <c r="I2745" s="4">
        <v>0</v>
      </c>
      <c r="J2745" s="5">
        <v>710000000</v>
      </c>
      <c r="K2745" s="5" t="s">
        <v>89</v>
      </c>
      <c r="L2745" s="2" t="s">
        <v>8710</v>
      </c>
      <c r="M2745" s="6" t="s">
        <v>2682</v>
      </c>
      <c r="N2745" s="7" t="s">
        <v>92</v>
      </c>
      <c r="O2745" s="7" t="s">
        <v>93</v>
      </c>
      <c r="P2745" s="3" t="s">
        <v>673</v>
      </c>
      <c r="Q2745" s="8">
        <v>796</v>
      </c>
      <c r="R2745" s="7" t="s">
        <v>118</v>
      </c>
      <c r="S2745" s="9">
        <v>4</v>
      </c>
      <c r="T2745" s="9">
        <v>1520</v>
      </c>
      <c r="U2745" s="9">
        <f t="shared" ref="U2745" si="1819">T2745*S2745</f>
        <v>6080</v>
      </c>
      <c r="V2745" s="9">
        <f t="shared" ref="V2745" si="1820">U2745*1.12</f>
        <v>6809.6</v>
      </c>
      <c r="W2745" s="7"/>
      <c r="X2745" s="2">
        <v>2016</v>
      </c>
      <c r="Y2745" s="2"/>
    </row>
    <row r="2746" spans="1:25" s="11" customFormat="1" ht="89.25" customHeight="1" outlineLevel="1" x14ac:dyDescent="0.25">
      <c r="A2746" s="16"/>
      <c r="B2746" s="2" t="s">
        <v>7127</v>
      </c>
      <c r="C2746" s="3" t="s">
        <v>83</v>
      </c>
      <c r="D2746" s="3" t="s">
        <v>5130</v>
      </c>
      <c r="E2746" s="3" t="s">
        <v>4978</v>
      </c>
      <c r="F2746" s="3" t="s">
        <v>5131</v>
      </c>
      <c r="G2746" s="3" t="s">
        <v>5132</v>
      </c>
      <c r="H2746" s="2" t="s">
        <v>694</v>
      </c>
      <c r="I2746" s="4">
        <v>0</v>
      </c>
      <c r="J2746" s="5">
        <v>710000000</v>
      </c>
      <c r="K2746" s="5" t="s">
        <v>89</v>
      </c>
      <c r="L2746" s="2" t="s">
        <v>754</v>
      </c>
      <c r="M2746" s="6" t="s">
        <v>2682</v>
      </c>
      <c r="N2746" s="7" t="s">
        <v>92</v>
      </c>
      <c r="O2746" s="7" t="s">
        <v>93</v>
      </c>
      <c r="P2746" s="3" t="s">
        <v>673</v>
      </c>
      <c r="Q2746" s="8">
        <v>796</v>
      </c>
      <c r="R2746" s="7" t="s">
        <v>118</v>
      </c>
      <c r="S2746" s="9">
        <v>4</v>
      </c>
      <c r="T2746" s="9">
        <v>90</v>
      </c>
      <c r="U2746" s="9">
        <v>0</v>
      </c>
      <c r="V2746" s="9">
        <f t="shared" si="1788"/>
        <v>0</v>
      </c>
      <c r="W2746" s="7"/>
      <c r="X2746" s="2">
        <v>2016</v>
      </c>
      <c r="Y2746" s="2">
        <v>11</v>
      </c>
    </row>
    <row r="2747" spans="1:25" s="11" customFormat="1" ht="89.25" customHeight="1" outlineLevel="1" x14ac:dyDescent="0.25">
      <c r="A2747" s="16"/>
      <c r="B2747" s="2" t="s">
        <v>8832</v>
      </c>
      <c r="C2747" s="3" t="s">
        <v>83</v>
      </c>
      <c r="D2747" s="3" t="s">
        <v>5130</v>
      </c>
      <c r="E2747" s="3" t="s">
        <v>4978</v>
      </c>
      <c r="F2747" s="3" t="s">
        <v>5131</v>
      </c>
      <c r="G2747" s="3" t="s">
        <v>5132</v>
      </c>
      <c r="H2747" s="2" t="s">
        <v>694</v>
      </c>
      <c r="I2747" s="4">
        <v>0</v>
      </c>
      <c r="J2747" s="5">
        <v>710000000</v>
      </c>
      <c r="K2747" s="5" t="s">
        <v>89</v>
      </c>
      <c r="L2747" s="2" t="s">
        <v>8710</v>
      </c>
      <c r="M2747" s="6" t="s">
        <v>2682</v>
      </c>
      <c r="N2747" s="7" t="s">
        <v>92</v>
      </c>
      <c r="O2747" s="7" t="s">
        <v>93</v>
      </c>
      <c r="P2747" s="3" t="s">
        <v>673</v>
      </c>
      <c r="Q2747" s="8">
        <v>796</v>
      </c>
      <c r="R2747" s="7" t="s">
        <v>118</v>
      </c>
      <c r="S2747" s="9">
        <v>4</v>
      </c>
      <c r="T2747" s="9">
        <v>90</v>
      </c>
      <c r="U2747" s="9">
        <f t="shared" ref="U2747" si="1821">T2747*S2747</f>
        <v>360</v>
      </c>
      <c r="V2747" s="9">
        <f t="shared" ref="V2747" si="1822">U2747*1.12</f>
        <v>403.20000000000005</v>
      </c>
      <c r="W2747" s="7"/>
      <c r="X2747" s="2">
        <v>2016</v>
      </c>
      <c r="Y2747" s="2"/>
    </row>
    <row r="2748" spans="1:25" s="11" customFormat="1" ht="89.25" customHeight="1" outlineLevel="1" x14ac:dyDescent="0.25">
      <c r="A2748" s="16"/>
      <c r="B2748" s="2" t="s">
        <v>7128</v>
      </c>
      <c r="C2748" s="3" t="s">
        <v>83</v>
      </c>
      <c r="D2748" s="3" t="s">
        <v>5053</v>
      </c>
      <c r="E2748" s="3" t="s">
        <v>5054</v>
      </c>
      <c r="F2748" s="3" t="s">
        <v>5055</v>
      </c>
      <c r="G2748" s="3" t="s">
        <v>5227</v>
      </c>
      <c r="H2748" s="2" t="s">
        <v>694</v>
      </c>
      <c r="I2748" s="4">
        <v>0</v>
      </c>
      <c r="J2748" s="5">
        <v>710000000</v>
      </c>
      <c r="K2748" s="5" t="s">
        <v>89</v>
      </c>
      <c r="L2748" s="2" t="s">
        <v>754</v>
      </c>
      <c r="M2748" s="6" t="s">
        <v>2682</v>
      </c>
      <c r="N2748" s="7" t="s">
        <v>92</v>
      </c>
      <c r="O2748" s="7" t="s">
        <v>93</v>
      </c>
      <c r="P2748" s="3" t="s">
        <v>673</v>
      </c>
      <c r="Q2748" s="8">
        <v>796</v>
      </c>
      <c r="R2748" s="7" t="s">
        <v>118</v>
      </c>
      <c r="S2748" s="9">
        <v>4</v>
      </c>
      <c r="T2748" s="9">
        <v>1727</v>
      </c>
      <c r="U2748" s="9">
        <v>0</v>
      </c>
      <c r="V2748" s="9">
        <f t="shared" si="1788"/>
        <v>0</v>
      </c>
      <c r="W2748" s="7"/>
      <c r="X2748" s="2">
        <v>2016</v>
      </c>
      <c r="Y2748" s="2">
        <v>11</v>
      </c>
    </row>
    <row r="2749" spans="1:25" s="11" customFormat="1" ht="89.25" customHeight="1" outlineLevel="1" x14ac:dyDescent="0.25">
      <c r="A2749" s="16"/>
      <c r="B2749" s="2" t="s">
        <v>8833</v>
      </c>
      <c r="C2749" s="3" t="s">
        <v>83</v>
      </c>
      <c r="D2749" s="3" t="s">
        <v>5053</v>
      </c>
      <c r="E2749" s="3" t="s">
        <v>5054</v>
      </c>
      <c r="F2749" s="3" t="s">
        <v>5055</v>
      </c>
      <c r="G2749" s="3" t="s">
        <v>5227</v>
      </c>
      <c r="H2749" s="2" t="s">
        <v>694</v>
      </c>
      <c r="I2749" s="4">
        <v>0</v>
      </c>
      <c r="J2749" s="5">
        <v>710000000</v>
      </c>
      <c r="K2749" s="5" t="s">
        <v>89</v>
      </c>
      <c r="L2749" s="2" t="s">
        <v>8710</v>
      </c>
      <c r="M2749" s="6" t="s">
        <v>2682</v>
      </c>
      <c r="N2749" s="7" t="s">
        <v>92</v>
      </c>
      <c r="O2749" s="7" t="s">
        <v>93</v>
      </c>
      <c r="P2749" s="3" t="s">
        <v>673</v>
      </c>
      <c r="Q2749" s="8">
        <v>796</v>
      </c>
      <c r="R2749" s="7" t="s">
        <v>118</v>
      </c>
      <c r="S2749" s="9">
        <v>4</v>
      </c>
      <c r="T2749" s="9">
        <v>1727</v>
      </c>
      <c r="U2749" s="9">
        <f t="shared" ref="U2749" si="1823">T2749*S2749</f>
        <v>6908</v>
      </c>
      <c r="V2749" s="9">
        <f t="shared" ref="V2749" si="1824">U2749*1.12</f>
        <v>7736.9600000000009</v>
      </c>
      <c r="W2749" s="7"/>
      <c r="X2749" s="2">
        <v>2016</v>
      </c>
      <c r="Y2749" s="2"/>
    </row>
    <row r="2750" spans="1:25" s="11" customFormat="1" ht="89.25" customHeight="1" outlineLevel="1" x14ac:dyDescent="0.25">
      <c r="A2750" s="16"/>
      <c r="B2750" s="2" t="s">
        <v>7129</v>
      </c>
      <c r="C2750" s="3" t="s">
        <v>83</v>
      </c>
      <c r="D2750" s="3" t="s">
        <v>5228</v>
      </c>
      <c r="E2750" s="3" t="s">
        <v>4950</v>
      </c>
      <c r="F2750" s="3" t="s">
        <v>5229</v>
      </c>
      <c r="G2750" s="3" t="s">
        <v>5230</v>
      </c>
      <c r="H2750" s="2" t="s">
        <v>694</v>
      </c>
      <c r="I2750" s="4">
        <v>0</v>
      </c>
      <c r="J2750" s="5">
        <v>710000000</v>
      </c>
      <c r="K2750" s="5" t="s">
        <v>89</v>
      </c>
      <c r="L2750" s="2" t="s">
        <v>754</v>
      </c>
      <c r="M2750" s="6" t="s">
        <v>2682</v>
      </c>
      <c r="N2750" s="7" t="s">
        <v>92</v>
      </c>
      <c r="O2750" s="7" t="s">
        <v>93</v>
      </c>
      <c r="P2750" s="3" t="s">
        <v>673</v>
      </c>
      <c r="Q2750" s="8">
        <v>796</v>
      </c>
      <c r="R2750" s="7" t="s">
        <v>118</v>
      </c>
      <c r="S2750" s="9">
        <v>2</v>
      </c>
      <c r="T2750" s="9">
        <v>645</v>
      </c>
      <c r="U2750" s="9">
        <v>0</v>
      </c>
      <c r="V2750" s="9">
        <f t="shared" si="1788"/>
        <v>0</v>
      </c>
      <c r="W2750" s="7"/>
      <c r="X2750" s="2">
        <v>2016</v>
      </c>
      <c r="Y2750" s="2">
        <v>11</v>
      </c>
    </row>
    <row r="2751" spans="1:25" s="11" customFormat="1" ht="89.25" customHeight="1" outlineLevel="1" x14ac:dyDescent="0.25">
      <c r="A2751" s="16"/>
      <c r="B2751" s="2" t="s">
        <v>8834</v>
      </c>
      <c r="C2751" s="3" t="s">
        <v>83</v>
      </c>
      <c r="D2751" s="3" t="s">
        <v>5228</v>
      </c>
      <c r="E2751" s="3" t="s">
        <v>4950</v>
      </c>
      <c r="F2751" s="3" t="s">
        <v>5229</v>
      </c>
      <c r="G2751" s="3" t="s">
        <v>5230</v>
      </c>
      <c r="H2751" s="2" t="s">
        <v>694</v>
      </c>
      <c r="I2751" s="4">
        <v>0</v>
      </c>
      <c r="J2751" s="5">
        <v>710000000</v>
      </c>
      <c r="K2751" s="5" t="s">
        <v>89</v>
      </c>
      <c r="L2751" s="2" t="s">
        <v>8710</v>
      </c>
      <c r="M2751" s="6" t="s">
        <v>2682</v>
      </c>
      <c r="N2751" s="7" t="s">
        <v>92</v>
      </c>
      <c r="O2751" s="7" t="s">
        <v>93</v>
      </c>
      <c r="P2751" s="3" t="s">
        <v>673</v>
      </c>
      <c r="Q2751" s="8">
        <v>796</v>
      </c>
      <c r="R2751" s="7" t="s">
        <v>118</v>
      </c>
      <c r="S2751" s="9">
        <v>2</v>
      </c>
      <c r="T2751" s="9">
        <v>645</v>
      </c>
      <c r="U2751" s="9">
        <f t="shared" ref="U2751" si="1825">T2751*S2751</f>
        <v>1290</v>
      </c>
      <c r="V2751" s="9">
        <f t="shared" ref="V2751" si="1826">U2751*1.12</f>
        <v>1444.8000000000002</v>
      </c>
      <c r="W2751" s="7"/>
      <c r="X2751" s="2">
        <v>2016</v>
      </c>
      <c r="Y2751" s="2"/>
    </row>
    <row r="2752" spans="1:25" s="11" customFormat="1" ht="89.25" customHeight="1" outlineLevel="1" x14ac:dyDescent="0.25">
      <c r="A2752" s="16"/>
      <c r="B2752" s="2" t="s">
        <v>7130</v>
      </c>
      <c r="C2752" s="3" t="s">
        <v>83</v>
      </c>
      <c r="D2752" s="3" t="s">
        <v>4952</v>
      </c>
      <c r="E2752" s="3" t="s">
        <v>4950</v>
      </c>
      <c r="F2752" s="3" t="s">
        <v>4953</v>
      </c>
      <c r="G2752" s="3" t="s">
        <v>5143</v>
      </c>
      <c r="H2752" s="2" t="s">
        <v>694</v>
      </c>
      <c r="I2752" s="4">
        <v>0</v>
      </c>
      <c r="J2752" s="5">
        <v>710000000</v>
      </c>
      <c r="K2752" s="5" t="s">
        <v>89</v>
      </c>
      <c r="L2752" s="2" t="s">
        <v>754</v>
      </c>
      <c r="M2752" s="6" t="s">
        <v>2682</v>
      </c>
      <c r="N2752" s="7" t="s">
        <v>92</v>
      </c>
      <c r="O2752" s="7" t="s">
        <v>93</v>
      </c>
      <c r="P2752" s="3" t="s">
        <v>673</v>
      </c>
      <c r="Q2752" s="8">
        <v>796</v>
      </c>
      <c r="R2752" s="7" t="s">
        <v>118</v>
      </c>
      <c r="S2752" s="9">
        <v>10</v>
      </c>
      <c r="T2752" s="9">
        <v>590</v>
      </c>
      <c r="U2752" s="9">
        <v>0</v>
      </c>
      <c r="V2752" s="9">
        <f t="shared" si="1788"/>
        <v>0</v>
      </c>
      <c r="W2752" s="7"/>
      <c r="X2752" s="2">
        <v>2016</v>
      </c>
      <c r="Y2752" s="2">
        <v>11</v>
      </c>
    </row>
    <row r="2753" spans="1:25" s="11" customFormat="1" ht="89.25" customHeight="1" outlineLevel="1" x14ac:dyDescent="0.25">
      <c r="A2753" s="16"/>
      <c r="B2753" s="2" t="s">
        <v>8835</v>
      </c>
      <c r="C2753" s="3" t="s">
        <v>83</v>
      </c>
      <c r="D2753" s="3" t="s">
        <v>4952</v>
      </c>
      <c r="E2753" s="3" t="s">
        <v>4950</v>
      </c>
      <c r="F2753" s="3" t="s">
        <v>4953</v>
      </c>
      <c r="G2753" s="3" t="s">
        <v>5143</v>
      </c>
      <c r="H2753" s="2" t="s">
        <v>694</v>
      </c>
      <c r="I2753" s="4">
        <v>0</v>
      </c>
      <c r="J2753" s="5">
        <v>710000000</v>
      </c>
      <c r="K2753" s="5" t="s">
        <v>89</v>
      </c>
      <c r="L2753" s="2" t="s">
        <v>8710</v>
      </c>
      <c r="M2753" s="6" t="s">
        <v>2682</v>
      </c>
      <c r="N2753" s="7" t="s">
        <v>92</v>
      </c>
      <c r="O2753" s="7" t="s">
        <v>93</v>
      </c>
      <c r="P2753" s="3" t="s">
        <v>673</v>
      </c>
      <c r="Q2753" s="8">
        <v>796</v>
      </c>
      <c r="R2753" s="7" t="s">
        <v>118</v>
      </c>
      <c r="S2753" s="9">
        <v>10</v>
      </c>
      <c r="T2753" s="9">
        <v>590</v>
      </c>
      <c r="U2753" s="9">
        <f t="shared" ref="U2753" si="1827">T2753*S2753</f>
        <v>5900</v>
      </c>
      <c r="V2753" s="9">
        <f t="shared" ref="V2753" si="1828">U2753*1.12</f>
        <v>6608.0000000000009</v>
      </c>
      <c r="W2753" s="7"/>
      <c r="X2753" s="2">
        <v>2016</v>
      </c>
      <c r="Y2753" s="2"/>
    </row>
    <row r="2754" spans="1:25" s="11" customFormat="1" ht="89.25" customHeight="1" outlineLevel="1" x14ac:dyDescent="0.25">
      <c r="A2754" s="16"/>
      <c r="B2754" s="2" t="s">
        <v>7131</v>
      </c>
      <c r="C2754" s="3" t="s">
        <v>83</v>
      </c>
      <c r="D2754" s="3" t="s">
        <v>4969</v>
      </c>
      <c r="E2754" s="3" t="s">
        <v>4101</v>
      </c>
      <c r="F2754" s="3" t="s">
        <v>4970</v>
      </c>
      <c r="G2754" s="3" t="s">
        <v>4971</v>
      </c>
      <c r="H2754" s="2" t="s">
        <v>694</v>
      </c>
      <c r="I2754" s="4">
        <v>0</v>
      </c>
      <c r="J2754" s="5">
        <v>710000000</v>
      </c>
      <c r="K2754" s="5" t="s">
        <v>89</v>
      </c>
      <c r="L2754" s="2" t="s">
        <v>754</v>
      </c>
      <c r="M2754" s="6" t="s">
        <v>2682</v>
      </c>
      <c r="N2754" s="7" t="s">
        <v>92</v>
      </c>
      <c r="O2754" s="7" t="s">
        <v>93</v>
      </c>
      <c r="P2754" s="3" t="s">
        <v>673</v>
      </c>
      <c r="Q2754" s="8">
        <v>796</v>
      </c>
      <c r="R2754" s="7" t="s">
        <v>118</v>
      </c>
      <c r="S2754" s="9">
        <v>50</v>
      </c>
      <c r="T2754" s="9">
        <v>28</v>
      </c>
      <c r="U2754" s="9">
        <v>0</v>
      </c>
      <c r="V2754" s="9">
        <f t="shared" si="1788"/>
        <v>0</v>
      </c>
      <c r="W2754" s="7"/>
      <c r="X2754" s="2">
        <v>2016</v>
      </c>
      <c r="Y2754" s="2">
        <v>11</v>
      </c>
    </row>
    <row r="2755" spans="1:25" s="11" customFormat="1" ht="89.25" customHeight="1" outlineLevel="1" x14ac:dyDescent="0.25">
      <c r="A2755" s="16"/>
      <c r="B2755" s="2" t="s">
        <v>8836</v>
      </c>
      <c r="C2755" s="3" t="s">
        <v>83</v>
      </c>
      <c r="D2755" s="3" t="s">
        <v>4969</v>
      </c>
      <c r="E2755" s="3" t="s">
        <v>4101</v>
      </c>
      <c r="F2755" s="3" t="s">
        <v>4970</v>
      </c>
      <c r="G2755" s="3" t="s">
        <v>4971</v>
      </c>
      <c r="H2755" s="2" t="s">
        <v>694</v>
      </c>
      <c r="I2755" s="4">
        <v>0</v>
      </c>
      <c r="J2755" s="5">
        <v>710000000</v>
      </c>
      <c r="K2755" s="5" t="s">
        <v>89</v>
      </c>
      <c r="L2755" s="2" t="s">
        <v>8710</v>
      </c>
      <c r="M2755" s="6" t="s">
        <v>2682</v>
      </c>
      <c r="N2755" s="7" t="s">
        <v>92</v>
      </c>
      <c r="O2755" s="7" t="s">
        <v>93</v>
      </c>
      <c r="P2755" s="3" t="s">
        <v>673</v>
      </c>
      <c r="Q2755" s="8">
        <v>796</v>
      </c>
      <c r="R2755" s="7" t="s">
        <v>118</v>
      </c>
      <c r="S2755" s="9">
        <v>50</v>
      </c>
      <c r="T2755" s="9">
        <v>28</v>
      </c>
      <c r="U2755" s="9">
        <f t="shared" ref="U2755" si="1829">T2755*S2755</f>
        <v>1400</v>
      </c>
      <c r="V2755" s="9">
        <f t="shared" ref="V2755" si="1830">U2755*1.12</f>
        <v>1568.0000000000002</v>
      </c>
      <c r="W2755" s="7"/>
      <c r="X2755" s="2">
        <v>2016</v>
      </c>
      <c r="Y2755" s="2"/>
    </row>
    <row r="2756" spans="1:25" s="11" customFormat="1" ht="89.25" customHeight="1" outlineLevel="1" x14ac:dyDescent="0.25">
      <c r="A2756" s="16"/>
      <c r="B2756" s="2" t="s">
        <v>7132</v>
      </c>
      <c r="C2756" s="3" t="s">
        <v>83</v>
      </c>
      <c r="D2756" s="3" t="s">
        <v>4969</v>
      </c>
      <c r="E2756" s="3" t="s">
        <v>4101</v>
      </c>
      <c r="F2756" s="3" t="s">
        <v>4970</v>
      </c>
      <c r="G2756" s="3" t="s">
        <v>5231</v>
      </c>
      <c r="H2756" s="2" t="s">
        <v>694</v>
      </c>
      <c r="I2756" s="4">
        <v>0</v>
      </c>
      <c r="J2756" s="5">
        <v>710000000</v>
      </c>
      <c r="K2756" s="5" t="s">
        <v>89</v>
      </c>
      <c r="L2756" s="2" t="s">
        <v>754</v>
      </c>
      <c r="M2756" s="6" t="s">
        <v>2682</v>
      </c>
      <c r="N2756" s="7" t="s">
        <v>92</v>
      </c>
      <c r="O2756" s="7" t="s">
        <v>93</v>
      </c>
      <c r="P2756" s="3" t="s">
        <v>673</v>
      </c>
      <c r="Q2756" s="8">
        <v>796</v>
      </c>
      <c r="R2756" s="7" t="s">
        <v>118</v>
      </c>
      <c r="S2756" s="9">
        <v>10</v>
      </c>
      <c r="T2756" s="9">
        <v>80</v>
      </c>
      <c r="U2756" s="9">
        <v>0</v>
      </c>
      <c r="V2756" s="9">
        <f t="shared" si="1788"/>
        <v>0</v>
      </c>
      <c r="W2756" s="7"/>
      <c r="X2756" s="2">
        <v>2016</v>
      </c>
      <c r="Y2756" s="2">
        <v>11</v>
      </c>
    </row>
    <row r="2757" spans="1:25" s="11" customFormat="1" ht="89.25" customHeight="1" outlineLevel="1" x14ac:dyDescent="0.25">
      <c r="A2757" s="16"/>
      <c r="B2757" s="2" t="s">
        <v>8837</v>
      </c>
      <c r="C2757" s="3" t="s">
        <v>83</v>
      </c>
      <c r="D2757" s="3" t="s">
        <v>4969</v>
      </c>
      <c r="E2757" s="3" t="s">
        <v>4101</v>
      </c>
      <c r="F2757" s="3" t="s">
        <v>4970</v>
      </c>
      <c r="G2757" s="3" t="s">
        <v>5231</v>
      </c>
      <c r="H2757" s="2" t="s">
        <v>694</v>
      </c>
      <c r="I2757" s="4">
        <v>0</v>
      </c>
      <c r="J2757" s="5">
        <v>710000000</v>
      </c>
      <c r="K2757" s="5" t="s">
        <v>89</v>
      </c>
      <c r="L2757" s="2" t="s">
        <v>8710</v>
      </c>
      <c r="M2757" s="6" t="s">
        <v>2682</v>
      </c>
      <c r="N2757" s="7" t="s">
        <v>92</v>
      </c>
      <c r="O2757" s="7" t="s">
        <v>93</v>
      </c>
      <c r="P2757" s="3" t="s">
        <v>673</v>
      </c>
      <c r="Q2757" s="8">
        <v>796</v>
      </c>
      <c r="R2757" s="7" t="s">
        <v>118</v>
      </c>
      <c r="S2757" s="9">
        <v>10</v>
      </c>
      <c r="T2757" s="9">
        <v>80</v>
      </c>
      <c r="U2757" s="9">
        <f t="shared" ref="U2757" si="1831">T2757*S2757</f>
        <v>800</v>
      </c>
      <c r="V2757" s="9">
        <f t="shared" ref="V2757" si="1832">U2757*1.12</f>
        <v>896.00000000000011</v>
      </c>
      <c r="W2757" s="7"/>
      <c r="X2757" s="2">
        <v>2016</v>
      </c>
      <c r="Y2757" s="2"/>
    </row>
    <row r="2758" spans="1:25" s="11" customFormat="1" ht="89.25" customHeight="1" outlineLevel="1" x14ac:dyDescent="0.25">
      <c r="A2758" s="16"/>
      <c r="B2758" s="2" t="s">
        <v>7133</v>
      </c>
      <c r="C2758" s="3" t="s">
        <v>83</v>
      </c>
      <c r="D2758" s="3" t="s">
        <v>3507</v>
      </c>
      <c r="E2758" s="3" t="s">
        <v>3508</v>
      </c>
      <c r="F2758" s="3" t="s">
        <v>3509</v>
      </c>
      <c r="G2758" s="3" t="s">
        <v>5148</v>
      </c>
      <c r="H2758" s="2" t="s">
        <v>694</v>
      </c>
      <c r="I2758" s="4">
        <v>0</v>
      </c>
      <c r="J2758" s="5">
        <v>710000000</v>
      </c>
      <c r="K2758" s="5" t="s">
        <v>89</v>
      </c>
      <c r="L2758" s="2" t="s">
        <v>754</v>
      </c>
      <c r="M2758" s="6" t="s">
        <v>2682</v>
      </c>
      <c r="N2758" s="7" t="s">
        <v>92</v>
      </c>
      <c r="O2758" s="7" t="s">
        <v>93</v>
      </c>
      <c r="P2758" s="3" t="s">
        <v>673</v>
      </c>
      <c r="Q2758" s="8">
        <v>796</v>
      </c>
      <c r="R2758" s="7" t="s">
        <v>118</v>
      </c>
      <c r="S2758" s="9">
        <v>50</v>
      </c>
      <c r="T2758" s="9">
        <v>28</v>
      </c>
      <c r="U2758" s="9">
        <v>0</v>
      </c>
      <c r="V2758" s="9">
        <f t="shared" si="1788"/>
        <v>0</v>
      </c>
      <c r="W2758" s="7"/>
      <c r="X2758" s="2">
        <v>2016</v>
      </c>
      <c r="Y2758" s="2">
        <v>11</v>
      </c>
    </row>
    <row r="2759" spans="1:25" s="11" customFormat="1" ht="89.25" customHeight="1" outlineLevel="1" x14ac:dyDescent="0.25">
      <c r="A2759" s="16"/>
      <c r="B2759" s="2" t="s">
        <v>8838</v>
      </c>
      <c r="C2759" s="3" t="s">
        <v>83</v>
      </c>
      <c r="D2759" s="3" t="s">
        <v>3507</v>
      </c>
      <c r="E2759" s="3" t="s">
        <v>3508</v>
      </c>
      <c r="F2759" s="3" t="s">
        <v>3509</v>
      </c>
      <c r="G2759" s="3" t="s">
        <v>5148</v>
      </c>
      <c r="H2759" s="2" t="s">
        <v>694</v>
      </c>
      <c r="I2759" s="4">
        <v>0</v>
      </c>
      <c r="J2759" s="5">
        <v>710000000</v>
      </c>
      <c r="K2759" s="5" t="s">
        <v>89</v>
      </c>
      <c r="L2759" s="2" t="s">
        <v>8710</v>
      </c>
      <c r="M2759" s="6" t="s">
        <v>2682</v>
      </c>
      <c r="N2759" s="7" t="s">
        <v>92</v>
      </c>
      <c r="O2759" s="7" t="s">
        <v>93</v>
      </c>
      <c r="P2759" s="3" t="s">
        <v>673</v>
      </c>
      <c r="Q2759" s="8">
        <v>796</v>
      </c>
      <c r="R2759" s="7" t="s">
        <v>118</v>
      </c>
      <c r="S2759" s="9">
        <v>50</v>
      </c>
      <c r="T2759" s="9">
        <v>28</v>
      </c>
      <c r="U2759" s="9">
        <f t="shared" ref="U2759" si="1833">T2759*S2759</f>
        <v>1400</v>
      </c>
      <c r="V2759" s="9">
        <f t="shared" ref="V2759" si="1834">U2759*1.12</f>
        <v>1568.0000000000002</v>
      </c>
      <c r="W2759" s="7"/>
      <c r="X2759" s="2">
        <v>2016</v>
      </c>
      <c r="Y2759" s="2"/>
    </row>
    <row r="2760" spans="1:25" s="11" customFormat="1" ht="89.25" customHeight="1" outlineLevel="1" x14ac:dyDescent="0.25">
      <c r="A2760" s="16"/>
      <c r="B2760" s="2" t="s">
        <v>7134</v>
      </c>
      <c r="C2760" s="3" t="s">
        <v>83</v>
      </c>
      <c r="D2760" s="3" t="s">
        <v>5019</v>
      </c>
      <c r="E2760" s="3" t="s">
        <v>5020</v>
      </c>
      <c r="F2760" s="3" t="s">
        <v>5021</v>
      </c>
      <c r="G2760" s="19" t="s">
        <v>5232</v>
      </c>
      <c r="H2760" s="2" t="s">
        <v>694</v>
      </c>
      <c r="I2760" s="4">
        <v>0</v>
      </c>
      <c r="J2760" s="5">
        <v>710000000</v>
      </c>
      <c r="K2760" s="5" t="s">
        <v>89</v>
      </c>
      <c r="L2760" s="2" t="s">
        <v>754</v>
      </c>
      <c r="M2760" s="6" t="s">
        <v>2682</v>
      </c>
      <c r="N2760" s="7" t="s">
        <v>92</v>
      </c>
      <c r="O2760" s="7" t="s">
        <v>93</v>
      </c>
      <c r="P2760" s="3" t="s">
        <v>673</v>
      </c>
      <c r="Q2760" s="8" t="s">
        <v>522</v>
      </c>
      <c r="R2760" s="7" t="s">
        <v>523</v>
      </c>
      <c r="S2760" s="9">
        <v>4</v>
      </c>
      <c r="T2760" s="9">
        <v>48</v>
      </c>
      <c r="U2760" s="9">
        <v>0</v>
      </c>
      <c r="V2760" s="9">
        <f t="shared" si="1788"/>
        <v>0</v>
      </c>
      <c r="W2760" s="7"/>
      <c r="X2760" s="2">
        <v>2016</v>
      </c>
      <c r="Y2760" s="2">
        <v>11</v>
      </c>
    </row>
    <row r="2761" spans="1:25" s="11" customFormat="1" ht="89.25" customHeight="1" outlineLevel="1" x14ac:dyDescent="0.25">
      <c r="A2761" s="16"/>
      <c r="B2761" s="2" t="s">
        <v>8839</v>
      </c>
      <c r="C2761" s="3" t="s">
        <v>83</v>
      </c>
      <c r="D2761" s="3" t="s">
        <v>5019</v>
      </c>
      <c r="E2761" s="3" t="s">
        <v>5020</v>
      </c>
      <c r="F2761" s="3" t="s">
        <v>5021</v>
      </c>
      <c r="G2761" s="19" t="s">
        <v>5232</v>
      </c>
      <c r="H2761" s="2" t="s">
        <v>694</v>
      </c>
      <c r="I2761" s="4">
        <v>0</v>
      </c>
      <c r="J2761" s="5">
        <v>710000000</v>
      </c>
      <c r="K2761" s="5" t="s">
        <v>89</v>
      </c>
      <c r="L2761" s="2" t="s">
        <v>8710</v>
      </c>
      <c r="M2761" s="6" t="s">
        <v>2682</v>
      </c>
      <c r="N2761" s="7" t="s">
        <v>92</v>
      </c>
      <c r="O2761" s="7" t="s">
        <v>93</v>
      </c>
      <c r="P2761" s="3" t="s">
        <v>673</v>
      </c>
      <c r="Q2761" s="8" t="s">
        <v>522</v>
      </c>
      <c r="R2761" s="7" t="s">
        <v>523</v>
      </c>
      <c r="S2761" s="9">
        <v>4</v>
      </c>
      <c r="T2761" s="9">
        <v>48</v>
      </c>
      <c r="U2761" s="9">
        <f t="shared" ref="U2761" si="1835">T2761*S2761</f>
        <v>192</v>
      </c>
      <c r="V2761" s="9">
        <f t="shared" ref="V2761" si="1836">U2761*1.12</f>
        <v>215.04000000000002</v>
      </c>
      <c r="W2761" s="7"/>
      <c r="X2761" s="2">
        <v>2016</v>
      </c>
      <c r="Y2761" s="2"/>
    </row>
    <row r="2762" spans="1:25" s="11" customFormat="1" ht="89.25" customHeight="1" outlineLevel="1" x14ac:dyDescent="0.25">
      <c r="A2762" s="16"/>
      <c r="B2762" s="2" t="s">
        <v>7135</v>
      </c>
      <c r="C2762" s="3" t="s">
        <v>83</v>
      </c>
      <c r="D2762" s="3" t="s">
        <v>5155</v>
      </c>
      <c r="E2762" s="3" t="s">
        <v>5020</v>
      </c>
      <c r="F2762" s="3" t="s">
        <v>5156</v>
      </c>
      <c r="G2762" s="19" t="s">
        <v>5232</v>
      </c>
      <c r="H2762" s="2" t="s">
        <v>694</v>
      </c>
      <c r="I2762" s="4">
        <v>0</v>
      </c>
      <c r="J2762" s="5">
        <v>710000000</v>
      </c>
      <c r="K2762" s="5" t="s">
        <v>89</v>
      </c>
      <c r="L2762" s="2" t="s">
        <v>754</v>
      </c>
      <c r="M2762" s="6" t="s">
        <v>2682</v>
      </c>
      <c r="N2762" s="7" t="s">
        <v>92</v>
      </c>
      <c r="O2762" s="7" t="s">
        <v>93</v>
      </c>
      <c r="P2762" s="3" t="s">
        <v>673</v>
      </c>
      <c r="Q2762" s="8" t="s">
        <v>522</v>
      </c>
      <c r="R2762" s="7" t="s">
        <v>523</v>
      </c>
      <c r="S2762" s="9">
        <v>4</v>
      </c>
      <c r="T2762" s="9">
        <v>46</v>
      </c>
      <c r="U2762" s="9">
        <v>0</v>
      </c>
      <c r="V2762" s="9">
        <f t="shared" si="1788"/>
        <v>0</v>
      </c>
      <c r="W2762" s="7"/>
      <c r="X2762" s="2">
        <v>2016</v>
      </c>
      <c r="Y2762" s="2">
        <v>11</v>
      </c>
    </row>
    <row r="2763" spans="1:25" s="11" customFormat="1" ht="89.25" customHeight="1" outlineLevel="1" x14ac:dyDescent="0.25">
      <c r="A2763" s="16"/>
      <c r="B2763" s="2" t="s">
        <v>8840</v>
      </c>
      <c r="C2763" s="3" t="s">
        <v>83</v>
      </c>
      <c r="D2763" s="3" t="s">
        <v>5155</v>
      </c>
      <c r="E2763" s="3" t="s">
        <v>5020</v>
      </c>
      <c r="F2763" s="3" t="s">
        <v>5156</v>
      </c>
      <c r="G2763" s="19" t="s">
        <v>5232</v>
      </c>
      <c r="H2763" s="2" t="s">
        <v>694</v>
      </c>
      <c r="I2763" s="4">
        <v>0</v>
      </c>
      <c r="J2763" s="5">
        <v>710000000</v>
      </c>
      <c r="K2763" s="5" t="s">
        <v>89</v>
      </c>
      <c r="L2763" s="2" t="s">
        <v>8710</v>
      </c>
      <c r="M2763" s="6" t="s">
        <v>2682</v>
      </c>
      <c r="N2763" s="7" t="s">
        <v>92</v>
      </c>
      <c r="O2763" s="7" t="s">
        <v>93</v>
      </c>
      <c r="P2763" s="3" t="s">
        <v>673</v>
      </c>
      <c r="Q2763" s="8" t="s">
        <v>522</v>
      </c>
      <c r="R2763" s="7" t="s">
        <v>523</v>
      </c>
      <c r="S2763" s="9">
        <v>4</v>
      </c>
      <c r="T2763" s="9">
        <v>46</v>
      </c>
      <c r="U2763" s="9">
        <f t="shared" ref="U2763" si="1837">T2763*S2763</f>
        <v>184</v>
      </c>
      <c r="V2763" s="9">
        <f t="shared" ref="V2763" si="1838">U2763*1.12</f>
        <v>206.08</v>
      </c>
      <c r="W2763" s="7"/>
      <c r="X2763" s="2">
        <v>2016</v>
      </c>
      <c r="Y2763" s="2"/>
    </row>
    <row r="2764" spans="1:25" s="11" customFormat="1" ht="89.25" customHeight="1" outlineLevel="1" x14ac:dyDescent="0.25">
      <c r="A2764" s="16"/>
      <c r="B2764" s="2" t="s">
        <v>7136</v>
      </c>
      <c r="C2764" s="3" t="s">
        <v>83</v>
      </c>
      <c r="D2764" s="3" t="s">
        <v>5027</v>
      </c>
      <c r="E2764" s="3" t="s">
        <v>3991</v>
      </c>
      <c r="F2764" s="3" t="s">
        <v>5028</v>
      </c>
      <c r="G2764" s="3" t="s">
        <v>5233</v>
      </c>
      <c r="H2764" s="2" t="s">
        <v>694</v>
      </c>
      <c r="I2764" s="4">
        <v>0</v>
      </c>
      <c r="J2764" s="5">
        <v>710000000</v>
      </c>
      <c r="K2764" s="5" t="s">
        <v>89</v>
      </c>
      <c r="L2764" s="2" t="s">
        <v>754</v>
      </c>
      <c r="M2764" s="6" t="s">
        <v>2682</v>
      </c>
      <c r="N2764" s="7" t="s">
        <v>92</v>
      </c>
      <c r="O2764" s="7" t="s">
        <v>93</v>
      </c>
      <c r="P2764" s="3" t="s">
        <v>673</v>
      </c>
      <c r="Q2764" s="8">
        <v>796</v>
      </c>
      <c r="R2764" s="7" t="s">
        <v>118</v>
      </c>
      <c r="S2764" s="9">
        <v>3</v>
      </c>
      <c r="T2764" s="9">
        <v>667</v>
      </c>
      <c r="U2764" s="9">
        <v>0</v>
      </c>
      <c r="V2764" s="9">
        <f t="shared" si="1788"/>
        <v>0</v>
      </c>
      <c r="W2764" s="7"/>
      <c r="X2764" s="2">
        <v>2016</v>
      </c>
      <c r="Y2764" s="2">
        <v>11</v>
      </c>
    </row>
    <row r="2765" spans="1:25" s="11" customFormat="1" ht="89.25" customHeight="1" outlineLevel="1" x14ac:dyDescent="0.25">
      <c r="A2765" s="16"/>
      <c r="B2765" s="2" t="s">
        <v>8841</v>
      </c>
      <c r="C2765" s="3" t="s">
        <v>83</v>
      </c>
      <c r="D2765" s="3" t="s">
        <v>5027</v>
      </c>
      <c r="E2765" s="3" t="s">
        <v>3991</v>
      </c>
      <c r="F2765" s="3" t="s">
        <v>5028</v>
      </c>
      <c r="G2765" s="3" t="s">
        <v>5233</v>
      </c>
      <c r="H2765" s="2" t="s">
        <v>694</v>
      </c>
      <c r="I2765" s="4">
        <v>0</v>
      </c>
      <c r="J2765" s="5">
        <v>710000000</v>
      </c>
      <c r="K2765" s="5" t="s">
        <v>89</v>
      </c>
      <c r="L2765" s="2" t="s">
        <v>8710</v>
      </c>
      <c r="M2765" s="6" t="s">
        <v>2682</v>
      </c>
      <c r="N2765" s="7" t="s">
        <v>92</v>
      </c>
      <c r="O2765" s="7" t="s">
        <v>93</v>
      </c>
      <c r="P2765" s="3" t="s">
        <v>673</v>
      </c>
      <c r="Q2765" s="8">
        <v>796</v>
      </c>
      <c r="R2765" s="7" t="s">
        <v>118</v>
      </c>
      <c r="S2765" s="9">
        <v>3</v>
      </c>
      <c r="T2765" s="9">
        <v>667</v>
      </c>
      <c r="U2765" s="9">
        <f t="shared" ref="U2765" si="1839">T2765*S2765</f>
        <v>2001</v>
      </c>
      <c r="V2765" s="9">
        <f t="shared" ref="V2765" si="1840">U2765*1.12</f>
        <v>2241.1200000000003</v>
      </c>
      <c r="W2765" s="7"/>
      <c r="X2765" s="2">
        <v>2016</v>
      </c>
      <c r="Y2765" s="2"/>
    </row>
    <row r="2766" spans="1:25" s="11" customFormat="1" ht="89.25" customHeight="1" outlineLevel="1" x14ac:dyDescent="0.25">
      <c r="A2766" s="16"/>
      <c r="B2766" s="2" t="s">
        <v>7137</v>
      </c>
      <c r="C2766" s="3" t="s">
        <v>83</v>
      </c>
      <c r="D2766" s="3" t="s">
        <v>4998</v>
      </c>
      <c r="E2766" s="3" t="s">
        <v>4999</v>
      </c>
      <c r="F2766" s="3" t="s">
        <v>5000</v>
      </c>
      <c r="G2766" s="19"/>
      <c r="H2766" s="2" t="s">
        <v>694</v>
      </c>
      <c r="I2766" s="4">
        <v>0</v>
      </c>
      <c r="J2766" s="5">
        <v>710000000</v>
      </c>
      <c r="K2766" s="5" t="s">
        <v>89</v>
      </c>
      <c r="L2766" s="2" t="s">
        <v>754</v>
      </c>
      <c r="M2766" s="6" t="s">
        <v>2682</v>
      </c>
      <c r="N2766" s="7" t="s">
        <v>92</v>
      </c>
      <c r="O2766" s="7" t="s">
        <v>93</v>
      </c>
      <c r="P2766" s="3" t="s">
        <v>673</v>
      </c>
      <c r="Q2766" s="8">
        <v>796</v>
      </c>
      <c r="R2766" s="7" t="s">
        <v>118</v>
      </c>
      <c r="S2766" s="9">
        <v>2</v>
      </c>
      <c r="T2766" s="9">
        <v>80</v>
      </c>
      <c r="U2766" s="9">
        <v>0</v>
      </c>
      <c r="V2766" s="9">
        <f t="shared" si="1788"/>
        <v>0</v>
      </c>
      <c r="W2766" s="7"/>
      <c r="X2766" s="2">
        <v>2016</v>
      </c>
      <c r="Y2766" s="2">
        <v>11</v>
      </c>
    </row>
    <row r="2767" spans="1:25" s="11" customFormat="1" ht="89.25" customHeight="1" outlineLevel="1" x14ac:dyDescent="0.25">
      <c r="A2767" s="16"/>
      <c r="B2767" s="2" t="s">
        <v>8842</v>
      </c>
      <c r="C2767" s="3" t="s">
        <v>83</v>
      </c>
      <c r="D2767" s="3" t="s">
        <v>4998</v>
      </c>
      <c r="E2767" s="3" t="s">
        <v>4999</v>
      </c>
      <c r="F2767" s="3" t="s">
        <v>5000</v>
      </c>
      <c r="G2767" s="19"/>
      <c r="H2767" s="2" t="s">
        <v>694</v>
      </c>
      <c r="I2767" s="4">
        <v>0</v>
      </c>
      <c r="J2767" s="5">
        <v>710000000</v>
      </c>
      <c r="K2767" s="5" t="s">
        <v>89</v>
      </c>
      <c r="L2767" s="2" t="s">
        <v>8710</v>
      </c>
      <c r="M2767" s="6" t="s">
        <v>2682</v>
      </c>
      <c r="N2767" s="7" t="s">
        <v>92</v>
      </c>
      <c r="O2767" s="7" t="s">
        <v>93</v>
      </c>
      <c r="P2767" s="3" t="s">
        <v>673</v>
      </c>
      <c r="Q2767" s="8">
        <v>796</v>
      </c>
      <c r="R2767" s="7" t="s">
        <v>118</v>
      </c>
      <c r="S2767" s="9">
        <v>2</v>
      </c>
      <c r="T2767" s="9">
        <v>80</v>
      </c>
      <c r="U2767" s="9">
        <f t="shared" ref="U2767" si="1841">T2767*S2767</f>
        <v>160</v>
      </c>
      <c r="V2767" s="9">
        <f t="shared" ref="V2767" si="1842">U2767*1.12</f>
        <v>179.20000000000002</v>
      </c>
      <c r="W2767" s="7"/>
      <c r="X2767" s="2">
        <v>2016</v>
      </c>
      <c r="Y2767" s="2"/>
    </row>
    <row r="2768" spans="1:25" s="11" customFormat="1" ht="89.25" customHeight="1" outlineLevel="1" x14ac:dyDescent="0.25">
      <c r="A2768" s="16"/>
      <c r="B2768" s="2" t="s">
        <v>7138</v>
      </c>
      <c r="C2768" s="3" t="s">
        <v>83</v>
      </c>
      <c r="D2768" s="3" t="s">
        <v>4938</v>
      </c>
      <c r="E2768" s="3" t="s">
        <v>4939</v>
      </c>
      <c r="F2768" s="3" t="s">
        <v>4940</v>
      </c>
      <c r="G2768" s="3" t="s">
        <v>5234</v>
      </c>
      <c r="H2768" s="2" t="s">
        <v>694</v>
      </c>
      <c r="I2768" s="4">
        <v>0</v>
      </c>
      <c r="J2768" s="5">
        <v>710000000</v>
      </c>
      <c r="K2768" s="5" t="s">
        <v>89</v>
      </c>
      <c r="L2768" s="2" t="s">
        <v>754</v>
      </c>
      <c r="M2768" s="6" t="s">
        <v>2682</v>
      </c>
      <c r="N2768" s="7" t="s">
        <v>92</v>
      </c>
      <c r="O2768" s="7" t="s">
        <v>93</v>
      </c>
      <c r="P2768" s="3" t="s">
        <v>673</v>
      </c>
      <c r="Q2768" s="8">
        <v>796</v>
      </c>
      <c r="R2768" s="7" t="s">
        <v>118</v>
      </c>
      <c r="S2768" s="9">
        <v>100</v>
      </c>
      <c r="T2768" s="9">
        <v>8</v>
      </c>
      <c r="U2768" s="9">
        <v>0</v>
      </c>
      <c r="V2768" s="9">
        <f t="shared" si="1788"/>
        <v>0</v>
      </c>
      <c r="W2768" s="7"/>
      <c r="X2768" s="2">
        <v>2016</v>
      </c>
      <c r="Y2768" s="2">
        <v>11</v>
      </c>
    </row>
    <row r="2769" spans="1:25" s="11" customFormat="1" ht="89.25" customHeight="1" outlineLevel="1" x14ac:dyDescent="0.25">
      <c r="A2769" s="16"/>
      <c r="B2769" s="2" t="s">
        <v>8843</v>
      </c>
      <c r="C2769" s="3" t="s">
        <v>83</v>
      </c>
      <c r="D2769" s="3" t="s">
        <v>4938</v>
      </c>
      <c r="E2769" s="3" t="s">
        <v>4939</v>
      </c>
      <c r="F2769" s="3" t="s">
        <v>4940</v>
      </c>
      <c r="G2769" s="3" t="s">
        <v>5234</v>
      </c>
      <c r="H2769" s="2" t="s">
        <v>694</v>
      </c>
      <c r="I2769" s="4">
        <v>0</v>
      </c>
      <c r="J2769" s="5">
        <v>710000000</v>
      </c>
      <c r="K2769" s="5" t="s">
        <v>89</v>
      </c>
      <c r="L2769" s="2" t="s">
        <v>8710</v>
      </c>
      <c r="M2769" s="6" t="s">
        <v>2682</v>
      </c>
      <c r="N2769" s="7" t="s">
        <v>92</v>
      </c>
      <c r="O2769" s="7" t="s">
        <v>93</v>
      </c>
      <c r="P2769" s="3" t="s">
        <v>673</v>
      </c>
      <c r="Q2769" s="8">
        <v>796</v>
      </c>
      <c r="R2769" s="7" t="s">
        <v>118</v>
      </c>
      <c r="S2769" s="9">
        <v>100</v>
      </c>
      <c r="T2769" s="9">
        <v>8</v>
      </c>
      <c r="U2769" s="9">
        <v>800</v>
      </c>
      <c r="V2769" s="9">
        <f t="shared" ref="V2769" si="1843">U2769*1.12</f>
        <v>896.00000000000011</v>
      </c>
      <c r="W2769" s="7"/>
      <c r="X2769" s="2">
        <v>2016</v>
      </c>
      <c r="Y2769" s="2"/>
    </row>
    <row r="2770" spans="1:25" s="11" customFormat="1" ht="293.25" customHeight="1" outlineLevel="1" x14ac:dyDescent="0.25">
      <c r="A2770" s="1"/>
      <c r="B2770" s="2" t="s">
        <v>7139</v>
      </c>
      <c r="C2770" s="3" t="s">
        <v>83</v>
      </c>
      <c r="D2770" s="3" t="s">
        <v>3510</v>
      </c>
      <c r="E2770" s="3" t="s">
        <v>3511</v>
      </c>
      <c r="F2770" s="3" t="s">
        <v>3512</v>
      </c>
      <c r="G2770" s="3" t="s">
        <v>3513</v>
      </c>
      <c r="H2770" s="2" t="s">
        <v>88</v>
      </c>
      <c r="I2770" s="4">
        <v>0.4</v>
      </c>
      <c r="J2770" s="5">
        <v>710000000</v>
      </c>
      <c r="K2770" s="5" t="s">
        <v>89</v>
      </c>
      <c r="L2770" s="2" t="s">
        <v>754</v>
      </c>
      <c r="M2770" s="6" t="s">
        <v>787</v>
      </c>
      <c r="N2770" s="7" t="s">
        <v>92</v>
      </c>
      <c r="O2770" s="7" t="s">
        <v>93</v>
      </c>
      <c r="P2770" s="3" t="s">
        <v>94</v>
      </c>
      <c r="Q2770" s="8" t="s">
        <v>861</v>
      </c>
      <c r="R2770" s="7" t="s">
        <v>812</v>
      </c>
      <c r="S2770" s="9">
        <f>13+60+3+1+5+18+35+42+16</f>
        <v>193</v>
      </c>
      <c r="T2770" s="9">
        <v>13413</v>
      </c>
      <c r="U2770" s="9">
        <f t="shared" si="1787"/>
        <v>2588709</v>
      </c>
      <c r="V2770" s="9">
        <f t="shared" si="1788"/>
        <v>2899354.08</v>
      </c>
      <c r="W2770" s="7" t="s">
        <v>97</v>
      </c>
      <c r="X2770" s="2">
        <v>2016</v>
      </c>
      <c r="Y2770" s="2"/>
    </row>
    <row r="2771" spans="1:25" s="11" customFormat="1" ht="229.5" customHeight="1" outlineLevel="1" x14ac:dyDescent="0.25">
      <c r="A2771" s="1"/>
      <c r="B2771" s="2" t="s">
        <v>7140</v>
      </c>
      <c r="C2771" s="3" t="s">
        <v>83</v>
      </c>
      <c r="D2771" s="3" t="s">
        <v>3514</v>
      </c>
      <c r="E2771" s="3" t="s">
        <v>3511</v>
      </c>
      <c r="F2771" s="3" t="s">
        <v>3515</v>
      </c>
      <c r="G2771" s="3" t="s">
        <v>3516</v>
      </c>
      <c r="H2771" s="2" t="s">
        <v>88</v>
      </c>
      <c r="I2771" s="4">
        <v>0.4</v>
      </c>
      <c r="J2771" s="5">
        <v>710000000</v>
      </c>
      <c r="K2771" s="5" t="s">
        <v>89</v>
      </c>
      <c r="L2771" s="2" t="s">
        <v>754</v>
      </c>
      <c r="M2771" s="6" t="s">
        <v>787</v>
      </c>
      <c r="N2771" s="7" t="s">
        <v>92</v>
      </c>
      <c r="O2771" s="7" t="s">
        <v>93</v>
      </c>
      <c r="P2771" s="3" t="s">
        <v>94</v>
      </c>
      <c r="Q2771" s="8" t="s">
        <v>861</v>
      </c>
      <c r="R2771" s="7" t="s">
        <v>812</v>
      </c>
      <c r="S2771" s="9">
        <f>13+111+3+1+5+36+42+16</f>
        <v>227</v>
      </c>
      <c r="T2771" s="9">
        <v>6352</v>
      </c>
      <c r="U2771" s="9">
        <f t="shared" si="1787"/>
        <v>1441904</v>
      </c>
      <c r="V2771" s="9">
        <f t="shared" si="1788"/>
        <v>1614932.4800000002</v>
      </c>
      <c r="W2771" s="7" t="s">
        <v>97</v>
      </c>
      <c r="X2771" s="2">
        <v>2016</v>
      </c>
      <c r="Y2771" s="2"/>
    </row>
    <row r="2772" spans="1:25" s="11" customFormat="1" ht="191.25" customHeight="1" outlineLevel="1" x14ac:dyDescent="0.25">
      <c r="A2772" s="1"/>
      <c r="B2772" s="2" t="s">
        <v>7141</v>
      </c>
      <c r="C2772" s="3" t="s">
        <v>83</v>
      </c>
      <c r="D2772" s="3" t="s">
        <v>3517</v>
      </c>
      <c r="E2772" s="3" t="s">
        <v>3511</v>
      </c>
      <c r="F2772" s="3" t="s">
        <v>3518</v>
      </c>
      <c r="G2772" s="3" t="s">
        <v>3519</v>
      </c>
      <c r="H2772" s="2" t="s">
        <v>88</v>
      </c>
      <c r="I2772" s="4">
        <v>0.4</v>
      </c>
      <c r="J2772" s="5">
        <v>710000000</v>
      </c>
      <c r="K2772" s="5" t="s">
        <v>89</v>
      </c>
      <c r="L2772" s="2" t="s">
        <v>754</v>
      </c>
      <c r="M2772" s="6" t="s">
        <v>787</v>
      </c>
      <c r="N2772" s="7" t="s">
        <v>92</v>
      </c>
      <c r="O2772" s="7" t="s">
        <v>93</v>
      </c>
      <c r="P2772" s="3" t="s">
        <v>94</v>
      </c>
      <c r="Q2772" s="8" t="s">
        <v>861</v>
      </c>
      <c r="R2772" s="7" t="s">
        <v>812</v>
      </c>
      <c r="S2772" s="9">
        <f>15+80+5+5+3+150+2+2</f>
        <v>262</v>
      </c>
      <c r="T2772" s="9">
        <v>5804</v>
      </c>
      <c r="U2772" s="9">
        <f t="shared" si="1787"/>
        <v>1520648</v>
      </c>
      <c r="V2772" s="9">
        <f t="shared" si="1788"/>
        <v>1703125.7600000002</v>
      </c>
      <c r="W2772" s="7" t="s">
        <v>97</v>
      </c>
      <c r="X2772" s="2">
        <v>2016</v>
      </c>
      <c r="Y2772" s="2"/>
    </row>
    <row r="2773" spans="1:25" s="11" customFormat="1" ht="89.25" customHeight="1" outlineLevel="1" x14ac:dyDescent="0.25">
      <c r="A2773" s="16"/>
      <c r="B2773" s="2" t="s">
        <v>7142</v>
      </c>
      <c r="C2773" s="3" t="s">
        <v>83</v>
      </c>
      <c r="D2773" s="3" t="s">
        <v>3520</v>
      </c>
      <c r="E2773" s="3" t="s">
        <v>3511</v>
      </c>
      <c r="F2773" s="3" t="s">
        <v>3521</v>
      </c>
      <c r="G2773" s="3"/>
      <c r="H2773" s="2" t="s">
        <v>88</v>
      </c>
      <c r="I2773" s="4">
        <v>0.4</v>
      </c>
      <c r="J2773" s="5">
        <v>710000000</v>
      </c>
      <c r="K2773" s="5" t="s">
        <v>89</v>
      </c>
      <c r="L2773" s="5" t="s">
        <v>754</v>
      </c>
      <c r="M2773" s="6" t="s">
        <v>787</v>
      </c>
      <c r="N2773" s="7" t="s">
        <v>92</v>
      </c>
      <c r="O2773" s="7" t="s">
        <v>93</v>
      </c>
      <c r="P2773" s="3" t="s">
        <v>94</v>
      </c>
      <c r="Q2773" s="8" t="s">
        <v>861</v>
      </c>
      <c r="R2773" s="7" t="s">
        <v>812</v>
      </c>
      <c r="S2773" s="9">
        <f>1+2+2</f>
        <v>5</v>
      </c>
      <c r="T2773" s="9">
        <v>6533</v>
      </c>
      <c r="U2773" s="9">
        <v>0</v>
      </c>
      <c r="V2773" s="9">
        <f t="shared" ref="V2773" si="1844">U2773*1.12</f>
        <v>0</v>
      </c>
      <c r="W2773" s="7" t="s">
        <v>97</v>
      </c>
      <c r="X2773" s="2">
        <v>2016</v>
      </c>
      <c r="Y2773" s="2" t="s">
        <v>7670</v>
      </c>
    </row>
    <row r="2774" spans="1:25" s="11" customFormat="1" ht="89.25" customHeight="1" outlineLevel="1" x14ac:dyDescent="0.25">
      <c r="A2774" s="16"/>
      <c r="B2774" s="2" t="s">
        <v>8735</v>
      </c>
      <c r="C2774" s="3" t="s">
        <v>83</v>
      </c>
      <c r="D2774" s="3" t="s">
        <v>3520</v>
      </c>
      <c r="E2774" s="3" t="s">
        <v>3511</v>
      </c>
      <c r="F2774" s="3" t="s">
        <v>3521</v>
      </c>
      <c r="G2774" s="3"/>
      <c r="H2774" s="2" t="s">
        <v>88</v>
      </c>
      <c r="I2774" s="4">
        <v>0</v>
      </c>
      <c r="J2774" s="5">
        <v>710000000</v>
      </c>
      <c r="K2774" s="5" t="s">
        <v>89</v>
      </c>
      <c r="L2774" s="5" t="s">
        <v>8491</v>
      </c>
      <c r="M2774" s="6" t="s">
        <v>787</v>
      </c>
      <c r="N2774" s="7" t="s">
        <v>92</v>
      </c>
      <c r="O2774" s="7" t="s">
        <v>93</v>
      </c>
      <c r="P2774" s="3" t="s">
        <v>673</v>
      </c>
      <c r="Q2774" s="8" t="s">
        <v>861</v>
      </c>
      <c r="R2774" s="7" t="s">
        <v>812</v>
      </c>
      <c r="S2774" s="9">
        <f>1+2+2</f>
        <v>5</v>
      </c>
      <c r="T2774" s="9">
        <v>6533</v>
      </c>
      <c r="U2774" s="9">
        <f t="shared" ref="U2774" si="1845">T2774*S2774</f>
        <v>32665</v>
      </c>
      <c r="V2774" s="9">
        <f t="shared" ref="V2774" si="1846">U2774*1.12</f>
        <v>36584.800000000003</v>
      </c>
      <c r="W2774" s="7"/>
      <c r="X2774" s="2">
        <v>2016</v>
      </c>
      <c r="Y2774" s="2"/>
    </row>
    <row r="2775" spans="1:25" s="11" customFormat="1" ht="89.25" customHeight="1" outlineLevel="1" x14ac:dyDescent="0.25">
      <c r="A2775" s="16"/>
      <c r="B2775" s="2" t="s">
        <v>7143</v>
      </c>
      <c r="C2775" s="3" t="s">
        <v>83</v>
      </c>
      <c r="D2775" s="3" t="s">
        <v>3522</v>
      </c>
      <c r="E2775" s="3" t="s">
        <v>3511</v>
      </c>
      <c r="F2775" s="3" t="s">
        <v>3523</v>
      </c>
      <c r="G2775" s="19"/>
      <c r="H2775" s="2" t="s">
        <v>88</v>
      </c>
      <c r="I2775" s="4">
        <v>0.4</v>
      </c>
      <c r="J2775" s="5">
        <v>710000000</v>
      </c>
      <c r="K2775" s="5" t="s">
        <v>89</v>
      </c>
      <c r="L2775" s="2" t="s">
        <v>754</v>
      </c>
      <c r="M2775" s="6" t="s">
        <v>787</v>
      </c>
      <c r="N2775" s="7" t="s">
        <v>92</v>
      </c>
      <c r="O2775" s="7" t="s">
        <v>93</v>
      </c>
      <c r="P2775" s="3" t="s">
        <v>94</v>
      </c>
      <c r="Q2775" s="8" t="s">
        <v>861</v>
      </c>
      <c r="R2775" s="7" t="s">
        <v>812</v>
      </c>
      <c r="S2775" s="9">
        <f>1+1</f>
        <v>2</v>
      </c>
      <c r="T2775" s="9">
        <v>5419</v>
      </c>
      <c r="U2775" s="9">
        <v>0</v>
      </c>
      <c r="V2775" s="9">
        <f t="shared" si="1788"/>
        <v>0</v>
      </c>
      <c r="W2775" s="7" t="s">
        <v>97</v>
      </c>
      <c r="X2775" s="2">
        <v>2016</v>
      </c>
      <c r="Y2775" s="2" t="s">
        <v>7670</v>
      </c>
    </row>
    <row r="2776" spans="1:25" s="11" customFormat="1" ht="89.25" customHeight="1" outlineLevel="1" x14ac:dyDescent="0.25">
      <c r="A2776" s="16"/>
      <c r="B2776" s="2" t="s">
        <v>8734</v>
      </c>
      <c r="C2776" s="3" t="s">
        <v>83</v>
      </c>
      <c r="D2776" s="3" t="s">
        <v>3522</v>
      </c>
      <c r="E2776" s="3" t="s">
        <v>3511</v>
      </c>
      <c r="F2776" s="3" t="s">
        <v>3523</v>
      </c>
      <c r="G2776" s="19"/>
      <c r="H2776" s="2" t="s">
        <v>88</v>
      </c>
      <c r="I2776" s="4">
        <v>0</v>
      </c>
      <c r="J2776" s="5">
        <v>710000000</v>
      </c>
      <c r="K2776" s="5" t="s">
        <v>89</v>
      </c>
      <c r="L2776" s="5" t="s">
        <v>8491</v>
      </c>
      <c r="M2776" s="6" t="s">
        <v>787</v>
      </c>
      <c r="N2776" s="7" t="s">
        <v>92</v>
      </c>
      <c r="O2776" s="7" t="s">
        <v>93</v>
      </c>
      <c r="P2776" s="3" t="s">
        <v>673</v>
      </c>
      <c r="Q2776" s="8" t="s">
        <v>861</v>
      </c>
      <c r="R2776" s="7" t="s">
        <v>812</v>
      </c>
      <c r="S2776" s="9">
        <f>1+1</f>
        <v>2</v>
      </c>
      <c r="T2776" s="9">
        <v>5419</v>
      </c>
      <c r="U2776" s="9">
        <f t="shared" ref="U2776" si="1847">T2776*S2776</f>
        <v>10838</v>
      </c>
      <c r="V2776" s="9">
        <f t="shared" ref="V2776" si="1848">U2776*1.12</f>
        <v>12138.560000000001</v>
      </c>
      <c r="W2776" s="7"/>
      <c r="X2776" s="2">
        <v>2016</v>
      </c>
      <c r="Y2776" s="2"/>
    </row>
    <row r="2777" spans="1:25" s="11" customFormat="1" ht="178.5" customHeight="1" outlineLevel="1" x14ac:dyDescent="0.25">
      <c r="A2777" s="16"/>
      <c r="B2777" s="2" t="s">
        <v>7144</v>
      </c>
      <c r="C2777" s="3" t="s">
        <v>83</v>
      </c>
      <c r="D2777" s="3" t="s">
        <v>3524</v>
      </c>
      <c r="E2777" s="3" t="s">
        <v>3525</v>
      </c>
      <c r="F2777" s="3" t="s">
        <v>3526</v>
      </c>
      <c r="G2777" s="19" t="s">
        <v>3527</v>
      </c>
      <c r="H2777" s="2" t="s">
        <v>88</v>
      </c>
      <c r="I2777" s="4">
        <v>0.4</v>
      </c>
      <c r="J2777" s="5">
        <v>710000000</v>
      </c>
      <c r="K2777" s="5" t="s">
        <v>89</v>
      </c>
      <c r="L2777" s="2" t="s">
        <v>754</v>
      </c>
      <c r="M2777" s="6" t="s">
        <v>787</v>
      </c>
      <c r="N2777" s="7" t="s">
        <v>92</v>
      </c>
      <c r="O2777" s="7" t="s">
        <v>93</v>
      </c>
      <c r="P2777" s="3" t="s">
        <v>94</v>
      </c>
      <c r="Q2777" s="8">
        <v>796</v>
      </c>
      <c r="R2777" s="7" t="s">
        <v>118</v>
      </c>
      <c r="S2777" s="9">
        <v>2</v>
      </c>
      <c r="T2777" s="9">
        <v>2205</v>
      </c>
      <c r="U2777" s="9">
        <v>0</v>
      </c>
      <c r="V2777" s="9">
        <f t="shared" si="1788"/>
        <v>0</v>
      </c>
      <c r="W2777" s="7" t="s">
        <v>97</v>
      </c>
      <c r="X2777" s="2">
        <v>2016</v>
      </c>
      <c r="Y2777" s="2" t="s">
        <v>7670</v>
      </c>
    </row>
    <row r="2778" spans="1:25" s="11" customFormat="1" ht="178.5" customHeight="1" outlineLevel="1" x14ac:dyDescent="0.25">
      <c r="A2778" s="16"/>
      <c r="B2778" s="2" t="s">
        <v>8736</v>
      </c>
      <c r="C2778" s="3" t="s">
        <v>83</v>
      </c>
      <c r="D2778" s="3" t="s">
        <v>3524</v>
      </c>
      <c r="E2778" s="3" t="s">
        <v>3525</v>
      </c>
      <c r="F2778" s="3" t="s">
        <v>3526</v>
      </c>
      <c r="G2778" s="19" t="s">
        <v>3527</v>
      </c>
      <c r="H2778" s="2" t="s">
        <v>88</v>
      </c>
      <c r="I2778" s="4">
        <v>0</v>
      </c>
      <c r="J2778" s="5">
        <v>710000000</v>
      </c>
      <c r="K2778" s="5" t="s">
        <v>89</v>
      </c>
      <c r="L2778" s="5" t="s">
        <v>8737</v>
      </c>
      <c r="M2778" s="6" t="s">
        <v>787</v>
      </c>
      <c r="N2778" s="7" t="s">
        <v>92</v>
      </c>
      <c r="O2778" s="7" t="s">
        <v>93</v>
      </c>
      <c r="P2778" s="3" t="s">
        <v>673</v>
      </c>
      <c r="Q2778" s="8">
        <v>796</v>
      </c>
      <c r="R2778" s="7" t="s">
        <v>118</v>
      </c>
      <c r="S2778" s="9">
        <v>2</v>
      </c>
      <c r="T2778" s="9">
        <v>2205</v>
      </c>
      <c r="U2778" s="9">
        <f t="shared" ref="U2778" si="1849">T2778*S2778</f>
        <v>4410</v>
      </c>
      <c r="V2778" s="9">
        <f t="shared" ref="V2778" si="1850">U2778*1.12</f>
        <v>4939.2000000000007</v>
      </c>
      <c r="W2778" s="7"/>
      <c r="X2778" s="2">
        <v>2016</v>
      </c>
      <c r="Y2778" s="2"/>
    </row>
    <row r="2779" spans="1:25" s="11" customFormat="1" ht="89.25" customHeight="1" outlineLevel="1" x14ac:dyDescent="0.25">
      <c r="A2779" s="1"/>
      <c r="B2779" s="2" t="s">
        <v>7145</v>
      </c>
      <c r="C2779" s="3" t="s">
        <v>83</v>
      </c>
      <c r="D2779" s="3" t="s">
        <v>3528</v>
      </c>
      <c r="E2779" s="3" t="s">
        <v>3529</v>
      </c>
      <c r="F2779" s="3" t="s">
        <v>3530</v>
      </c>
      <c r="G2779" s="3" t="s">
        <v>3531</v>
      </c>
      <c r="H2779" s="2" t="s">
        <v>88</v>
      </c>
      <c r="I2779" s="4">
        <v>0.4</v>
      </c>
      <c r="J2779" s="5">
        <v>710000000</v>
      </c>
      <c r="K2779" s="5" t="s">
        <v>89</v>
      </c>
      <c r="L2779" s="2" t="s">
        <v>754</v>
      </c>
      <c r="M2779" s="6" t="s">
        <v>787</v>
      </c>
      <c r="N2779" s="7" t="s">
        <v>92</v>
      </c>
      <c r="O2779" s="7" t="s">
        <v>93</v>
      </c>
      <c r="P2779" s="3" t="s">
        <v>94</v>
      </c>
      <c r="Q2779" s="8">
        <v>796</v>
      </c>
      <c r="R2779" s="7" t="s">
        <v>118</v>
      </c>
      <c r="S2779" s="9">
        <f>28+191+8+5+17+42+5+5+2+18+18+22+22+2</f>
        <v>385</v>
      </c>
      <c r="T2779" s="9">
        <v>953</v>
      </c>
      <c r="U2779" s="9">
        <v>0</v>
      </c>
      <c r="V2779" s="9">
        <f t="shared" si="1788"/>
        <v>0</v>
      </c>
      <c r="W2779" s="7" t="s">
        <v>97</v>
      </c>
      <c r="X2779" s="2">
        <v>2016</v>
      </c>
      <c r="Y2779" s="2">
        <v>6</v>
      </c>
    </row>
    <row r="2780" spans="1:25" s="11" customFormat="1" ht="89.25" customHeight="1" outlineLevel="1" x14ac:dyDescent="0.25">
      <c r="A2780" s="16"/>
      <c r="B2780" s="2" t="s">
        <v>7675</v>
      </c>
      <c r="C2780" s="3" t="s">
        <v>83</v>
      </c>
      <c r="D2780" s="3" t="s">
        <v>3528</v>
      </c>
      <c r="E2780" s="3" t="s">
        <v>3529</v>
      </c>
      <c r="F2780" s="3" t="s">
        <v>3530</v>
      </c>
      <c r="G2780" s="3" t="s">
        <v>7523</v>
      </c>
      <c r="H2780" s="2" t="s">
        <v>88</v>
      </c>
      <c r="I2780" s="4">
        <v>0.4</v>
      </c>
      <c r="J2780" s="5">
        <v>710000000</v>
      </c>
      <c r="K2780" s="5" t="s">
        <v>89</v>
      </c>
      <c r="L2780" s="2" t="s">
        <v>754</v>
      </c>
      <c r="M2780" s="6" t="s">
        <v>787</v>
      </c>
      <c r="N2780" s="7" t="s">
        <v>92</v>
      </c>
      <c r="O2780" s="7" t="s">
        <v>93</v>
      </c>
      <c r="P2780" s="3" t="s">
        <v>94</v>
      </c>
      <c r="Q2780" s="8">
        <v>796</v>
      </c>
      <c r="R2780" s="7" t="s">
        <v>118</v>
      </c>
      <c r="S2780" s="9">
        <f>28+191+8+5+17+42+5+5+2+18+18+22+22+2</f>
        <v>385</v>
      </c>
      <c r="T2780" s="9">
        <v>953</v>
      </c>
      <c r="U2780" s="9">
        <v>0</v>
      </c>
      <c r="V2780" s="9">
        <f t="shared" ref="V2780" si="1851">U2780*1.12</f>
        <v>0</v>
      </c>
      <c r="W2780" s="7" t="s">
        <v>97</v>
      </c>
      <c r="X2780" s="2">
        <v>2016</v>
      </c>
      <c r="Y2780" s="2" t="s">
        <v>7670</v>
      </c>
    </row>
    <row r="2781" spans="1:25" s="11" customFormat="1" ht="89.25" customHeight="1" outlineLevel="1" x14ac:dyDescent="0.25">
      <c r="A2781" s="16"/>
      <c r="B2781" s="2" t="s">
        <v>8738</v>
      </c>
      <c r="C2781" s="3" t="s">
        <v>83</v>
      </c>
      <c r="D2781" s="3" t="s">
        <v>3528</v>
      </c>
      <c r="E2781" s="3" t="s">
        <v>3529</v>
      </c>
      <c r="F2781" s="3" t="s">
        <v>3530</v>
      </c>
      <c r="G2781" s="3" t="s">
        <v>7523</v>
      </c>
      <c r="H2781" s="2" t="s">
        <v>88</v>
      </c>
      <c r="I2781" s="4">
        <v>0</v>
      </c>
      <c r="J2781" s="5">
        <v>710000000</v>
      </c>
      <c r="K2781" s="5" t="s">
        <v>89</v>
      </c>
      <c r="L2781" s="5" t="s">
        <v>8491</v>
      </c>
      <c r="M2781" s="6" t="s">
        <v>787</v>
      </c>
      <c r="N2781" s="7" t="s">
        <v>92</v>
      </c>
      <c r="O2781" s="7" t="s">
        <v>93</v>
      </c>
      <c r="P2781" s="3" t="s">
        <v>673</v>
      </c>
      <c r="Q2781" s="8">
        <v>796</v>
      </c>
      <c r="R2781" s="7" t="s">
        <v>118</v>
      </c>
      <c r="S2781" s="9">
        <f>28+191+8+5+17+42+5+5+2+18+18+22+22+2</f>
        <v>385</v>
      </c>
      <c r="T2781" s="9">
        <v>953</v>
      </c>
      <c r="U2781" s="9">
        <f t="shared" ref="U2781" si="1852">T2781*S2781</f>
        <v>366905</v>
      </c>
      <c r="V2781" s="9">
        <f t="shared" ref="V2781" si="1853">U2781*1.12</f>
        <v>410933.60000000003</v>
      </c>
      <c r="W2781" s="7"/>
      <c r="X2781" s="2">
        <v>2016</v>
      </c>
      <c r="Y2781" s="2"/>
    </row>
    <row r="2782" spans="1:25" s="11" customFormat="1" ht="89.25" customHeight="1" outlineLevel="1" x14ac:dyDescent="0.25">
      <c r="A2782" s="16"/>
      <c r="B2782" s="2" t="s">
        <v>7146</v>
      </c>
      <c r="C2782" s="3" t="s">
        <v>83</v>
      </c>
      <c r="D2782" s="3" t="s">
        <v>3532</v>
      </c>
      <c r="E2782" s="3" t="s">
        <v>3533</v>
      </c>
      <c r="F2782" s="3" t="s">
        <v>3534</v>
      </c>
      <c r="G2782" s="3"/>
      <c r="H2782" s="2" t="s">
        <v>88</v>
      </c>
      <c r="I2782" s="4">
        <v>0.4</v>
      </c>
      <c r="J2782" s="5">
        <v>710000000</v>
      </c>
      <c r="K2782" s="5" t="s">
        <v>89</v>
      </c>
      <c r="L2782" s="2" t="s">
        <v>754</v>
      </c>
      <c r="M2782" s="6" t="s">
        <v>787</v>
      </c>
      <c r="N2782" s="7" t="s">
        <v>92</v>
      </c>
      <c r="O2782" s="7" t="s">
        <v>93</v>
      </c>
      <c r="P2782" s="3" t="s">
        <v>94</v>
      </c>
      <c r="Q2782" s="8">
        <v>796</v>
      </c>
      <c r="R2782" s="7" t="s">
        <v>118</v>
      </c>
      <c r="S2782" s="9">
        <f>5+5+17</f>
        <v>27</v>
      </c>
      <c r="T2782" s="9">
        <v>622</v>
      </c>
      <c r="U2782" s="9">
        <v>0</v>
      </c>
      <c r="V2782" s="9">
        <f t="shared" si="1788"/>
        <v>0</v>
      </c>
      <c r="W2782" s="7" t="s">
        <v>97</v>
      </c>
      <c r="X2782" s="2">
        <v>2016</v>
      </c>
      <c r="Y2782" s="2" t="s">
        <v>7670</v>
      </c>
    </row>
    <row r="2783" spans="1:25" s="11" customFormat="1" ht="89.25" customHeight="1" outlineLevel="1" x14ac:dyDescent="0.25">
      <c r="A2783" s="16"/>
      <c r="B2783" s="2" t="s">
        <v>8739</v>
      </c>
      <c r="C2783" s="3" t="s">
        <v>83</v>
      </c>
      <c r="D2783" s="3" t="s">
        <v>3532</v>
      </c>
      <c r="E2783" s="3" t="s">
        <v>3533</v>
      </c>
      <c r="F2783" s="3" t="s">
        <v>3534</v>
      </c>
      <c r="G2783" s="3"/>
      <c r="H2783" s="2" t="s">
        <v>88</v>
      </c>
      <c r="I2783" s="4">
        <v>0</v>
      </c>
      <c r="J2783" s="5">
        <v>710000000</v>
      </c>
      <c r="K2783" s="5" t="s">
        <v>89</v>
      </c>
      <c r="L2783" s="5" t="s">
        <v>8491</v>
      </c>
      <c r="M2783" s="6" t="s">
        <v>787</v>
      </c>
      <c r="N2783" s="7" t="s">
        <v>92</v>
      </c>
      <c r="O2783" s="7" t="s">
        <v>93</v>
      </c>
      <c r="P2783" s="3" t="s">
        <v>673</v>
      </c>
      <c r="Q2783" s="8">
        <v>796</v>
      </c>
      <c r="R2783" s="7" t="s">
        <v>118</v>
      </c>
      <c r="S2783" s="9">
        <f>5+5+17</f>
        <v>27</v>
      </c>
      <c r="T2783" s="9">
        <v>622</v>
      </c>
      <c r="U2783" s="9">
        <f t="shared" ref="U2783" si="1854">T2783*S2783</f>
        <v>16794</v>
      </c>
      <c r="V2783" s="9">
        <f t="shared" ref="V2783" si="1855">U2783*1.12</f>
        <v>18809.280000000002</v>
      </c>
      <c r="W2783" s="7"/>
      <c r="X2783" s="2">
        <v>2016</v>
      </c>
      <c r="Y2783" s="2"/>
    </row>
    <row r="2784" spans="1:25" s="11" customFormat="1" ht="89.25" customHeight="1" outlineLevel="1" x14ac:dyDescent="0.25">
      <c r="A2784" s="16"/>
      <c r="B2784" s="2" t="s">
        <v>7147</v>
      </c>
      <c r="C2784" s="3" t="s">
        <v>83</v>
      </c>
      <c r="D2784" s="3" t="s">
        <v>3535</v>
      </c>
      <c r="E2784" s="3" t="s">
        <v>3536</v>
      </c>
      <c r="F2784" s="3" t="s">
        <v>3537</v>
      </c>
      <c r="G2784" s="3"/>
      <c r="H2784" s="2" t="s">
        <v>88</v>
      </c>
      <c r="I2784" s="4">
        <v>0.4</v>
      </c>
      <c r="J2784" s="5">
        <v>710000000</v>
      </c>
      <c r="K2784" s="5" t="s">
        <v>89</v>
      </c>
      <c r="L2784" s="2" t="s">
        <v>754</v>
      </c>
      <c r="M2784" s="6" t="s">
        <v>787</v>
      </c>
      <c r="N2784" s="7" t="s">
        <v>92</v>
      </c>
      <c r="O2784" s="7" t="s">
        <v>93</v>
      </c>
      <c r="P2784" s="3" t="s">
        <v>94</v>
      </c>
      <c r="Q2784" s="8">
        <v>796</v>
      </c>
      <c r="R2784" s="7" t="s">
        <v>118</v>
      </c>
      <c r="S2784" s="9">
        <f>5+22+17</f>
        <v>44</v>
      </c>
      <c r="T2784" s="9">
        <v>623</v>
      </c>
      <c r="U2784" s="9">
        <v>0</v>
      </c>
      <c r="V2784" s="9">
        <f t="shared" si="1788"/>
        <v>0</v>
      </c>
      <c r="W2784" s="7" t="s">
        <v>97</v>
      </c>
      <c r="X2784" s="2">
        <v>2016</v>
      </c>
      <c r="Y2784" s="2" t="s">
        <v>7670</v>
      </c>
    </row>
    <row r="2785" spans="1:25" s="11" customFormat="1" ht="89.25" customHeight="1" outlineLevel="1" x14ac:dyDescent="0.25">
      <c r="A2785" s="16"/>
      <c r="B2785" s="2" t="s">
        <v>8740</v>
      </c>
      <c r="C2785" s="3" t="s">
        <v>83</v>
      </c>
      <c r="D2785" s="3" t="s">
        <v>3535</v>
      </c>
      <c r="E2785" s="3" t="s">
        <v>3536</v>
      </c>
      <c r="F2785" s="3" t="s">
        <v>3537</v>
      </c>
      <c r="G2785" s="3"/>
      <c r="H2785" s="2" t="s">
        <v>88</v>
      </c>
      <c r="I2785" s="4">
        <v>0</v>
      </c>
      <c r="J2785" s="5">
        <v>710000000</v>
      </c>
      <c r="K2785" s="5" t="s">
        <v>89</v>
      </c>
      <c r="L2785" s="5" t="s">
        <v>8491</v>
      </c>
      <c r="M2785" s="6" t="s">
        <v>787</v>
      </c>
      <c r="N2785" s="7" t="s">
        <v>92</v>
      </c>
      <c r="O2785" s="7" t="s">
        <v>93</v>
      </c>
      <c r="P2785" s="3" t="s">
        <v>673</v>
      </c>
      <c r="Q2785" s="8">
        <v>796</v>
      </c>
      <c r="R2785" s="7" t="s">
        <v>118</v>
      </c>
      <c r="S2785" s="9">
        <f>5+22+17</f>
        <v>44</v>
      </c>
      <c r="T2785" s="9">
        <v>623</v>
      </c>
      <c r="U2785" s="9">
        <f t="shared" ref="U2785" si="1856">T2785*S2785</f>
        <v>27412</v>
      </c>
      <c r="V2785" s="9">
        <f t="shared" ref="V2785" si="1857">U2785*1.12</f>
        <v>30701.440000000002</v>
      </c>
      <c r="W2785" s="7"/>
      <c r="X2785" s="2">
        <v>2016</v>
      </c>
      <c r="Y2785" s="2"/>
    </row>
    <row r="2786" spans="1:25" s="11" customFormat="1" ht="242.25" customHeight="1" outlineLevel="1" x14ac:dyDescent="0.25">
      <c r="A2786" s="16"/>
      <c r="B2786" s="2" t="s">
        <v>7148</v>
      </c>
      <c r="C2786" s="3" t="s">
        <v>83</v>
      </c>
      <c r="D2786" s="3" t="s">
        <v>3538</v>
      </c>
      <c r="E2786" s="3" t="s">
        <v>3539</v>
      </c>
      <c r="F2786" s="3" t="s">
        <v>3540</v>
      </c>
      <c r="G2786" s="3" t="s">
        <v>3541</v>
      </c>
      <c r="H2786" s="2" t="s">
        <v>88</v>
      </c>
      <c r="I2786" s="4">
        <v>0.4</v>
      </c>
      <c r="J2786" s="5">
        <v>710000000</v>
      </c>
      <c r="K2786" s="5" t="s">
        <v>89</v>
      </c>
      <c r="L2786" s="2" t="s">
        <v>754</v>
      </c>
      <c r="M2786" s="6" t="s">
        <v>787</v>
      </c>
      <c r="N2786" s="7" t="s">
        <v>92</v>
      </c>
      <c r="O2786" s="7" t="s">
        <v>93</v>
      </c>
      <c r="P2786" s="3" t="s">
        <v>94</v>
      </c>
      <c r="Q2786" s="8" t="s">
        <v>2458</v>
      </c>
      <c r="R2786" s="7" t="s">
        <v>2459</v>
      </c>
      <c r="S2786" s="9">
        <f>18+35+14</f>
        <v>67</v>
      </c>
      <c r="T2786" s="9">
        <v>7679</v>
      </c>
      <c r="U2786" s="9">
        <v>0</v>
      </c>
      <c r="V2786" s="9">
        <f t="shared" si="1788"/>
        <v>0</v>
      </c>
      <c r="W2786" s="7" t="s">
        <v>97</v>
      </c>
      <c r="X2786" s="2">
        <v>2016</v>
      </c>
      <c r="Y2786" s="2" t="s">
        <v>7670</v>
      </c>
    </row>
    <row r="2787" spans="1:25" s="11" customFormat="1" ht="242.25" customHeight="1" outlineLevel="1" x14ac:dyDescent="0.25">
      <c r="A2787" s="16"/>
      <c r="B2787" s="2" t="s">
        <v>8741</v>
      </c>
      <c r="C2787" s="3" t="s">
        <v>83</v>
      </c>
      <c r="D2787" s="3" t="s">
        <v>3538</v>
      </c>
      <c r="E2787" s="3" t="s">
        <v>3539</v>
      </c>
      <c r="F2787" s="3" t="s">
        <v>3540</v>
      </c>
      <c r="G2787" s="3" t="s">
        <v>3541</v>
      </c>
      <c r="H2787" s="2" t="s">
        <v>88</v>
      </c>
      <c r="I2787" s="4">
        <v>0</v>
      </c>
      <c r="J2787" s="5">
        <v>710000000</v>
      </c>
      <c r="K2787" s="5" t="s">
        <v>89</v>
      </c>
      <c r="L2787" s="5" t="s">
        <v>8491</v>
      </c>
      <c r="M2787" s="6" t="s">
        <v>787</v>
      </c>
      <c r="N2787" s="7" t="s">
        <v>92</v>
      </c>
      <c r="O2787" s="7" t="s">
        <v>93</v>
      </c>
      <c r="P2787" s="3" t="s">
        <v>673</v>
      </c>
      <c r="Q2787" s="8" t="s">
        <v>2458</v>
      </c>
      <c r="R2787" s="7" t="s">
        <v>2459</v>
      </c>
      <c r="S2787" s="9">
        <f>18+35+14</f>
        <v>67</v>
      </c>
      <c r="T2787" s="9">
        <v>7679</v>
      </c>
      <c r="U2787" s="9">
        <v>0</v>
      </c>
      <c r="V2787" s="9">
        <f t="shared" ref="V2787" si="1858">U2787*1.12</f>
        <v>0</v>
      </c>
      <c r="W2787" s="7"/>
      <c r="X2787" s="2">
        <v>2016</v>
      </c>
      <c r="Y2787" s="2" t="s">
        <v>9700</v>
      </c>
    </row>
    <row r="2788" spans="1:25" s="11" customFormat="1" ht="242.25" customHeight="1" outlineLevel="1" x14ac:dyDescent="0.25">
      <c r="A2788" s="16"/>
      <c r="B2788" s="2" t="s">
        <v>9684</v>
      </c>
      <c r="C2788" s="3" t="s">
        <v>83</v>
      </c>
      <c r="D2788" s="3" t="s">
        <v>3538</v>
      </c>
      <c r="E2788" s="3" t="s">
        <v>3539</v>
      </c>
      <c r="F2788" s="3" t="s">
        <v>3540</v>
      </c>
      <c r="G2788" s="3" t="s">
        <v>3541</v>
      </c>
      <c r="H2788" s="2" t="s">
        <v>88</v>
      </c>
      <c r="I2788" s="4">
        <v>0</v>
      </c>
      <c r="J2788" s="5">
        <v>710000000</v>
      </c>
      <c r="K2788" s="5" t="s">
        <v>89</v>
      </c>
      <c r="L2788" s="5" t="s">
        <v>8491</v>
      </c>
      <c r="M2788" s="6" t="s">
        <v>766</v>
      </c>
      <c r="N2788" s="7" t="s">
        <v>92</v>
      </c>
      <c r="O2788" s="7" t="s">
        <v>93</v>
      </c>
      <c r="P2788" s="3" t="s">
        <v>673</v>
      </c>
      <c r="Q2788" s="8" t="s">
        <v>2458</v>
      </c>
      <c r="R2788" s="7" t="s">
        <v>2459</v>
      </c>
      <c r="S2788" s="9">
        <f>18+35+14+43</f>
        <v>110</v>
      </c>
      <c r="T2788" s="9">
        <v>7679</v>
      </c>
      <c r="U2788" s="9">
        <f t="shared" ref="U2788" si="1859">T2788*S2788</f>
        <v>844690</v>
      </c>
      <c r="V2788" s="9">
        <f t="shared" ref="V2788" si="1860">U2788*1.12</f>
        <v>946052.8</v>
      </c>
      <c r="W2788" s="7"/>
      <c r="X2788" s="2">
        <v>2016</v>
      </c>
      <c r="Y2788" s="2"/>
    </row>
    <row r="2789" spans="1:25" s="11" customFormat="1" ht="89.25" customHeight="1" outlineLevel="1" x14ac:dyDescent="0.25">
      <c r="A2789" s="16"/>
      <c r="B2789" s="2" t="s">
        <v>7149</v>
      </c>
      <c r="C2789" s="3" t="s">
        <v>83</v>
      </c>
      <c r="D2789" s="3" t="s">
        <v>3542</v>
      </c>
      <c r="E2789" s="3" t="s">
        <v>3543</v>
      </c>
      <c r="F2789" s="3" t="s">
        <v>3544</v>
      </c>
      <c r="G2789" s="3" t="s">
        <v>3545</v>
      </c>
      <c r="H2789" s="2" t="s">
        <v>88</v>
      </c>
      <c r="I2789" s="4">
        <v>0.4</v>
      </c>
      <c r="J2789" s="5">
        <v>710000000</v>
      </c>
      <c r="K2789" s="5" t="s">
        <v>89</v>
      </c>
      <c r="L2789" s="2" t="s">
        <v>754</v>
      </c>
      <c r="M2789" s="6" t="s">
        <v>787</v>
      </c>
      <c r="N2789" s="7" t="s">
        <v>92</v>
      </c>
      <c r="O2789" s="7" t="s">
        <v>93</v>
      </c>
      <c r="P2789" s="3" t="s">
        <v>94</v>
      </c>
      <c r="Q2789" s="8" t="s">
        <v>2458</v>
      </c>
      <c r="R2789" s="7" t="s">
        <v>2459</v>
      </c>
      <c r="S2789" s="9">
        <f>15+74+5+5+3+150+2+2</f>
        <v>256</v>
      </c>
      <c r="T2789" s="9">
        <v>4464</v>
      </c>
      <c r="U2789" s="9">
        <v>0</v>
      </c>
      <c r="V2789" s="9">
        <f t="shared" si="1788"/>
        <v>0</v>
      </c>
      <c r="W2789" s="7" t="s">
        <v>97</v>
      </c>
      <c r="X2789" s="2">
        <v>2016</v>
      </c>
      <c r="Y2789" s="2" t="s">
        <v>7670</v>
      </c>
    </row>
    <row r="2790" spans="1:25" s="11" customFormat="1" ht="89.25" customHeight="1" outlineLevel="1" x14ac:dyDescent="0.25">
      <c r="A2790" s="16"/>
      <c r="B2790" s="2" t="s">
        <v>8742</v>
      </c>
      <c r="C2790" s="3" t="s">
        <v>83</v>
      </c>
      <c r="D2790" s="3" t="s">
        <v>3542</v>
      </c>
      <c r="E2790" s="3" t="s">
        <v>3543</v>
      </c>
      <c r="F2790" s="3" t="s">
        <v>3544</v>
      </c>
      <c r="G2790" s="3" t="s">
        <v>3545</v>
      </c>
      <c r="H2790" s="2" t="s">
        <v>88</v>
      </c>
      <c r="I2790" s="4">
        <v>0</v>
      </c>
      <c r="J2790" s="5">
        <v>710000000</v>
      </c>
      <c r="K2790" s="5" t="s">
        <v>89</v>
      </c>
      <c r="L2790" s="5" t="s">
        <v>8491</v>
      </c>
      <c r="M2790" s="6" t="s">
        <v>787</v>
      </c>
      <c r="N2790" s="7" t="s">
        <v>92</v>
      </c>
      <c r="O2790" s="7" t="s">
        <v>93</v>
      </c>
      <c r="P2790" s="3" t="s">
        <v>673</v>
      </c>
      <c r="Q2790" s="8" t="s">
        <v>2458</v>
      </c>
      <c r="R2790" s="7" t="s">
        <v>2459</v>
      </c>
      <c r="S2790" s="9">
        <f>15+74+5+5+3+150+2+2</f>
        <v>256</v>
      </c>
      <c r="T2790" s="9">
        <v>4464</v>
      </c>
      <c r="U2790" s="9">
        <f t="shared" ref="U2790" si="1861">T2790*S2790</f>
        <v>1142784</v>
      </c>
      <c r="V2790" s="9">
        <f t="shared" ref="V2790" si="1862">U2790*1.12</f>
        <v>1279918.0800000001</v>
      </c>
      <c r="W2790" s="7"/>
      <c r="X2790" s="2">
        <v>2016</v>
      </c>
      <c r="Y2790" s="2"/>
    </row>
    <row r="2791" spans="1:25" s="11" customFormat="1" ht="242.25" customHeight="1" outlineLevel="1" x14ac:dyDescent="0.25">
      <c r="A2791" s="16"/>
      <c r="B2791" s="2" t="s">
        <v>7150</v>
      </c>
      <c r="C2791" s="3" t="s">
        <v>83</v>
      </c>
      <c r="D2791" s="3" t="s">
        <v>3546</v>
      </c>
      <c r="E2791" s="3" t="s">
        <v>3543</v>
      </c>
      <c r="F2791" s="3" t="s">
        <v>3547</v>
      </c>
      <c r="G2791" s="3" t="s">
        <v>3548</v>
      </c>
      <c r="H2791" s="2" t="s">
        <v>88</v>
      </c>
      <c r="I2791" s="4">
        <v>0.4</v>
      </c>
      <c r="J2791" s="5">
        <v>710000000</v>
      </c>
      <c r="K2791" s="5" t="s">
        <v>89</v>
      </c>
      <c r="L2791" s="2" t="s">
        <v>754</v>
      </c>
      <c r="M2791" s="6" t="s">
        <v>787</v>
      </c>
      <c r="N2791" s="7" t="s">
        <v>92</v>
      </c>
      <c r="O2791" s="7" t="s">
        <v>93</v>
      </c>
      <c r="P2791" s="3" t="s">
        <v>94</v>
      </c>
      <c r="Q2791" s="8" t="s">
        <v>2458</v>
      </c>
      <c r="R2791" s="7" t="s">
        <v>2459</v>
      </c>
      <c r="S2791" s="9">
        <f>13+82+3+1+5+36+42+17</f>
        <v>199</v>
      </c>
      <c r="T2791" s="9">
        <v>5653</v>
      </c>
      <c r="U2791" s="9">
        <v>0</v>
      </c>
      <c r="V2791" s="9">
        <f t="shared" si="1788"/>
        <v>0</v>
      </c>
      <c r="W2791" s="7" t="s">
        <v>97</v>
      </c>
      <c r="X2791" s="2">
        <v>2016</v>
      </c>
      <c r="Y2791" s="2" t="s">
        <v>7670</v>
      </c>
    </row>
    <row r="2792" spans="1:25" s="11" customFormat="1" ht="242.25" customHeight="1" outlineLevel="1" x14ac:dyDescent="0.25">
      <c r="A2792" s="16"/>
      <c r="B2792" s="2" t="s">
        <v>8743</v>
      </c>
      <c r="C2792" s="3" t="s">
        <v>83</v>
      </c>
      <c r="D2792" s="3" t="s">
        <v>3546</v>
      </c>
      <c r="E2792" s="3" t="s">
        <v>3543</v>
      </c>
      <c r="F2792" s="3" t="s">
        <v>3547</v>
      </c>
      <c r="G2792" s="3" t="s">
        <v>3548</v>
      </c>
      <c r="H2792" s="2" t="s">
        <v>88</v>
      </c>
      <c r="I2792" s="4">
        <v>0</v>
      </c>
      <c r="J2792" s="5">
        <v>710000000</v>
      </c>
      <c r="K2792" s="5" t="s">
        <v>89</v>
      </c>
      <c r="L2792" s="5" t="s">
        <v>8491</v>
      </c>
      <c r="M2792" s="6" t="s">
        <v>787</v>
      </c>
      <c r="N2792" s="7" t="s">
        <v>92</v>
      </c>
      <c r="O2792" s="7" t="s">
        <v>93</v>
      </c>
      <c r="P2792" s="3" t="s">
        <v>673</v>
      </c>
      <c r="Q2792" s="8" t="s">
        <v>2458</v>
      </c>
      <c r="R2792" s="7" t="s">
        <v>2459</v>
      </c>
      <c r="S2792" s="9">
        <f>13+82+3+1+5+36+42+17</f>
        <v>199</v>
      </c>
      <c r="T2792" s="9">
        <v>5653</v>
      </c>
      <c r="U2792" s="9">
        <f t="shared" ref="U2792" si="1863">T2792*S2792</f>
        <v>1124947</v>
      </c>
      <c r="V2792" s="9">
        <f t="shared" ref="V2792" si="1864">U2792*1.12</f>
        <v>1259940.6400000001</v>
      </c>
      <c r="W2792" s="7"/>
      <c r="X2792" s="2">
        <v>2016</v>
      </c>
      <c r="Y2792" s="2"/>
    </row>
    <row r="2793" spans="1:25" s="11" customFormat="1" ht="89.25" customHeight="1" outlineLevel="1" x14ac:dyDescent="0.25">
      <c r="A2793" s="16"/>
      <c r="B2793" s="2" t="s">
        <v>7151</v>
      </c>
      <c r="C2793" s="3" t="s">
        <v>83</v>
      </c>
      <c r="D2793" s="3" t="s">
        <v>3549</v>
      </c>
      <c r="E2793" s="3" t="s">
        <v>3550</v>
      </c>
      <c r="F2793" s="3" t="s">
        <v>3551</v>
      </c>
      <c r="G2793" s="3" t="s">
        <v>3552</v>
      </c>
      <c r="H2793" s="2" t="s">
        <v>88</v>
      </c>
      <c r="I2793" s="4">
        <v>0.4</v>
      </c>
      <c r="J2793" s="5">
        <v>710000000</v>
      </c>
      <c r="K2793" s="5" t="s">
        <v>89</v>
      </c>
      <c r="L2793" s="2" t="s">
        <v>754</v>
      </c>
      <c r="M2793" s="6" t="s">
        <v>787</v>
      </c>
      <c r="N2793" s="7" t="s">
        <v>92</v>
      </c>
      <c r="O2793" s="7" t="s">
        <v>93</v>
      </c>
      <c r="P2793" s="3" t="s">
        <v>94</v>
      </c>
      <c r="Q2793" s="8" t="s">
        <v>2458</v>
      </c>
      <c r="R2793" s="7" t="s">
        <v>2459</v>
      </c>
      <c r="S2793" s="9">
        <f>1+4+1+4</f>
        <v>10</v>
      </c>
      <c r="T2793" s="9">
        <v>1979</v>
      </c>
      <c r="U2793" s="9">
        <v>0</v>
      </c>
      <c r="V2793" s="9">
        <f t="shared" si="1788"/>
        <v>0</v>
      </c>
      <c r="W2793" s="7" t="s">
        <v>97</v>
      </c>
      <c r="X2793" s="2">
        <v>2016</v>
      </c>
      <c r="Y2793" s="2" t="s">
        <v>7670</v>
      </c>
    </row>
    <row r="2794" spans="1:25" s="11" customFormat="1" ht="89.25" customHeight="1" outlineLevel="1" x14ac:dyDescent="0.25">
      <c r="A2794" s="16"/>
      <c r="B2794" s="2" t="s">
        <v>8744</v>
      </c>
      <c r="C2794" s="3" t="s">
        <v>83</v>
      </c>
      <c r="D2794" s="3" t="s">
        <v>3549</v>
      </c>
      <c r="E2794" s="3" t="s">
        <v>3550</v>
      </c>
      <c r="F2794" s="3" t="s">
        <v>3551</v>
      </c>
      <c r="G2794" s="3" t="s">
        <v>3552</v>
      </c>
      <c r="H2794" s="2" t="s">
        <v>88</v>
      </c>
      <c r="I2794" s="4">
        <v>0</v>
      </c>
      <c r="J2794" s="5">
        <v>710000000</v>
      </c>
      <c r="K2794" s="5" t="s">
        <v>89</v>
      </c>
      <c r="L2794" s="5" t="s">
        <v>8491</v>
      </c>
      <c r="M2794" s="6" t="s">
        <v>787</v>
      </c>
      <c r="N2794" s="7" t="s">
        <v>92</v>
      </c>
      <c r="O2794" s="7" t="s">
        <v>93</v>
      </c>
      <c r="P2794" s="3" t="s">
        <v>673</v>
      </c>
      <c r="Q2794" s="8" t="s">
        <v>2458</v>
      </c>
      <c r="R2794" s="7" t="s">
        <v>2459</v>
      </c>
      <c r="S2794" s="9">
        <f>1+4+1+4</f>
        <v>10</v>
      </c>
      <c r="T2794" s="9">
        <v>1979</v>
      </c>
      <c r="U2794" s="9">
        <f t="shared" ref="U2794" si="1865">T2794*S2794</f>
        <v>19790</v>
      </c>
      <c r="V2794" s="9">
        <f t="shared" ref="V2794" si="1866">U2794*1.12</f>
        <v>22164.800000000003</v>
      </c>
      <c r="W2794" s="7"/>
      <c r="X2794" s="2">
        <v>2016</v>
      </c>
      <c r="Y2794" s="2"/>
    </row>
    <row r="2795" spans="1:25" s="11" customFormat="1" ht="89.25" customHeight="1" outlineLevel="1" x14ac:dyDescent="0.25">
      <c r="A2795" s="16"/>
      <c r="B2795" s="2" t="s">
        <v>7152</v>
      </c>
      <c r="C2795" s="3" t="s">
        <v>83</v>
      </c>
      <c r="D2795" s="3" t="s">
        <v>3553</v>
      </c>
      <c r="E2795" s="3" t="s">
        <v>3554</v>
      </c>
      <c r="F2795" s="3" t="s">
        <v>3555</v>
      </c>
      <c r="G2795" s="3"/>
      <c r="H2795" s="2" t="s">
        <v>88</v>
      </c>
      <c r="I2795" s="4">
        <v>0.4</v>
      </c>
      <c r="J2795" s="5">
        <v>710000000</v>
      </c>
      <c r="K2795" s="5" t="s">
        <v>89</v>
      </c>
      <c r="L2795" s="2" t="s">
        <v>754</v>
      </c>
      <c r="M2795" s="6" t="s">
        <v>787</v>
      </c>
      <c r="N2795" s="7" t="s">
        <v>92</v>
      </c>
      <c r="O2795" s="7" t="s">
        <v>93</v>
      </c>
      <c r="P2795" s="3" t="s">
        <v>94</v>
      </c>
      <c r="Q2795" s="8" t="s">
        <v>2458</v>
      </c>
      <c r="R2795" s="7" t="s">
        <v>2459</v>
      </c>
      <c r="S2795" s="9">
        <v>2</v>
      </c>
      <c r="T2795" s="9">
        <v>3632</v>
      </c>
      <c r="U2795" s="9">
        <v>0</v>
      </c>
      <c r="V2795" s="9">
        <f t="shared" si="1788"/>
        <v>0</v>
      </c>
      <c r="W2795" s="7" t="s">
        <v>97</v>
      </c>
      <c r="X2795" s="2">
        <v>2016</v>
      </c>
      <c r="Y2795" s="2" t="s">
        <v>7670</v>
      </c>
    </row>
    <row r="2796" spans="1:25" s="11" customFormat="1" ht="89.25" customHeight="1" outlineLevel="1" x14ac:dyDescent="0.25">
      <c r="A2796" s="16"/>
      <c r="B2796" s="2" t="s">
        <v>8745</v>
      </c>
      <c r="C2796" s="3" t="s">
        <v>83</v>
      </c>
      <c r="D2796" s="3" t="s">
        <v>3553</v>
      </c>
      <c r="E2796" s="3" t="s">
        <v>3554</v>
      </c>
      <c r="F2796" s="3" t="s">
        <v>3555</v>
      </c>
      <c r="G2796" s="3"/>
      <c r="H2796" s="2" t="s">
        <v>88</v>
      </c>
      <c r="I2796" s="4">
        <v>0</v>
      </c>
      <c r="J2796" s="5">
        <v>710000000</v>
      </c>
      <c r="K2796" s="5" t="s">
        <v>89</v>
      </c>
      <c r="L2796" s="5" t="s">
        <v>8491</v>
      </c>
      <c r="M2796" s="6" t="s">
        <v>787</v>
      </c>
      <c r="N2796" s="7" t="s">
        <v>92</v>
      </c>
      <c r="O2796" s="7" t="s">
        <v>93</v>
      </c>
      <c r="P2796" s="3" t="s">
        <v>673</v>
      </c>
      <c r="Q2796" s="8" t="s">
        <v>2458</v>
      </c>
      <c r="R2796" s="7" t="s">
        <v>2459</v>
      </c>
      <c r="S2796" s="9">
        <v>2</v>
      </c>
      <c r="T2796" s="9">
        <v>3632</v>
      </c>
      <c r="U2796" s="9">
        <f t="shared" ref="U2796" si="1867">T2796*S2796</f>
        <v>7264</v>
      </c>
      <c r="V2796" s="9">
        <f t="shared" ref="V2796" si="1868">U2796*1.12</f>
        <v>8135.6800000000012</v>
      </c>
      <c r="W2796" s="7"/>
      <c r="X2796" s="2">
        <v>2016</v>
      </c>
      <c r="Y2796" s="2"/>
    </row>
    <row r="2797" spans="1:25" s="11" customFormat="1" ht="89.25" customHeight="1" outlineLevel="1" x14ac:dyDescent="0.25">
      <c r="A2797" s="16"/>
      <c r="B2797" s="2" t="s">
        <v>7153</v>
      </c>
      <c r="C2797" s="3" t="s">
        <v>83</v>
      </c>
      <c r="D2797" s="3" t="s">
        <v>3556</v>
      </c>
      <c r="E2797" s="3" t="s">
        <v>3557</v>
      </c>
      <c r="F2797" s="3" t="s">
        <v>3558</v>
      </c>
      <c r="G2797" s="3"/>
      <c r="H2797" s="2" t="s">
        <v>88</v>
      </c>
      <c r="I2797" s="4">
        <v>0.4</v>
      </c>
      <c r="J2797" s="5">
        <v>710000000</v>
      </c>
      <c r="K2797" s="5" t="s">
        <v>89</v>
      </c>
      <c r="L2797" s="2" t="s">
        <v>754</v>
      </c>
      <c r="M2797" s="6" t="s">
        <v>787</v>
      </c>
      <c r="N2797" s="7" t="s">
        <v>92</v>
      </c>
      <c r="O2797" s="7" t="s">
        <v>93</v>
      </c>
      <c r="P2797" s="3" t="s">
        <v>94</v>
      </c>
      <c r="Q2797" s="8" t="s">
        <v>2458</v>
      </c>
      <c r="R2797" s="7" t="s">
        <v>2459</v>
      </c>
      <c r="S2797" s="9">
        <v>3</v>
      </c>
      <c r="T2797" s="9">
        <v>2063</v>
      </c>
      <c r="U2797" s="9">
        <v>0</v>
      </c>
      <c r="V2797" s="9">
        <f t="shared" si="1788"/>
        <v>0</v>
      </c>
      <c r="W2797" s="7" t="s">
        <v>97</v>
      </c>
      <c r="X2797" s="2">
        <v>2016</v>
      </c>
      <c r="Y2797" s="2" t="s">
        <v>7670</v>
      </c>
    </row>
    <row r="2798" spans="1:25" s="11" customFormat="1" ht="89.25" customHeight="1" outlineLevel="1" x14ac:dyDescent="0.25">
      <c r="A2798" s="16"/>
      <c r="B2798" s="2" t="s">
        <v>8746</v>
      </c>
      <c r="C2798" s="3" t="s">
        <v>83</v>
      </c>
      <c r="D2798" s="3" t="s">
        <v>3556</v>
      </c>
      <c r="E2798" s="3" t="s">
        <v>3557</v>
      </c>
      <c r="F2798" s="3" t="s">
        <v>3558</v>
      </c>
      <c r="G2798" s="3"/>
      <c r="H2798" s="2" t="s">
        <v>88</v>
      </c>
      <c r="I2798" s="4">
        <v>0</v>
      </c>
      <c r="J2798" s="5">
        <v>710000000</v>
      </c>
      <c r="K2798" s="5" t="s">
        <v>89</v>
      </c>
      <c r="L2798" s="5" t="s">
        <v>8491</v>
      </c>
      <c r="M2798" s="6" t="s">
        <v>787</v>
      </c>
      <c r="N2798" s="7" t="s">
        <v>92</v>
      </c>
      <c r="O2798" s="7" t="s">
        <v>93</v>
      </c>
      <c r="P2798" s="3" t="s">
        <v>673</v>
      </c>
      <c r="Q2798" s="8" t="s">
        <v>2458</v>
      </c>
      <c r="R2798" s="7" t="s">
        <v>2459</v>
      </c>
      <c r="S2798" s="9">
        <v>3</v>
      </c>
      <c r="T2798" s="9">
        <v>2063</v>
      </c>
      <c r="U2798" s="9">
        <f t="shared" ref="U2798" si="1869">T2798*S2798</f>
        <v>6189</v>
      </c>
      <c r="V2798" s="9">
        <f t="shared" ref="V2798" si="1870">U2798*1.12</f>
        <v>6931.68</v>
      </c>
      <c r="W2798" s="7"/>
      <c r="X2798" s="2">
        <v>2016</v>
      </c>
      <c r="Y2798" s="2"/>
    </row>
    <row r="2799" spans="1:25" s="11" customFormat="1" ht="89.25" customHeight="1" outlineLevel="1" x14ac:dyDescent="0.25">
      <c r="A2799" s="16"/>
      <c r="B2799" s="2" t="s">
        <v>7154</v>
      </c>
      <c r="C2799" s="3" t="s">
        <v>83</v>
      </c>
      <c r="D2799" s="3" t="s">
        <v>3559</v>
      </c>
      <c r="E2799" s="3" t="s">
        <v>3560</v>
      </c>
      <c r="F2799" s="3" t="s">
        <v>3561</v>
      </c>
      <c r="G2799" s="3"/>
      <c r="H2799" s="2" t="s">
        <v>88</v>
      </c>
      <c r="I2799" s="4">
        <v>0.4</v>
      </c>
      <c r="J2799" s="5">
        <v>710000000</v>
      </c>
      <c r="K2799" s="5" t="s">
        <v>89</v>
      </c>
      <c r="L2799" s="2" t="s">
        <v>754</v>
      </c>
      <c r="M2799" s="6" t="s">
        <v>787</v>
      </c>
      <c r="N2799" s="7" t="s">
        <v>92</v>
      </c>
      <c r="O2799" s="7" t="s">
        <v>93</v>
      </c>
      <c r="P2799" s="3" t="s">
        <v>94</v>
      </c>
      <c r="Q2799" s="8">
        <v>796</v>
      </c>
      <c r="R2799" s="7" t="s">
        <v>118</v>
      </c>
      <c r="S2799" s="9">
        <f>4+10</f>
        <v>14</v>
      </c>
      <c r="T2799" s="9">
        <v>2043</v>
      </c>
      <c r="U2799" s="9">
        <v>0</v>
      </c>
      <c r="V2799" s="9">
        <f t="shared" si="1788"/>
        <v>0</v>
      </c>
      <c r="W2799" s="7" t="s">
        <v>97</v>
      </c>
      <c r="X2799" s="2">
        <v>2016</v>
      </c>
      <c r="Y2799" s="2" t="s">
        <v>7670</v>
      </c>
    </row>
    <row r="2800" spans="1:25" s="11" customFormat="1" ht="89.25" customHeight="1" outlineLevel="1" x14ac:dyDescent="0.25">
      <c r="A2800" s="16"/>
      <c r="B2800" s="2" t="s">
        <v>8747</v>
      </c>
      <c r="C2800" s="3" t="s">
        <v>83</v>
      </c>
      <c r="D2800" s="3" t="s">
        <v>3559</v>
      </c>
      <c r="E2800" s="3" t="s">
        <v>3560</v>
      </c>
      <c r="F2800" s="3" t="s">
        <v>3561</v>
      </c>
      <c r="G2800" s="3"/>
      <c r="H2800" s="2" t="s">
        <v>88</v>
      </c>
      <c r="I2800" s="4">
        <v>0</v>
      </c>
      <c r="J2800" s="5">
        <v>710000000</v>
      </c>
      <c r="K2800" s="5" t="s">
        <v>89</v>
      </c>
      <c r="L2800" s="5" t="s">
        <v>8491</v>
      </c>
      <c r="M2800" s="6" t="s">
        <v>787</v>
      </c>
      <c r="N2800" s="7" t="s">
        <v>92</v>
      </c>
      <c r="O2800" s="7" t="s">
        <v>93</v>
      </c>
      <c r="P2800" s="3" t="s">
        <v>673</v>
      </c>
      <c r="Q2800" s="8">
        <v>796</v>
      </c>
      <c r="R2800" s="7" t="s">
        <v>118</v>
      </c>
      <c r="S2800" s="9">
        <f>4+10</f>
        <v>14</v>
      </c>
      <c r="T2800" s="9">
        <v>2043</v>
      </c>
      <c r="U2800" s="9">
        <f t="shared" ref="U2800" si="1871">T2800*S2800</f>
        <v>28602</v>
      </c>
      <c r="V2800" s="9">
        <f t="shared" ref="V2800" si="1872">U2800*1.12</f>
        <v>32034.240000000002</v>
      </c>
      <c r="W2800" s="7"/>
      <c r="X2800" s="2">
        <v>2016</v>
      </c>
      <c r="Y2800" s="2"/>
    </row>
    <row r="2801" spans="1:25" s="11" customFormat="1" ht="89.25" customHeight="1" outlineLevel="1" x14ac:dyDescent="0.25">
      <c r="A2801" s="16"/>
      <c r="B2801" s="2" t="s">
        <v>7155</v>
      </c>
      <c r="C2801" s="3" t="s">
        <v>83</v>
      </c>
      <c r="D2801" s="3" t="s">
        <v>3562</v>
      </c>
      <c r="E2801" s="3" t="s">
        <v>3563</v>
      </c>
      <c r="F2801" s="3" t="s">
        <v>3564</v>
      </c>
      <c r="G2801" s="3" t="s">
        <v>3565</v>
      </c>
      <c r="H2801" s="2" t="s">
        <v>88</v>
      </c>
      <c r="I2801" s="4">
        <v>0.4</v>
      </c>
      <c r="J2801" s="5">
        <v>710000000</v>
      </c>
      <c r="K2801" s="5" t="s">
        <v>89</v>
      </c>
      <c r="L2801" s="2" t="s">
        <v>754</v>
      </c>
      <c r="M2801" s="6" t="s">
        <v>787</v>
      </c>
      <c r="N2801" s="7" t="s">
        <v>92</v>
      </c>
      <c r="O2801" s="7" t="s">
        <v>93</v>
      </c>
      <c r="P2801" s="3" t="s">
        <v>94</v>
      </c>
      <c r="Q2801" s="8" t="s">
        <v>2458</v>
      </c>
      <c r="R2801" s="7" t="s">
        <v>2459</v>
      </c>
      <c r="S2801" s="9">
        <f>40+116+2+1+10+50</f>
        <v>219</v>
      </c>
      <c r="T2801" s="9">
        <v>406</v>
      </c>
      <c r="U2801" s="9">
        <v>0</v>
      </c>
      <c r="V2801" s="9">
        <f t="shared" si="1788"/>
        <v>0</v>
      </c>
      <c r="W2801" s="7" t="s">
        <v>97</v>
      </c>
      <c r="X2801" s="2">
        <v>2016</v>
      </c>
      <c r="Y2801" s="2" t="s">
        <v>7670</v>
      </c>
    </row>
    <row r="2802" spans="1:25" s="11" customFormat="1" ht="89.25" customHeight="1" outlineLevel="1" x14ac:dyDescent="0.25">
      <c r="A2802" s="16"/>
      <c r="B2802" s="2" t="s">
        <v>8748</v>
      </c>
      <c r="C2802" s="3" t="s">
        <v>83</v>
      </c>
      <c r="D2802" s="3" t="s">
        <v>3562</v>
      </c>
      <c r="E2802" s="3" t="s">
        <v>3563</v>
      </c>
      <c r="F2802" s="3" t="s">
        <v>3564</v>
      </c>
      <c r="G2802" s="3" t="s">
        <v>3565</v>
      </c>
      <c r="H2802" s="2" t="s">
        <v>88</v>
      </c>
      <c r="I2802" s="4">
        <v>0</v>
      </c>
      <c r="J2802" s="5">
        <v>710000000</v>
      </c>
      <c r="K2802" s="5" t="s">
        <v>89</v>
      </c>
      <c r="L2802" s="5" t="s">
        <v>8491</v>
      </c>
      <c r="M2802" s="6" t="s">
        <v>787</v>
      </c>
      <c r="N2802" s="7" t="s">
        <v>92</v>
      </c>
      <c r="O2802" s="7" t="s">
        <v>93</v>
      </c>
      <c r="P2802" s="3" t="s">
        <v>673</v>
      </c>
      <c r="Q2802" s="8" t="s">
        <v>2458</v>
      </c>
      <c r="R2802" s="7" t="s">
        <v>2459</v>
      </c>
      <c r="S2802" s="9">
        <f>40+116+2+1+10+50</f>
        <v>219</v>
      </c>
      <c r="T2802" s="9">
        <v>406</v>
      </c>
      <c r="U2802" s="9">
        <f t="shared" ref="U2802" si="1873">T2802*S2802</f>
        <v>88914</v>
      </c>
      <c r="V2802" s="9">
        <f t="shared" ref="V2802" si="1874">U2802*1.12</f>
        <v>99583.680000000008</v>
      </c>
      <c r="W2802" s="7"/>
      <c r="X2802" s="2">
        <v>2016</v>
      </c>
      <c r="Y2802" s="2"/>
    </row>
    <row r="2803" spans="1:25" s="11" customFormat="1" ht="89.25" customHeight="1" outlineLevel="1" x14ac:dyDescent="0.25">
      <c r="A2803" s="16"/>
      <c r="B2803" s="2" t="s">
        <v>7156</v>
      </c>
      <c r="C2803" s="3" t="s">
        <v>83</v>
      </c>
      <c r="D2803" s="3" t="s">
        <v>3566</v>
      </c>
      <c r="E2803" s="3" t="s">
        <v>2455</v>
      </c>
      <c r="F2803" s="3" t="s">
        <v>3567</v>
      </c>
      <c r="G2803" s="3" t="s">
        <v>3568</v>
      </c>
      <c r="H2803" s="2" t="s">
        <v>88</v>
      </c>
      <c r="I2803" s="4">
        <v>0.4</v>
      </c>
      <c r="J2803" s="5">
        <v>710000000</v>
      </c>
      <c r="K2803" s="5" t="s">
        <v>89</v>
      </c>
      <c r="L2803" s="2" t="s">
        <v>754</v>
      </c>
      <c r="M2803" s="6" t="s">
        <v>787</v>
      </c>
      <c r="N2803" s="7" t="s">
        <v>92</v>
      </c>
      <c r="O2803" s="7" t="s">
        <v>93</v>
      </c>
      <c r="P2803" s="3" t="s">
        <v>94</v>
      </c>
      <c r="Q2803" s="8" t="s">
        <v>2458</v>
      </c>
      <c r="R2803" s="7" t="s">
        <v>2459</v>
      </c>
      <c r="S2803" s="9">
        <f>910+2650+24+17+492+120+250</f>
        <v>4463</v>
      </c>
      <c r="T2803" s="9">
        <v>85</v>
      </c>
      <c r="U2803" s="9">
        <v>0</v>
      </c>
      <c r="V2803" s="9">
        <f t="shared" si="1788"/>
        <v>0</v>
      </c>
      <c r="W2803" s="7" t="s">
        <v>97</v>
      </c>
      <c r="X2803" s="2">
        <v>2016</v>
      </c>
      <c r="Y2803" s="2" t="s">
        <v>7670</v>
      </c>
    </row>
    <row r="2804" spans="1:25" s="11" customFormat="1" ht="89.25" customHeight="1" outlineLevel="1" x14ac:dyDescent="0.25">
      <c r="A2804" s="16"/>
      <c r="B2804" s="2" t="s">
        <v>8749</v>
      </c>
      <c r="C2804" s="3" t="s">
        <v>83</v>
      </c>
      <c r="D2804" s="3" t="s">
        <v>3566</v>
      </c>
      <c r="E2804" s="3" t="s">
        <v>2455</v>
      </c>
      <c r="F2804" s="3" t="s">
        <v>3567</v>
      </c>
      <c r="G2804" s="3" t="s">
        <v>3568</v>
      </c>
      <c r="H2804" s="2" t="s">
        <v>88</v>
      </c>
      <c r="I2804" s="4">
        <v>0</v>
      </c>
      <c r="J2804" s="5">
        <v>710000000</v>
      </c>
      <c r="K2804" s="5" t="s">
        <v>89</v>
      </c>
      <c r="L2804" s="5" t="s">
        <v>8491</v>
      </c>
      <c r="M2804" s="6" t="s">
        <v>787</v>
      </c>
      <c r="N2804" s="7" t="s">
        <v>92</v>
      </c>
      <c r="O2804" s="7" t="s">
        <v>93</v>
      </c>
      <c r="P2804" s="3" t="s">
        <v>673</v>
      </c>
      <c r="Q2804" s="8" t="s">
        <v>2458</v>
      </c>
      <c r="R2804" s="7" t="s">
        <v>2459</v>
      </c>
      <c r="S2804" s="9">
        <f>910+2650+24+17+492+120+250</f>
        <v>4463</v>
      </c>
      <c r="T2804" s="9">
        <v>85</v>
      </c>
      <c r="U2804" s="9">
        <f t="shared" ref="U2804" si="1875">T2804*S2804</f>
        <v>379355</v>
      </c>
      <c r="V2804" s="9">
        <f t="shared" ref="V2804" si="1876">U2804*1.12</f>
        <v>424877.60000000003</v>
      </c>
      <c r="W2804" s="7"/>
      <c r="X2804" s="2">
        <v>2016</v>
      </c>
      <c r="Y2804" s="2"/>
    </row>
    <row r="2805" spans="1:25" s="11" customFormat="1" ht="89.25" customHeight="1" outlineLevel="1" x14ac:dyDescent="0.25">
      <c r="A2805" s="16"/>
      <c r="B2805" s="2" t="s">
        <v>7157</v>
      </c>
      <c r="C2805" s="3" t="s">
        <v>83</v>
      </c>
      <c r="D2805" s="3" t="s">
        <v>3569</v>
      </c>
      <c r="E2805" s="3" t="s">
        <v>2455</v>
      </c>
      <c r="F2805" s="3" t="s">
        <v>3570</v>
      </c>
      <c r="G2805" s="3" t="s">
        <v>3571</v>
      </c>
      <c r="H2805" s="2" t="s">
        <v>88</v>
      </c>
      <c r="I2805" s="4">
        <v>0.4</v>
      </c>
      <c r="J2805" s="5">
        <v>710000000</v>
      </c>
      <c r="K2805" s="5" t="s">
        <v>89</v>
      </c>
      <c r="L2805" s="2" t="s">
        <v>754</v>
      </c>
      <c r="M2805" s="6" t="s">
        <v>787</v>
      </c>
      <c r="N2805" s="7" t="s">
        <v>92</v>
      </c>
      <c r="O2805" s="7" t="s">
        <v>93</v>
      </c>
      <c r="P2805" s="3" t="s">
        <v>94</v>
      </c>
      <c r="Q2805" s="8" t="s">
        <v>2458</v>
      </c>
      <c r="R2805" s="7" t="s">
        <v>2459</v>
      </c>
      <c r="S2805" s="9">
        <f>1+4+4</f>
        <v>9</v>
      </c>
      <c r="T2805" s="9">
        <v>314</v>
      </c>
      <c r="U2805" s="9">
        <v>0</v>
      </c>
      <c r="V2805" s="9">
        <f t="shared" si="1788"/>
        <v>0</v>
      </c>
      <c r="W2805" s="7" t="s">
        <v>97</v>
      </c>
      <c r="X2805" s="2">
        <v>2016</v>
      </c>
      <c r="Y2805" s="2" t="s">
        <v>7670</v>
      </c>
    </row>
    <row r="2806" spans="1:25" s="11" customFormat="1" ht="89.25" customHeight="1" outlineLevel="1" x14ac:dyDescent="0.25">
      <c r="A2806" s="16"/>
      <c r="B2806" s="2" t="s">
        <v>8750</v>
      </c>
      <c r="C2806" s="3" t="s">
        <v>83</v>
      </c>
      <c r="D2806" s="3" t="s">
        <v>3569</v>
      </c>
      <c r="E2806" s="3" t="s">
        <v>2455</v>
      </c>
      <c r="F2806" s="3" t="s">
        <v>3570</v>
      </c>
      <c r="G2806" s="3" t="s">
        <v>3571</v>
      </c>
      <c r="H2806" s="2" t="s">
        <v>88</v>
      </c>
      <c r="I2806" s="4">
        <v>0</v>
      </c>
      <c r="J2806" s="5">
        <v>710000000</v>
      </c>
      <c r="K2806" s="5" t="s">
        <v>89</v>
      </c>
      <c r="L2806" s="5" t="s">
        <v>8491</v>
      </c>
      <c r="M2806" s="6" t="s">
        <v>787</v>
      </c>
      <c r="N2806" s="7" t="s">
        <v>92</v>
      </c>
      <c r="O2806" s="7" t="s">
        <v>93</v>
      </c>
      <c r="P2806" s="3" t="s">
        <v>673</v>
      </c>
      <c r="Q2806" s="8" t="s">
        <v>2458</v>
      </c>
      <c r="R2806" s="7" t="s">
        <v>2459</v>
      </c>
      <c r="S2806" s="9">
        <f>1+4+4</f>
        <v>9</v>
      </c>
      <c r="T2806" s="9">
        <v>314</v>
      </c>
      <c r="U2806" s="9">
        <f t="shared" ref="U2806" si="1877">T2806*S2806</f>
        <v>2826</v>
      </c>
      <c r="V2806" s="9">
        <f t="shared" ref="V2806" si="1878">U2806*1.12</f>
        <v>3165.1200000000003</v>
      </c>
      <c r="W2806" s="7"/>
      <c r="X2806" s="2">
        <v>2016</v>
      </c>
      <c r="Y2806" s="2"/>
    </row>
    <row r="2807" spans="1:25" s="11" customFormat="1" ht="89.25" customHeight="1" outlineLevel="1" x14ac:dyDescent="0.25">
      <c r="A2807" s="16"/>
      <c r="B2807" s="2" t="s">
        <v>7158</v>
      </c>
      <c r="C2807" s="3" t="s">
        <v>83</v>
      </c>
      <c r="D2807" s="3" t="s">
        <v>3057</v>
      </c>
      <c r="E2807" s="3" t="s">
        <v>2455</v>
      </c>
      <c r="F2807" s="3" t="s">
        <v>3058</v>
      </c>
      <c r="G2807" s="3" t="s">
        <v>3572</v>
      </c>
      <c r="H2807" s="2" t="s">
        <v>88</v>
      </c>
      <c r="I2807" s="4">
        <v>0.4</v>
      </c>
      <c r="J2807" s="5">
        <v>710000000</v>
      </c>
      <c r="K2807" s="5" t="s">
        <v>89</v>
      </c>
      <c r="L2807" s="2" t="s">
        <v>754</v>
      </c>
      <c r="M2807" s="6" t="s">
        <v>787</v>
      </c>
      <c r="N2807" s="7" t="s">
        <v>92</v>
      </c>
      <c r="O2807" s="7" t="s">
        <v>93</v>
      </c>
      <c r="P2807" s="3" t="s">
        <v>94</v>
      </c>
      <c r="Q2807" s="8" t="s">
        <v>2458</v>
      </c>
      <c r="R2807" s="7" t="s">
        <v>2459</v>
      </c>
      <c r="S2807" s="9">
        <f>1+3+3</f>
        <v>7</v>
      </c>
      <c r="T2807" s="9">
        <v>1815</v>
      </c>
      <c r="U2807" s="9">
        <v>0</v>
      </c>
      <c r="V2807" s="9">
        <f t="shared" si="1788"/>
        <v>0</v>
      </c>
      <c r="W2807" s="7" t="s">
        <v>97</v>
      </c>
      <c r="X2807" s="2">
        <v>2016</v>
      </c>
      <c r="Y2807" s="2" t="s">
        <v>7670</v>
      </c>
    </row>
    <row r="2808" spans="1:25" s="11" customFormat="1" ht="89.25" customHeight="1" outlineLevel="1" x14ac:dyDescent="0.25">
      <c r="A2808" s="16"/>
      <c r="B2808" s="2" t="s">
        <v>8751</v>
      </c>
      <c r="C2808" s="3" t="s">
        <v>83</v>
      </c>
      <c r="D2808" s="3" t="s">
        <v>3057</v>
      </c>
      <c r="E2808" s="3" t="s">
        <v>2455</v>
      </c>
      <c r="F2808" s="3" t="s">
        <v>3058</v>
      </c>
      <c r="G2808" s="3" t="s">
        <v>3572</v>
      </c>
      <c r="H2808" s="2" t="s">
        <v>88</v>
      </c>
      <c r="I2808" s="4">
        <v>0</v>
      </c>
      <c r="J2808" s="5">
        <v>710000000</v>
      </c>
      <c r="K2808" s="5" t="s">
        <v>89</v>
      </c>
      <c r="L2808" s="5" t="s">
        <v>8491</v>
      </c>
      <c r="M2808" s="6" t="s">
        <v>787</v>
      </c>
      <c r="N2808" s="7" t="s">
        <v>92</v>
      </c>
      <c r="O2808" s="7" t="s">
        <v>93</v>
      </c>
      <c r="P2808" s="3" t="s">
        <v>673</v>
      </c>
      <c r="Q2808" s="8" t="s">
        <v>2458</v>
      </c>
      <c r="R2808" s="7" t="s">
        <v>2459</v>
      </c>
      <c r="S2808" s="9">
        <f>1+3+3</f>
        <v>7</v>
      </c>
      <c r="T2808" s="9">
        <v>1815</v>
      </c>
      <c r="U2808" s="9">
        <f t="shared" ref="U2808" si="1879">T2808*S2808</f>
        <v>12705</v>
      </c>
      <c r="V2808" s="9">
        <f t="shared" ref="V2808" si="1880">U2808*1.12</f>
        <v>14229.600000000002</v>
      </c>
      <c r="W2808" s="7"/>
      <c r="X2808" s="2">
        <v>2016</v>
      </c>
      <c r="Y2808" s="2"/>
    </row>
    <row r="2809" spans="1:25" s="11" customFormat="1" ht="89.25" customHeight="1" outlineLevel="1" x14ac:dyDescent="0.25">
      <c r="A2809" s="16"/>
      <c r="B2809" s="2" t="s">
        <v>7159</v>
      </c>
      <c r="C2809" s="3" t="s">
        <v>83</v>
      </c>
      <c r="D2809" s="3" t="s">
        <v>3573</v>
      </c>
      <c r="E2809" s="3" t="s">
        <v>3574</v>
      </c>
      <c r="F2809" s="3" t="s">
        <v>3575</v>
      </c>
      <c r="G2809" s="3"/>
      <c r="H2809" s="2" t="s">
        <v>88</v>
      </c>
      <c r="I2809" s="4">
        <v>0.4</v>
      </c>
      <c r="J2809" s="5">
        <v>710000000</v>
      </c>
      <c r="K2809" s="5" t="s">
        <v>89</v>
      </c>
      <c r="L2809" s="2" t="s">
        <v>754</v>
      </c>
      <c r="M2809" s="6" t="s">
        <v>787</v>
      </c>
      <c r="N2809" s="7" t="s">
        <v>92</v>
      </c>
      <c r="O2809" s="7" t="s">
        <v>93</v>
      </c>
      <c r="P2809" s="3" t="s">
        <v>94</v>
      </c>
      <c r="Q2809" s="8">
        <v>796</v>
      </c>
      <c r="R2809" s="7" t="s">
        <v>118</v>
      </c>
      <c r="S2809" s="9">
        <f>3+23+1+8</f>
        <v>35</v>
      </c>
      <c r="T2809" s="9">
        <v>284</v>
      </c>
      <c r="U2809" s="9">
        <v>0</v>
      </c>
      <c r="V2809" s="9">
        <f t="shared" si="1788"/>
        <v>0</v>
      </c>
      <c r="W2809" s="7" t="s">
        <v>97</v>
      </c>
      <c r="X2809" s="2">
        <v>2016</v>
      </c>
      <c r="Y2809" s="2" t="s">
        <v>7670</v>
      </c>
    </row>
    <row r="2810" spans="1:25" s="11" customFormat="1" ht="89.25" customHeight="1" outlineLevel="1" x14ac:dyDescent="0.25">
      <c r="A2810" s="16"/>
      <c r="B2810" s="2" t="s">
        <v>8752</v>
      </c>
      <c r="C2810" s="3" t="s">
        <v>83</v>
      </c>
      <c r="D2810" s="3" t="s">
        <v>3573</v>
      </c>
      <c r="E2810" s="3" t="s">
        <v>3574</v>
      </c>
      <c r="F2810" s="3" t="s">
        <v>3575</v>
      </c>
      <c r="G2810" s="3"/>
      <c r="H2810" s="2" t="s">
        <v>88</v>
      </c>
      <c r="I2810" s="4">
        <v>0</v>
      </c>
      <c r="J2810" s="5">
        <v>710000000</v>
      </c>
      <c r="K2810" s="5" t="s">
        <v>89</v>
      </c>
      <c r="L2810" s="5" t="s">
        <v>8491</v>
      </c>
      <c r="M2810" s="6" t="s">
        <v>787</v>
      </c>
      <c r="N2810" s="7" t="s">
        <v>92</v>
      </c>
      <c r="O2810" s="7" t="s">
        <v>93</v>
      </c>
      <c r="P2810" s="3" t="s">
        <v>673</v>
      </c>
      <c r="Q2810" s="8">
        <v>796</v>
      </c>
      <c r="R2810" s="7" t="s">
        <v>118</v>
      </c>
      <c r="S2810" s="9">
        <f>3+23+1+8</f>
        <v>35</v>
      </c>
      <c r="T2810" s="9">
        <v>284</v>
      </c>
      <c r="U2810" s="9">
        <f t="shared" ref="U2810" si="1881">T2810*S2810</f>
        <v>9940</v>
      </c>
      <c r="V2810" s="9">
        <f t="shared" ref="V2810" si="1882">U2810*1.12</f>
        <v>11132.800000000001</v>
      </c>
      <c r="W2810" s="7"/>
      <c r="X2810" s="2">
        <v>2016</v>
      </c>
      <c r="Y2810" s="2"/>
    </row>
    <row r="2811" spans="1:25" s="11" customFormat="1" ht="89.25" customHeight="1" outlineLevel="1" x14ac:dyDescent="0.25">
      <c r="A2811" s="16"/>
      <c r="B2811" s="2" t="s">
        <v>7160</v>
      </c>
      <c r="C2811" s="3" t="s">
        <v>83</v>
      </c>
      <c r="D2811" s="3" t="s">
        <v>3576</v>
      </c>
      <c r="E2811" s="3" t="s">
        <v>3577</v>
      </c>
      <c r="F2811" s="3" t="s">
        <v>3578</v>
      </c>
      <c r="G2811" s="19"/>
      <c r="H2811" s="2" t="s">
        <v>88</v>
      </c>
      <c r="I2811" s="4">
        <v>0.4</v>
      </c>
      <c r="J2811" s="5">
        <v>710000000</v>
      </c>
      <c r="K2811" s="5" t="s">
        <v>89</v>
      </c>
      <c r="L2811" s="2" t="s">
        <v>754</v>
      </c>
      <c r="M2811" s="6" t="s">
        <v>787</v>
      </c>
      <c r="N2811" s="7" t="s">
        <v>92</v>
      </c>
      <c r="O2811" s="7" t="s">
        <v>93</v>
      </c>
      <c r="P2811" s="3" t="s">
        <v>94</v>
      </c>
      <c r="Q2811" s="8">
        <v>796</v>
      </c>
      <c r="R2811" s="7" t="s">
        <v>118</v>
      </c>
      <c r="S2811" s="9">
        <f>3+2</f>
        <v>5</v>
      </c>
      <c r="T2811" s="9">
        <v>584</v>
      </c>
      <c r="U2811" s="9">
        <v>0</v>
      </c>
      <c r="V2811" s="9">
        <f t="shared" si="1788"/>
        <v>0</v>
      </c>
      <c r="W2811" s="7" t="s">
        <v>97</v>
      </c>
      <c r="X2811" s="2">
        <v>2016</v>
      </c>
      <c r="Y2811" s="2" t="s">
        <v>7670</v>
      </c>
    </row>
    <row r="2812" spans="1:25" s="11" customFormat="1" ht="89.25" customHeight="1" outlineLevel="1" x14ac:dyDescent="0.25">
      <c r="A2812" s="16"/>
      <c r="B2812" s="2" t="s">
        <v>8753</v>
      </c>
      <c r="C2812" s="3" t="s">
        <v>83</v>
      </c>
      <c r="D2812" s="3" t="s">
        <v>3576</v>
      </c>
      <c r="E2812" s="3" t="s">
        <v>3577</v>
      </c>
      <c r="F2812" s="3" t="s">
        <v>3578</v>
      </c>
      <c r="G2812" s="19"/>
      <c r="H2812" s="2" t="s">
        <v>88</v>
      </c>
      <c r="I2812" s="4">
        <v>0</v>
      </c>
      <c r="J2812" s="5">
        <v>710000000</v>
      </c>
      <c r="K2812" s="5" t="s">
        <v>89</v>
      </c>
      <c r="L2812" s="5" t="s">
        <v>8491</v>
      </c>
      <c r="M2812" s="6" t="s">
        <v>787</v>
      </c>
      <c r="N2812" s="7" t="s">
        <v>92</v>
      </c>
      <c r="O2812" s="7" t="s">
        <v>93</v>
      </c>
      <c r="P2812" s="3" t="s">
        <v>673</v>
      </c>
      <c r="Q2812" s="8">
        <v>796</v>
      </c>
      <c r="R2812" s="7" t="s">
        <v>118</v>
      </c>
      <c r="S2812" s="9">
        <f>3+2</f>
        <v>5</v>
      </c>
      <c r="T2812" s="9">
        <v>584</v>
      </c>
      <c r="U2812" s="9">
        <f t="shared" ref="U2812" si="1883">T2812*S2812</f>
        <v>2920</v>
      </c>
      <c r="V2812" s="9">
        <f t="shared" ref="V2812" si="1884">U2812*1.12</f>
        <v>3270.4</v>
      </c>
      <c r="W2812" s="7"/>
      <c r="X2812" s="2">
        <v>2016</v>
      </c>
      <c r="Y2812" s="2"/>
    </row>
    <row r="2813" spans="1:25" s="11" customFormat="1" ht="89.25" customHeight="1" outlineLevel="1" x14ac:dyDescent="0.25">
      <c r="A2813" s="16"/>
      <c r="B2813" s="2" t="s">
        <v>7161</v>
      </c>
      <c r="C2813" s="3" t="s">
        <v>83</v>
      </c>
      <c r="D2813" s="3" t="s">
        <v>3579</v>
      </c>
      <c r="E2813" s="3" t="s">
        <v>3580</v>
      </c>
      <c r="F2813" s="3" t="s">
        <v>3581</v>
      </c>
      <c r="G2813" s="3"/>
      <c r="H2813" s="2" t="s">
        <v>88</v>
      </c>
      <c r="I2813" s="4">
        <v>0.4</v>
      </c>
      <c r="J2813" s="5">
        <v>710000000</v>
      </c>
      <c r="K2813" s="5" t="s">
        <v>89</v>
      </c>
      <c r="L2813" s="2" t="s">
        <v>754</v>
      </c>
      <c r="M2813" s="6" t="s">
        <v>787</v>
      </c>
      <c r="N2813" s="7" t="s">
        <v>92</v>
      </c>
      <c r="O2813" s="7" t="s">
        <v>93</v>
      </c>
      <c r="P2813" s="3" t="s">
        <v>94</v>
      </c>
      <c r="Q2813" s="8">
        <v>796</v>
      </c>
      <c r="R2813" s="7" t="s">
        <v>118</v>
      </c>
      <c r="S2813" s="9">
        <f>2+4+2</f>
        <v>8</v>
      </c>
      <c r="T2813" s="9">
        <v>188</v>
      </c>
      <c r="U2813" s="9">
        <v>0</v>
      </c>
      <c r="V2813" s="9">
        <f t="shared" si="1788"/>
        <v>0</v>
      </c>
      <c r="W2813" s="7" t="s">
        <v>97</v>
      </c>
      <c r="X2813" s="2">
        <v>2016</v>
      </c>
      <c r="Y2813" s="2" t="s">
        <v>7670</v>
      </c>
    </row>
    <row r="2814" spans="1:25" s="11" customFormat="1" ht="89.25" customHeight="1" outlineLevel="1" x14ac:dyDescent="0.25">
      <c r="A2814" s="16"/>
      <c r="B2814" s="2" t="s">
        <v>8754</v>
      </c>
      <c r="C2814" s="3" t="s">
        <v>83</v>
      </c>
      <c r="D2814" s="3" t="s">
        <v>3579</v>
      </c>
      <c r="E2814" s="3" t="s">
        <v>3580</v>
      </c>
      <c r="F2814" s="3" t="s">
        <v>3581</v>
      </c>
      <c r="G2814" s="3"/>
      <c r="H2814" s="2" t="s">
        <v>88</v>
      </c>
      <c r="I2814" s="4">
        <v>0</v>
      </c>
      <c r="J2814" s="5">
        <v>710000000</v>
      </c>
      <c r="K2814" s="5" t="s">
        <v>89</v>
      </c>
      <c r="L2814" s="5" t="s">
        <v>8491</v>
      </c>
      <c r="M2814" s="6" t="s">
        <v>787</v>
      </c>
      <c r="N2814" s="7" t="s">
        <v>92</v>
      </c>
      <c r="O2814" s="7" t="s">
        <v>93</v>
      </c>
      <c r="P2814" s="3" t="s">
        <v>673</v>
      </c>
      <c r="Q2814" s="8">
        <v>796</v>
      </c>
      <c r="R2814" s="7" t="s">
        <v>118</v>
      </c>
      <c r="S2814" s="9">
        <f>2+4+2</f>
        <v>8</v>
      </c>
      <c r="T2814" s="9">
        <v>188</v>
      </c>
      <c r="U2814" s="9">
        <f t="shared" ref="U2814" si="1885">T2814*S2814</f>
        <v>1504</v>
      </c>
      <c r="V2814" s="9">
        <f t="shared" ref="V2814" si="1886">U2814*1.12</f>
        <v>1684.4800000000002</v>
      </c>
      <c r="W2814" s="7"/>
      <c r="X2814" s="2">
        <v>2016</v>
      </c>
      <c r="Y2814" s="2"/>
    </row>
    <row r="2815" spans="1:25" s="11" customFormat="1" ht="89.25" customHeight="1" outlineLevel="1" x14ac:dyDescent="0.25">
      <c r="A2815" s="16"/>
      <c r="B2815" s="2" t="s">
        <v>7162</v>
      </c>
      <c r="C2815" s="3" t="s">
        <v>83</v>
      </c>
      <c r="D2815" s="3" t="s">
        <v>3582</v>
      </c>
      <c r="E2815" s="3" t="s">
        <v>3583</v>
      </c>
      <c r="F2815" s="3" t="s">
        <v>3584</v>
      </c>
      <c r="G2815" s="19"/>
      <c r="H2815" s="2" t="s">
        <v>88</v>
      </c>
      <c r="I2815" s="4">
        <v>0.4</v>
      </c>
      <c r="J2815" s="5">
        <v>710000000</v>
      </c>
      <c r="K2815" s="5" t="s">
        <v>89</v>
      </c>
      <c r="L2815" s="2" t="s">
        <v>754</v>
      </c>
      <c r="M2815" s="6" t="s">
        <v>787</v>
      </c>
      <c r="N2815" s="7" t="s">
        <v>92</v>
      </c>
      <c r="O2815" s="7" t="s">
        <v>93</v>
      </c>
      <c r="P2815" s="3" t="s">
        <v>94</v>
      </c>
      <c r="Q2815" s="8">
        <v>796</v>
      </c>
      <c r="R2815" s="7" t="s">
        <v>118</v>
      </c>
      <c r="S2815" s="9">
        <f>1+2+4</f>
        <v>7</v>
      </c>
      <c r="T2815" s="9">
        <v>1966</v>
      </c>
      <c r="U2815" s="9">
        <v>0</v>
      </c>
      <c r="V2815" s="9">
        <f t="shared" si="1788"/>
        <v>0</v>
      </c>
      <c r="W2815" s="7" t="s">
        <v>97</v>
      </c>
      <c r="X2815" s="2">
        <v>2016</v>
      </c>
      <c r="Y2815" s="2" t="s">
        <v>7670</v>
      </c>
    </row>
    <row r="2816" spans="1:25" s="11" customFormat="1" ht="89.25" customHeight="1" outlineLevel="1" x14ac:dyDescent="0.25">
      <c r="A2816" s="16"/>
      <c r="B2816" s="2" t="s">
        <v>8755</v>
      </c>
      <c r="C2816" s="3" t="s">
        <v>83</v>
      </c>
      <c r="D2816" s="3" t="s">
        <v>3582</v>
      </c>
      <c r="E2816" s="3" t="s">
        <v>3583</v>
      </c>
      <c r="F2816" s="3" t="s">
        <v>3584</v>
      </c>
      <c r="G2816" s="19"/>
      <c r="H2816" s="2" t="s">
        <v>88</v>
      </c>
      <c r="I2816" s="4">
        <v>0</v>
      </c>
      <c r="J2816" s="5">
        <v>710000000</v>
      </c>
      <c r="K2816" s="5" t="s">
        <v>89</v>
      </c>
      <c r="L2816" s="5" t="s">
        <v>8491</v>
      </c>
      <c r="M2816" s="6" t="s">
        <v>787</v>
      </c>
      <c r="N2816" s="7" t="s">
        <v>92</v>
      </c>
      <c r="O2816" s="7" t="s">
        <v>93</v>
      </c>
      <c r="P2816" s="3" t="s">
        <v>673</v>
      </c>
      <c r="Q2816" s="8">
        <v>796</v>
      </c>
      <c r="R2816" s="7" t="s">
        <v>118</v>
      </c>
      <c r="S2816" s="9">
        <f>1+2+4</f>
        <v>7</v>
      </c>
      <c r="T2816" s="9">
        <v>1966</v>
      </c>
      <c r="U2816" s="9">
        <f t="shared" ref="U2816" si="1887">T2816*S2816</f>
        <v>13762</v>
      </c>
      <c r="V2816" s="9">
        <f t="shared" ref="V2816" si="1888">U2816*1.12</f>
        <v>15413.440000000002</v>
      </c>
      <c r="W2816" s="7"/>
      <c r="X2816" s="2">
        <v>2016</v>
      </c>
      <c r="Y2816" s="2"/>
    </row>
    <row r="2817" spans="1:25" s="11" customFormat="1" ht="89.25" customHeight="1" outlineLevel="1" x14ac:dyDescent="0.25">
      <c r="A2817" s="16"/>
      <c r="B2817" s="2" t="s">
        <v>7163</v>
      </c>
      <c r="C2817" s="3" t="s">
        <v>83</v>
      </c>
      <c r="D2817" s="3" t="s">
        <v>3585</v>
      </c>
      <c r="E2817" s="3" t="s">
        <v>3511</v>
      </c>
      <c r="F2817" s="3" t="s">
        <v>3586</v>
      </c>
      <c r="G2817" s="3" t="s">
        <v>3587</v>
      </c>
      <c r="H2817" s="2" t="s">
        <v>88</v>
      </c>
      <c r="I2817" s="4">
        <v>0.4</v>
      </c>
      <c r="J2817" s="5">
        <v>710000000</v>
      </c>
      <c r="K2817" s="5" t="s">
        <v>89</v>
      </c>
      <c r="L2817" s="2" t="s">
        <v>754</v>
      </c>
      <c r="M2817" s="6" t="s">
        <v>787</v>
      </c>
      <c r="N2817" s="7" t="s">
        <v>92</v>
      </c>
      <c r="O2817" s="7" t="s">
        <v>93</v>
      </c>
      <c r="P2817" s="3" t="s">
        <v>94</v>
      </c>
      <c r="Q2817" s="8" t="s">
        <v>861</v>
      </c>
      <c r="R2817" s="7" t="s">
        <v>812</v>
      </c>
      <c r="S2817" s="9">
        <v>2</v>
      </c>
      <c r="T2817" s="9">
        <v>8125</v>
      </c>
      <c r="U2817" s="9">
        <v>0</v>
      </c>
      <c r="V2817" s="9">
        <f t="shared" si="1788"/>
        <v>0</v>
      </c>
      <c r="W2817" s="7" t="s">
        <v>97</v>
      </c>
      <c r="X2817" s="2">
        <v>2016</v>
      </c>
      <c r="Y2817" s="2" t="s">
        <v>7670</v>
      </c>
    </row>
    <row r="2818" spans="1:25" s="11" customFormat="1" ht="89.25" customHeight="1" outlineLevel="1" x14ac:dyDescent="0.25">
      <c r="A2818" s="16"/>
      <c r="B2818" s="2" t="s">
        <v>8756</v>
      </c>
      <c r="C2818" s="3" t="s">
        <v>83</v>
      </c>
      <c r="D2818" s="3" t="s">
        <v>3585</v>
      </c>
      <c r="E2818" s="3" t="s">
        <v>3511</v>
      </c>
      <c r="F2818" s="3" t="s">
        <v>3586</v>
      </c>
      <c r="G2818" s="3" t="s">
        <v>3587</v>
      </c>
      <c r="H2818" s="2" t="s">
        <v>88</v>
      </c>
      <c r="I2818" s="4">
        <v>0</v>
      </c>
      <c r="J2818" s="5">
        <v>710000000</v>
      </c>
      <c r="K2818" s="5" t="s">
        <v>89</v>
      </c>
      <c r="L2818" s="5" t="s">
        <v>8491</v>
      </c>
      <c r="M2818" s="6" t="s">
        <v>787</v>
      </c>
      <c r="N2818" s="7" t="s">
        <v>92</v>
      </c>
      <c r="O2818" s="7" t="s">
        <v>93</v>
      </c>
      <c r="P2818" s="3" t="s">
        <v>673</v>
      </c>
      <c r="Q2818" s="8" t="s">
        <v>861</v>
      </c>
      <c r="R2818" s="7" t="s">
        <v>812</v>
      </c>
      <c r="S2818" s="9">
        <v>2</v>
      </c>
      <c r="T2818" s="9">
        <v>8125</v>
      </c>
      <c r="U2818" s="9">
        <f t="shared" ref="U2818" si="1889">T2818*S2818</f>
        <v>16250</v>
      </c>
      <c r="V2818" s="9">
        <f t="shared" ref="V2818" si="1890">U2818*1.12</f>
        <v>18200</v>
      </c>
      <c r="W2818" s="7"/>
      <c r="X2818" s="2">
        <v>2016</v>
      </c>
      <c r="Y2818" s="2"/>
    </row>
    <row r="2819" spans="1:25" s="11" customFormat="1" ht="89.25" customHeight="1" outlineLevel="1" x14ac:dyDescent="0.25">
      <c r="A2819" s="16"/>
      <c r="B2819" s="2" t="s">
        <v>7164</v>
      </c>
      <c r="C2819" s="3" t="s">
        <v>83</v>
      </c>
      <c r="D2819" s="3" t="s">
        <v>3588</v>
      </c>
      <c r="E2819" s="3" t="s">
        <v>3589</v>
      </c>
      <c r="F2819" s="3" t="s">
        <v>3590</v>
      </c>
      <c r="G2819" s="3"/>
      <c r="H2819" s="2" t="s">
        <v>88</v>
      </c>
      <c r="I2819" s="4">
        <v>0.4</v>
      </c>
      <c r="J2819" s="5">
        <v>710000000</v>
      </c>
      <c r="K2819" s="5" t="s">
        <v>89</v>
      </c>
      <c r="L2819" s="2" t="s">
        <v>754</v>
      </c>
      <c r="M2819" s="6" t="s">
        <v>787</v>
      </c>
      <c r="N2819" s="7" t="s">
        <v>92</v>
      </c>
      <c r="O2819" s="7" t="s">
        <v>93</v>
      </c>
      <c r="P2819" s="3" t="s">
        <v>94</v>
      </c>
      <c r="Q2819" s="8" t="s">
        <v>861</v>
      </c>
      <c r="R2819" s="7" t="s">
        <v>812</v>
      </c>
      <c r="S2819" s="9">
        <v>5</v>
      </c>
      <c r="T2819" s="9">
        <v>27669.64</v>
      </c>
      <c r="U2819" s="9">
        <v>0</v>
      </c>
      <c r="V2819" s="9">
        <f t="shared" si="1788"/>
        <v>0</v>
      </c>
      <c r="W2819" s="7" t="s">
        <v>97</v>
      </c>
      <c r="X2819" s="2">
        <v>2016</v>
      </c>
      <c r="Y2819" s="2">
        <v>6</v>
      </c>
    </row>
    <row r="2820" spans="1:25" s="11" customFormat="1" ht="409.5" customHeight="1" outlineLevel="1" x14ac:dyDescent="0.25">
      <c r="A2820" s="16"/>
      <c r="B2820" s="2" t="s">
        <v>7658</v>
      </c>
      <c r="C2820" s="3" t="s">
        <v>83</v>
      </c>
      <c r="D2820" s="3" t="s">
        <v>3588</v>
      </c>
      <c r="E2820" s="3" t="s">
        <v>3589</v>
      </c>
      <c r="F2820" s="3" t="s">
        <v>3590</v>
      </c>
      <c r="G2820" s="3" t="s">
        <v>7657</v>
      </c>
      <c r="H2820" s="2" t="s">
        <v>88</v>
      </c>
      <c r="I2820" s="4">
        <v>0.4</v>
      </c>
      <c r="J2820" s="5">
        <v>710000000</v>
      </c>
      <c r="K2820" s="5" t="s">
        <v>89</v>
      </c>
      <c r="L2820" s="2" t="s">
        <v>754</v>
      </c>
      <c r="M2820" s="6" t="s">
        <v>787</v>
      </c>
      <c r="N2820" s="7" t="s">
        <v>92</v>
      </c>
      <c r="O2820" s="7" t="s">
        <v>93</v>
      </c>
      <c r="P2820" s="3" t="s">
        <v>94</v>
      </c>
      <c r="Q2820" s="8" t="s">
        <v>861</v>
      </c>
      <c r="R2820" s="7" t="s">
        <v>812</v>
      </c>
      <c r="S2820" s="9">
        <v>5</v>
      </c>
      <c r="T2820" s="9">
        <v>27669.64</v>
      </c>
      <c r="U2820" s="9">
        <v>0</v>
      </c>
      <c r="V2820" s="9">
        <f t="shared" ref="V2820" si="1891">U2820*1.12</f>
        <v>0</v>
      </c>
      <c r="W2820" s="7" t="s">
        <v>97</v>
      </c>
      <c r="X2820" s="2">
        <v>2016</v>
      </c>
      <c r="Y2820" s="2" t="s">
        <v>7670</v>
      </c>
    </row>
    <row r="2821" spans="1:25" s="11" customFormat="1" ht="409.5" customHeight="1" outlineLevel="1" x14ac:dyDescent="0.25">
      <c r="A2821" s="16"/>
      <c r="B2821" s="2" t="s">
        <v>8757</v>
      </c>
      <c r="C2821" s="3" t="s">
        <v>83</v>
      </c>
      <c r="D2821" s="3" t="s">
        <v>3588</v>
      </c>
      <c r="E2821" s="3" t="s">
        <v>3589</v>
      </c>
      <c r="F2821" s="3" t="s">
        <v>3590</v>
      </c>
      <c r="G2821" s="3" t="s">
        <v>7657</v>
      </c>
      <c r="H2821" s="2" t="s">
        <v>88</v>
      </c>
      <c r="I2821" s="4">
        <v>0</v>
      </c>
      <c r="J2821" s="5">
        <v>710000000</v>
      </c>
      <c r="K2821" s="5" t="s">
        <v>89</v>
      </c>
      <c r="L2821" s="5" t="s">
        <v>8491</v>
      </c>
      <c r="M2821" s="6" t="s">
        <v>787</v>
      </c>
      <c r="N2821" s="7" t="s">
        <v>92</v>
      </c>
      <c r="O2821" s="7" t="s">
        <v>93</v>
      </c>
      <c r="P2821" s="3" t="s">
        <v>673</v>
      </c>
      <c r="Q2821" s="8" t="s">
        <v>861</v>
      </c>
      <c r="R2821" s="7" t="s">
        <v>812</v>
      </c>
      <c r="S2821" s="9">
        <v>5</v>
      </c>
      <c r="T2821" s="9">
        <v>27669.64</v>
      </c>
      <c r="U2821" s="9">
        <f t="shared" ref="U2821" si="1892">T2821*S2821</f>
        <v>138348.20000000001</v>
      </c>
      <c r="V2821" s="9">
        <f t="shared" ref="V2821" si="1893">U2821*1.12</f>
        <v>154949.98400000003</v>
      </c>
      <c r="W2821" s="7"/>
      <c r="X2821" s="2">
        <v>2016</v>
      </c>
      <c r="Y2821" s="2"/>
    </row>
    <row r="2822" spans="1:25" s="11" customFormat="1" ht="89.25" customHeight="1" outlineLevel="1" x14ac:dyDescent="0.25">
      <c r="A2822" s="1"/>
      <c r="B2822" s="2" t="s">
        <v>7165</v>
      </c>
      <c r="C2822" s="3" t="s">
        <v>83</v>
      </c>
      <c r="D2822" s="3" t="s">
        <v>3528</v>
      </c>
      <c r="E2822" s="3" t="s">
        <v>3529</v>
      </c>
      <c r="F2822" s="3" t="s">
        <v>3530</v>
      </c>
      <c r="G2822" s="3"/>
      <c r="H2822" s="2" t="s">
        <v>88</v>
      </c>
      <c r="I2822" s="4">
        <v>0.4</v>
      </c>
      <c r="J2822" s="5">
        <v>710000000</v>
      </c>
      <c r="K2822" s="5" t="s">
        <v>89</v>
      </c>
      <c r="L2822" s="2" t="s">
        <v>754</v>
      </c>
      <c r="M2822" s="6" t="s">
        <v>787</v>
      </c>
      <c r="N2822" s="7" t="s">
        <v>92</v>
      </c>
      <c r="O2822" s="7" t="s">
        <v>93</v>
      </c>
      <c r="P2822" s="3" t="s">
        <v>94</v>
      </c>
      <c r="Q2822" s="8">
        <v>796</v>
      </c>
      <c r="R2822" s="7" t="s">
        <v>118</v>
      </c>
      <c r="S2822" s="9">
        <v>10</v>
      </c>
      <c r="T2822" s="9">
        <v>8919.64</v>
      </c>
      <c r="U2822" s="9">
        <v>0</v>
      </c>
      <c r="V2822" s="9">
        <f t="shared" si="1788"/>
        <v>0</v>
      </c>
      <c r="W2822" s="7" t="s">
        <v>97</v>
      </c>
      <c r="X2822" s="2">
        <v>2016</v>
      </c>
      <c r="Y2822" s="2">
        <v>6</v>
      </c>
    </row>
    <row r="2823" spans="1:25" s="11" customFormat="1" ht="331.5" customHeight="1" outlineLevel="1" x14ac:dyDescent="0.25">
      <c r="A2823" s="16"/>
      <c r="B2823" s="2" t="s">
        <v>7659</v>
      </c>
      <c r="C2823" s="3" t="s">
        <v>83</v>
      </c>
      <c r="D2823" s="3" t="s">
        <v>3528</v>
      </c>
      <c r="E2823" s="3" t="s">
        <v>3529</v>
      </c>
      <c r="F2823" s="3" t="s">
        <v>3530</v>
      </c>
      <c r="G2823" s="3" t="s">
        <v>8855</v>
      </c>
      <c r="H2823" s="2" t="s">
        <v>88</v>
      </c>
      <c r="I2823" s="4">
        <v>0.4</v>
      </c>
      <c r="J2823" s="5">
        <v>710000000</v>
      </c>
      <c r="K2823" s="5" t="s">
        <v>89</v>
      </c>
      <c r="L2823" s="2" t="s">
        <v>754</v>
      </c>
      <c r="M2823" s="6" t="s">
        <v>787</v>
      </c>
      <c r="N2823" s="7" t="s">
        <v>92</v>
      </c>
      <c r="O2823" s="7" t="s">
        <v>93</v>
      </c>
      <c r="P2823" s="3" t="s">
        <v>94</v>
      </c>
      <c r="Q2823" s="8">
        <v>796</v>
      </c>
      <c r="R2823" s="7" t="s">
        <v>118</v>
      </c>
      <c r="S2823" s="9">
        <v>10</v>
      </c>
      <c r="T2823" s="9">
        <v>8919.64</v>
      </c>
      <c r="U2823" s="9">
        <v>0</v>
      </c>
      <c r="V2823" s="9">
        <f t="shared" ref="V2823" si="1894">U2823*1.12</f>
        <v>0</v>
      </c>
      <c r="W2823" s="7" t="s">
        <v>97</v>
      </c>
      <c r="X2823" s="2">
        <v>2016</v>
      </c>
      <c r="Y2823" s="2" t="s">
        <v>8853</v>
      </c>
    </row>
    <row r="2824" spans="1:25" s="11" customFormat="1" ht="331.5" customHeight="1" outlineLevel="1" x14ac:dyDescent="0.25">
      <c r="A2824" s="16"/>
      <c r="B2824" s="2" t="s">
        <v>8758</v>
      </c>
      <c r="C2824" s="3" t="s">
        <v>83</v>
      </c>
      <c r="D2824" s="3" t="s">
        <v>3528</v>
      </c>
      <c r="E2824" s="3" t="s">
        <v>3529</v>
      </c>
      <c r="F2824" s="3" t="s">
        <v>3530</v>
      </c>
      <c r="G2824" s="3" t="s">
        <v>8855</v>
      </c>
      <c r="H2824" s="2" t="s">
        <v>88</v>
      </c>
      <c r="I2824" s="4">
        <v>0</v>
      </c>
      <c r="J2824" s="5">
        <v>710000000</v>
      </c>
      <c r="K2824" s="5" t="s">
        <v>89</v>
      </c>
      <c r="L2824" s="5" t="s">
        <v>8491</v>
      </c>
      <c r="M2824" s="6" t="s">
        <v>787</v>
      </c>
      <c r="N2824" s="7" t="s">
        <v>92</v>
      </c>
      <c r="O2824" s="7" t="s">
        <v>93</v>
      </c>
      <c r="P2824" s="3" t="s">
        <v>673</v>
      </c>
      <c r="Q2824" s="8">
        <v>796</v>
      </c>
      <c r="R2824" s="7" t="s">
        <v>118</v>
      </c>
      <c r="S2824" s="9">
        <v>10</v>
      </c>
      <c r="T2824" s="9">
        <v>8919.64</v>
      </c>
      <c r="U2824" s="9">
        <f t="shared" ref="U2824" si="1895">T2824*S2824</f>
        <v>89196.4</v>
      </c>
      <c r="V2824" s="9">
        <f t="shared" ref="V2824" si="1896">U2824*1.12</f>
        <v>99899.968000000008</v>
      </c>
      <c r="W2824" s="7"/>
      <c r="X2824" s="2">
        <v>2016</v>
      </c>
      <c r="Y2824" s="2"/>
    </row>
    <row r="2825" spans="1:25" s="11" customFormat="1" ht="89.25" customHeight="1" outlineLevel="1" x14ac:dyDescent="0.2">
      <c r="A2825" s="25"/>
      <c r="B2825" s="2" t="s">
        <v>7166</v>
      </c>
      <c r="C2825" s="3" t="s">
        <v>83</v>
      </c>
      <c r="D2825" s="3" t="s">
        <v>3591</v>
      </c>
      <c r="E2825" s="3" t="s">
        <v>3592</v>
      </c>
      <c r="F2825" s="3" t="s">
        <v>3593</v>
      </c>
      <c r="G2825" s="3"/>
      <c r="H2825" s="2" t="s">
        <v>88</v>
      </c>
      <c r="I2825" s="4">
        <v>0.4</v>
      </c>
      <c r="J2825" s="5">
        <v>710000000</v>
      </c>
      <c r="K2825" s="5" t="s">
        <v>89</v>
      </c>
      <c r="L2825" s="2" t="s">
        <v>754</v>
      </c>
      <c r="M2825" s="6" t="s">
        <v>787</v>
      </c>
      <c r="N2825" s="7" t="s">
        <v>92</v>
      </c>
      <c r="O2825" s="7" t="s">
        <v>93</v>
      </c>
      <c r="P2825" s="3" t="s">
        <v>94</v>
      </c>
      <c r="Q2825" s="8">
        <v>796</v>
      </c>
      <c r="R2825" s="7" t="s">
        <v>118</v>
      </c>
      <c r="S2825" s="9">
        <v>5</v>
      </c>
      <c r="T2825" s="9">
        <v>8473.2099999999991</v>
      </c>
      <c r="U2825" s="9">
        <v>0</v>
      </c>
      <c r="V2825" s="9">
        <f t="shared" si="1788"/>
        <v>0</v>
      </c>
      <c r="W2825" s="7" t="s">
        <v>97</v>
      </c>
      <c r="X2825" s="2">
        <v>2016</v>
      </c>
      <c r="Y2825" s="2">
        <v>6</v>
      </c>
    </row>
    <row r="2826" spans="1:25" s="11" customFormat="1" ht="191.25" customHeight="1" outlineLevel="1" x14ac:dyDescent="0.25">
      <c r="A2826" s="16"/>
      <c r="B2826" s="2" t="s">
        <v>7660</v>
      </c>
      <c r="C2826" s="3" t="s">
        <v>83</v>
      </c>
      <c r="D2826" s="3" t="s">
        <v>3591</v>
      </c>
      <c r="E2826" s="3" t="s">
        <v>3592</v>
      </c>
      <c r="F2826" s="3" t="s">
        <v>3593</v>
      </c>
      <c r="G2826" s="3" t="s">
        <v>8845</v>
      </c>
      <c r="H2826" s="2" t="s">
        <v>88</v>
      </c>
      <c r="I2826" s="4">
        <v>0.4</v>
      </c>
      <c r="J2826" s="5">
        <v>710000000</v>
      </c>
      <c r="K2826" s="5" t="s">
        <v>89</v>
      </c>
      <c r="L2826" s="2" t="s">
        <v>754</v>
      </c>
      <c r="M2826" s="6" t="s">
        <v>787</v>
      </c>
      <c r="N2826" s="7" t="s">
        <v>92</v>
      </c>
      <c r="O2826" s="7" t="s">
        <v>93</v>
      </c>
      <c r="P2826" s="3" t="s">
        <v>94</v>
      </c>
      <c r="Q2826" s="8">
        <v>796</v>
      </c>
      <c r="R2826" s="7" t="s">
        <v>118</v>
      </c>
      <c r="S2826" s="9">
        <v>5</v>
      </c>
      <c r="T2826" s="9">
        <v>8473.2099999999991</v>
      </c>
      <c r="U2826" s="9">
        <v>0</v>
      </c>
      <c r="V2826" s="9">
        <f t="shared" ref="V2826" si="1897">U2826*1.12</f>
        <v>0</v>
      </c>
      <c r="W2826" s="7" t="s">
        <v>97</v>
      </c>
      <c r="X2826" s="2">
        <v>2016</v>
      </c>
      <c r="Y2826" s="2" t="s">
        <v>7670</v>
      </c>
    </row>
    <row r="2827" spans="1:25" s="11" customFormat="1" ht="191.25" customHeight="1" outlineLevel="1" x14ac:dyDescent="0.25">
      <c r="A2827" s="16"/>
      <c r="B2827" s="2" t="s">
        <v>8759</v>
      </c>
      <c r="C2827" s="3" t="s">
        <v>83</v>
      </c>
      <c r="D2827" s="3" t="s">
        <v>3591</v>
      </c>
      <c r="E2827" s="3" t="s">
        <v>3592</v>
      </c>
      <c r="F2827" s="3" t="s">
        <v>3593</v>
      </c>
      <c r="G2827" s="3" t="s">
        <v>8845</v>
      </c>
      <c r="H2827" s="2" t="s">
        <v>88</v>
      </c>
      <c r="I2827" s="4">
        <v>0</v>
      </c>
      <c r="J2827" s="5">
        <v>710000000</v>
      </c>
      <c r="K2827" s="5" t="s">
        <v>89</v>
      </c>
      <c r="L2827" s="5" t="s">
        <v>8491</v>
      </c>
      <c r="M2827" s="6" t="s">
        <v>787</v>
      </c>
      <c r="N2827" s="7" t="s">
        <v>92</v>
      </c>
      <c r="O2827" s="7" t="s">
        <v>93</v>
      </c>
      <c r="P2827" s="3" t="s">
        <v>673</v>
      </c>
      <c r="Q2827" s="8">
        <v>796</v>
      </c>
      <c r="R2827" s="7" t="s">
        <v>118</v>
      </c>
      <c r="S2827" s="9">
        <v>5</v>
      </c>
      <c r="T2827" s="9">
        <v>8473.2099999999991</v>
      </c>
      <c r="U2827" s="9">
        <f t="shared" ref="U2827" si="1898">T2827*S2827</f>
        <v>42366.049999999996</v>
      </c>
      <c r="V2827" s="9">
        <f t="shared" ref="V2827" si="1899">U2827*1.12</f>
        <v>47449.976000000002</v>
      </c>
      <c r="W2827" s="7"/>
      <c r="X2827" s="2">
        <v>2016</v>
      </c>
      <c r="Y2827" s="2"/>
    </row>
    <row r="2828" spans="1:25" s="11" customFormat="1" ht="89.25" customHeight="1" outlineLevel="1" x14ac:dyDescent="0.2">
      <c r="A2828" s="57"/>
      <c r="B2828" s="2" t="s">
        <v>7167</v>
      </c>
      <c r="C2828" s="3" t="s">
        <v>83</v>
      </c>
      <c r="D2828" s="3" t="s">
        <v>3594</v>
      </c>
      <c r="E2828" s="3" t="s">
        <v>3595</v>
      </c>
      <c r="F2828" s="3" t="s">
        <v>3596</v>
      </c>
      <c r="G2828" s="3"/>
      <c r="H2828" s="2" t="s">
        <v>88</v>
      </c>
      <c r="I2828" s="4">
        <v>0.4</v>
      </c>
      <c r="J2828" s="5">
        <v>710000000</v>
      </c>
      <c r="K2828" s="5" t="s">
        <v>89</v>
      </c>
      <c r="L2828" s="2" t="s">
        <v>754</v>
      </c>
      <c r="M2828" s="6" t="s">
        <v>787</v>
      </c>
      <c r="N2828" s="7" t="s">
        <v>92</v>
      </c>
      <c r="O2828" s="7" t="s">
        <v>93</v>
      </c>
      <c r="P2828" s="3" t="s">
        <v>94</v>
      </c>
      <c r="Q2828" s="8" t="s">
        <v>2458</v>
      </c>
      <c r="R2828" s="7" t="s">
        <v>2459</v>
      </c>
      <c r="S2828" s="9">
        <v>10</v>
      </c>
      <c r="T2828" s="9">
        <v>3125</v>
      </c>
      <c r="U2828" s="9">
        <v>0</v>
      </c>
      <c r="V2828" s="9">
        <f t="shared" ref="V2828:V2953" si="1900">U2828*1.12</f>
        <v>0</v>
      </c>
      <c r="W2828" s="7" t="s">
        <v>97</v>
      </c>
      <c r="X2828" s="2">
        <v>2016</v>
      </c>
      <c r="Y2828" s="2">
        <v>6</v>
      </c>
    </row>
    <row r="2829" spans="1:25" s="11" customFormat="1" ht="89.25" customHeight="1" outlineLevel="1" x14ac:dyDescent="0.25">
      <c r="A2829" s="16"/>
      <c r="B2829" s="2" t="s">
        <v>7661</v>
      </c>
      <c r="C2829" s="3" t="s">
        <v>83</v>
      </c>
      <c r="D2829" s="3" t="s">
        <v>3594</v>
      </c>
      <c r="E2829" s="3" t="s">
        <v>3595</v>
      </c>
      <c r="F2829" s="3" t="s">
        <v>3596</v>
      </c>
      <c r="G2829" s="3" t="s">
        <v>7662</v>
      </c>
      <c r="H2829" s="2" t="s">
        <v>88</v>
      </c>
      <c r="I2829" s="4">
        <v>0.4</v>
      </c>
      <c r="J2829" s="5">
        <v>710000000</v>
      </c>
      <c r="K2829" s="5" t="s">
        <v>89</v>
      </c>
      <c r="L2829" s="2" t="s">
        <v>754</v>
      </c>
      <c r="M2829" s="6" t="s">
        <v>787</v>
      </c>
      <c r="N2829" s="7" t="s">
        <v>92</v>
      </c>
      <c r="O2829" s="7" t="s">
        <v>93</v>
      </c>
      <c r="P2829" s="3" t="s">
        <v>94</v>
      </c>
      <c r="Q2829" s="8" t="s">
        <v>2458</v>
      </c>
      <c r="R2829" s="7" t="s">
        <v>2459</v>
      </c>
      <c r="S2829" s="9">
        <v>10</v>
      </c>
      <c r="T2829" s="9">
        <v>3125</v>
      </c>
      <c r="U2829" s="9">
        <v>0</v>
      </c>
      <c r="V2829" s="9">
        <f t="shared" ref="V2829" si="1901">U2829*1.12</f>
        <v>0</v>
      </c>
      <c r="W2829" s="7" t="s">
        <v>97</v>
      </c>
      <c r="X2829" s="2">
        <v>2016</v>
      </c>
      <c r="Y2829" s="2" t="s">
        <v>7670</v>
      </c>
    </row>
    <row r="2830" spans="1:25" s="11" customFormat="1" ht="89.25" customHeight="1" outlineLevel="1" x14ac:dyDescent="0.25">
      <c r="A2830" s="16"/>
      <c r="B2830" s="2" t="s">
        <v>8760</v>
      </c>
      <c r="C2830" s="3" t="s">
        <v>83</v>
      </c>
      <c r="D2830" s="3" t="s">
        <v>3594</v>
      </c>
      <c r="E2830" s="3" t="s">
        <v>3595</v>
      </c>
      <c r="F2830" s="3" t="s">
        <v>3596</v>
      </c>
      <c r="G2830" s="3" t="s">
        <v>7662</v>
      </c>
      <c r="H2830" s="2" t="s">
        <v>88</v>
      </c>
      <c r="I2830" s="4">
        <v>0</v>
      </c>
      <c r="J2830" s="5">
        <v>710000000</v>
      </c>
      <c r="K2830" s="5" t="s">
        <v>89</v>
      </c>
      <c r="L2830" s="5" t="s">
        <v>8491</v>
      </c>
      <c r="M2830" s="6" t="s">
        <v>787</v>
      </c>
      <c r="N2830" s="7" t="s">
        <v>92</v>
      </c>
      <c r="O2830" s="7" t="s">
        <v>93</v>
      </c>
      <c r="P2830" s="3" t="s">
        <v>673</v>
      </c>
      <c r="Q2830" s="8" t="s">
        <v>2458</v>
      </c>
      <c r="R2830" s="7" t="s">
        <v>2459</v>
      </c>
      <c r="S2830" s="9">
        <v>10</v>
      </c>
      <c r="T2830" s="9">
        <v>3125</v>
      </c>
      <c r="U2830" s="9">
        <f t="shared" ref="U2830" si="1902">T2830*S2830</f>
        <v>31250</v>
      </c>
      <c r="V2830" s="9">
        <f t="shared" ref="V2830" si="1903">U2830*1.12</f>
        <v>35000</v>
      </c>
      <c r="W2830" s="7"/>
      <c r="X2830" s="2">
        <v>2016</v>
      </c>
      <c r="Y2830" s="2"/>
    </row>
    <row r="2831" spans="1:25" s="11" customFormat="1" ht="89.25" customHeight="1" outlineLevel="1" x14ac:dyDescent="0.25">
      <c r="A2831" s="16"/>
      <c r="B2831" s="2" t="s">
        <v>7168</v>
      </c>
      <c r="C2831" s="3" t="s">
        <v>83</v>
      </c>
      <c r="D2831" s="3" t="s">
        <v>3597</v>
      </c>
      <c r="E2831" s="3" t="s">
        <v>3598</v>
      </c>
      <c r="F2831" s="3" t="s">
        <v>3599</v>
      </c>
      <c r="G2831" s="3" t="s">
        <v>3600</v>
      </c>
      <c r="H2831" s="2" t="s">
        <v>88</v>
      </c>
      <c r="I2831" s="4">
        <v>0.4</v>
      </c>
      <c r="J2831" s="5">
        <v>710000000</v>
      </c>
      <c r="K2831" s="5" t="s">
        <v>89</v>
      </c>
      <c r="L2831" s="2" t="s">
        <v>754</v>
      </c>
      <c r="M2831" s="6" t="s">
        <v>787</v>
      </c>
      <c r="N2831" s="7" t="s">
        <v>92</v>
      </c>
      <c r="O2831" s="7" t="s">
        <v>93</v>
      </c>
      <c r="P2831" s="3" t="s">
        <v>94</v>
      </c>
      <c r="Q2831" s="8">
        <v>796</v>
      </c>
      <c r="R2831" s="7" t="s">
        <v>118</v>
      </c>
      <c r="S2831" s="9">
        <v>8</v>
      </c>
      <c r="T2831" s="9">
        <v>2678.57</v>
      </c>
      <c r="U2831" s="9">
        <v>0</v>
      </c>
      <c r="V2831" s="9">
        <f t="shared" si="1900"/>
        <v>0</v>
      </c>
      <c r="W2831" s="7" t="s">
        <v>97</v>
      </c>
      <c r="X2831" s="2">
        <v>2016</v>
      </c>
      <c r="Y2831" s="2" t="s">
        <v>7670</v>
      </c>
    </row>
    <row r="2832" spans="1:25" s="11" customFormat="1" ht="89.25" customHeight="1" outlineLevel="1" x14ac:dyDescent="0.25">
      <c r="A2832" s="16"/>
      <c r="B2832" s="2" t="s">
        <v>8761</v>
      </c>
      <c r="C2832" s="3" t="s">
        <v>83</v>
      </c>
      <c r="D2832" s="3" t="s">
        <v>3597</v>
      </c>
      <c r="E2832" s="3" t="s">
        <v>3598</v>
      </c>
      <c r="F2832" s="3" t="s">
        <v>3599</v>
      </c>
      <c r="G2832" s="3" t="s">
        <v>3600</v>
      </c>
      <c r="H2832" s="2" t="s">
        <v>88</v>
      </c>
      <c r="I2832" s="4">
        <v>0</v>
      </c>
      <c r="J2832" s="5">
        <v>710000000</v>
      </c>
      <c r="K2832" s="5" t="s">
        <v>89</v>
      </c>
      <c r="L2832" s="5" t="s">
        <v>8491</v>
      </c>
      <c r="M2832" s="6" t="s">
        <v>787</v>
      </c>
      <c r="N2832" s="7" t="s">
        <v>92</v>
      </c>
      <c r="O2832" s="7" t="s">
        <v>93</v>
      </c>
      <c r="P2832" s="3" t="s">
        <v>673</v>
      </c>
      <c r="Q2832" s="8">
        <v>796</v>
      </c>
      <c r="R2832" s="7" t="s">
        <v>118</v>
      </c>
      <c r="S2832" s="9">
        <v>8</v>
      </c>
      <c r="T2832" s="9">
        <v>2678.57</v>
      </c>
      <c r="U2832" s="9">
        <f t="shared" ref="U2832" si="1904">T2832*S2832</f>
        <v>21428.560000000001</v>
      </c>
      <c r="V2832" s="9">
        <f t="shared" ref="V2832" si="1905">U2832*1.12</f>
        <v>23999.987200000003</v>
      </c>
      <c r="W2832" s="7"/>
      <c r="X2832" s="2">
        <v>2016</v>
      </c>
      <c r="Y2832" s="2"/>
    </row>
    <row r="2833" spans="1:25" s="11" customFormat="1" ht="89.25" customHeight="1" outlineLevel="1" x14ac:dyDescent="0.25">
      <c r="A2833" s="16"/>
      <c r="B2833" s="2" t="s">
        <v>7169</v>
      </c>
      <c r="C2833" s="3" t="s">
        <v>83</v>
      </c>
      <c r="D2833" s="3" t="s">
        <v>3601</v>
      </c>
      <c r="E2833" s="3" t="s">
        <v>3511</v>
      </c>
      <c r="F2833" s="3" t="s">
        <v>3602</v>
      </c>
      <c r="G2833" s="3" t="s">
        <v>3603</v>
      </c>
      <c r="H2833" s="2" t="s">
        <v>88</v>
      </c>
      <c r="I2833" s="4">
        <v>0.4</v>
      </c>
      <c r="J2833" s="5">
        <v>710000000</v>
      </c>
      <c r="K2833" s="5" t="s">
        <v>89</v>
      </c>
      <c r="L2833" s="2" t="s">
        <v>754</v>
      </c>
      <c r="M2833" s="6" t="s">
        <v>91</v>
      </c>
      <c r="N2833" s="7" t="s">
        <v>92</v>
      </c>
      <c r="O2833" s="7" t="s">
        <v>93</v>
      </c>
      <c r="P2833" s="3" t="s">
        <v>94</v>
      </c>
      <c r="Q2833" s="8" t="s">
        <v>861</v>
      </c>
      <c r="R2833" s="7" t="s">
        <v>812</v>
      </c>
      <c r="S2833" s="9">
        <v>14</v>
      </c>
      <c r="T2833" s="9">
        <v>6607</v>
      </c>
      <c r="U2833" s="9">
        <v>0</v>
      </c>
      <c r="V2833" s="9">
        <f t="shared" si="1900"/>
        <v>0</v>
      </c>
      <c r="W2833" s="7" t="s">
        <v>97</v>
      </c>
      <c r="X2833" s="2">
        <v>2016</v>
      </c>
      <c r="Y2833" s="2" t="s">
        <v>7670</v>
      </c>
    </row>
    <row r="2834" spans="1:25" s="11" customFormat="1" ht="89.25" customHeight="1" outlineLevel="1" x14ac:dyDescent="0.25">
      <c r="A2834" s="16"/>
      <c r="B2834" s="2" t="s">
        <v>8762</v>
      </c>
      <c r="C2834" s="3" t="s">
        <v>83</v>
      </c>
      <c r="D2834" s="3" t="s">
        <v>3601</v>
      </c>
      <c r="E2834" s="3" t="s">
        <v>3511</v>
      </c>
      <c r="F2834" s="3" t="s">
        <v>3602</v>
      </c>
      <c r="G2834" s="3" t="s">
        <v>3603</v>
      </c>
      <c r="H2834" s="2" t="s">
        <v>88</v>
      </c>
      <c r="I2834" s="4">
        <v>0</v>
      </c>
      <c r="J2834" s="5">
        <v>710000000</v>
      </c>
      <c r="K2834" s="5" t="s">
        <v>89</v>
      </c>
      <c r="L2834" s="5" t="s">
        <v>8491</v>
      </c>
      <c r="M2834" s="6" t="s">
        <v>91</v>
      </c>
      <c r="N2834" s="7" t="s">
        <v>92</v>
      </c>
      <c r="O2834" s="7" t="s">
        <v>93</v>
      </c>
      <c r="P2834" s="3" t="s">
        <v>673</v>
      </c>
      <c r="Q2834" s="8" t="s">
        <v>861</v>
      </c>
      <c r="R2834" s="7" t="s">
        <v>812</v>
      </c>
      <c r="S2834" s="9">
        <v>14</v>
      </c>
      <c r="T2834" s="9">
        <v>6607</v>
      </c>
      <c r="U2834" s="9">
        <f t="shared" ref="U2834" si="1906">T2834*S2834</f>
        <v>92498</v>
      </c>
      <c r="V2834" s="9">
        <f t="shared" ref="V2834" si="1907">U2834*1.12</f>
        <v>103597.76000000001</v>
      </c>
      <c r="W2834" s="7"/>
      <c r="X2834" s="2">
        <v>2016</v>
      </c>
      <c r="Y2834" s="2"/>
    </row>
    <row r="2835" spans="1:25" s="11" customFormat="1" ht="102" customHeight="1" outlineLevel="1" x14ac:dyDescent="0.25">
      <c r="A2835" s="16"/>
      <c r="B2835" s="2" t="s">
        <v>7170</v>
      </c>
      <c r="C2835" s="3" t="s">
        <v>83</v>
      </c>
      <c r="D2835" s="3" t="s">
        <v>3517</v>
      </c>
      <c r="E2835" s="3" t="s">
        <v>3511</v>
      </c>
      <c r="F2835" s="3" t="s">
        <v>3518</v>
      </c>
      <c r="G2835" s="3" t="s">
        <v>3604</v>
      </c>
      <c r="H2835" s="2" t="s">
        <v>88</v>
      </c>
      <c r="I2835" s="4">
        <v>0.4</v>
      </c>
      <c r="J2835" s="5">
        <v>710000000</v>
      </c>
      <c r="K2835" s="5" t="s">
        <v>89</v>
      </c>
      <c r="L2835" s="2" t="s">
        <v>754</v>
      </c>
      <c r="M2835" s="6" t="s">
        <v>91</v>
      </c>
      <c r="N2835" s="7" t="s">
        <v>92</v>
      </c>
      <c r="O2835" s="7" t="s">
        <v>93</v>
      </c>
      <c r="P2835" s="3" t="s">
        <v>94</v>
      </c>
      <c r="Q2835" s="8">
        <v>796</v>
      </c>
      <c r="R2835" s="7" t="s">
        <v>118</v>
      </c>
      <c r="S2835" s="9">
        <v>8</v>
      </c>
      <c r="T2835" s="9">
        <v>3875</v>
      </c>
      <c r="U2835" s="9">
        <v>0</v>
      </c>
      <c r="V2835" s="9">
        <f t="shared" si="1900"/>
        <v>0</v>
      </c>
      <c r="W2835" s="7" t="s">
        <v>97</v>
      </c>
      <c r="X2835" s="2">
        <v>2016</v>
      </c>
      <c r="Y2835" s="2" t="s">
        <v>7670</v>
      </c>
    </row>
    <row r="2836" spans="1:25" s="11" customFormat="1" ht="102" customHeight="1" outlineLevel="1" x14ac:dyDescent="0.25">
      <c r="A2836" s="16"/>
      <c r="B2836" s="2" t="s">
        <v>8763</v>
      </c>
      <c r="C2836" s="3" t="s">
        <v>83</v>
      </c>
      <c r="D2836" s="3" t="s">
        <v>3517</v>
      </c>
      <c r="E2836" s="3" t="s">
        <v>3511</v>
      </c>
      <c r="F2836" s="3" t="s">
        <v>3518</v>
      </c>
      <c r="G2836" s="3" t="s">
        <v>3604</v>
      </c>
      <c r="H2836" s="2" t="s">
        <v>88</v>
      </c>
      <c r="I2836" s="4">
        <v>0</v>
      </c>
      <c r="J2836" s="5">
        <v>710000000</v>
      </c>
      <c r="K2836" s="5" t="s">
        <v>89</v>
      </c>
      <c r="L2836" s="5" t="s">
        <v>8491</v>
      </c>
      <c r="M2836" s="6" t="s">
        <v>91</v>
      </c>
      <c r="N2836" s="7" t="s">
        <v>92</v>
      </c>
      <c r="O2836" s="7" t="s">
        <v>93</v>
      </c>
      <c r="P2836" s="3" t="s">
        <v>673</v>
      </c>
      <c r="Q2836" s="8">
        <v>796</v>
      </c>
      <c r="R2836" s="7" t="s">
        <v>118</v>
      </c>
      <c r="S2836" s="9">
        <v>8</v>
      </c>
      <c r="T2836" s="9">
        <v>3875</v>
      </c>
      <c r="U2836" s="9">
        <f t="shared" ref="U2836" si="1908">T2836*S2836</f>
        <v>31000</v>
      </c>
      <c r="V2836" s="9">
        <f t="shared" ref="V2836" si="1909">U2836*1.12</f>
        <v>34720</v>
      </c>
      <c r="W2836" s="7"/>
      <c r="X2836" s="2">
        <v>2016</v>
      </c>
      <c r="Y2836" s="2"/>
    </row>
    <row r="2837" spans="1:25" s="11" customFormat="1" ht="89.25" customHeight="1" outlineLevel="1" x14ac:dyDescent="0.25">
      <c r="A2837" s="16"/>
      <c r="B2837" s="2" t="s">
        <v>7171</v>
      </c>
      <c r="C2837" s="3" t="s">
        <v>83</v>
      </c>
      <c r="D2837" s="3" t="s">
        <v>3605</v>
      </c>
      <c r="E2837" s="3" t="s">
        <v>3606</v>
      </c>
      <c r="F2837" s="3" t="s">
        <v>3607</v>
      </c>
      <c r="G2837" s="3" t="s">
        <v>3608</v>
      </c>
      <c r="H2837" s="2" t="s">
        <v>88</v>
      </c>
      <c r="I2837" s="4">
        <v>0.4</v>
      </c>
      <c r="J2837" s="5">
        <v>710000000</v>
      </c>
      <c r="K2837" s="5" t="s">
        <v>89</v>
      </c>
      <c r="L2837" s="2" t="s">
        <v>754</v>
      </c>
      <c r="M2837" s="6" t="s">
        <v>91</v>
      </c>
      <c r="N2837" s="7" t="s">
        <v>92</v>
      </c>
      <c r="O2837" s="7" t="s">
        <v>93</v>
      </c>
      <c r="P2837" s="3" t="s">
        <v>94</v>
      </c>
      <c r="Q2837" s="8">
        <v>796</v>
      </c>
      <c r="R2837" s="7" t="s">
        <v>118</v>
      </c>
      <c r="S2837" s="9">
        <v>8</v>
      </c>
      <c r="T2837" s="9">
        <v>6696</v>
      </c>
      <c r="U2837" s="9">
        <v>0</v>
      </c>
      <c r="V2837" s="9">
        <f t="shared" si="1900"/>
        <v>0</v>
      </c>
      <c r="W2837" s="7" t="s">
        <v>97</v>
      </c>
      <c r="X2837" s="2">
        <v>2016</v>
      </c>
      <c r="Y2837" s="2" t="s">
        <v>7670</v>
      </c>
    </row>
    <row r="2838" spans="1:25" s="11" customFormat="1" ht="89.25" customHeight="1" outlineLevel="1" x14ac:dyDescent="0.25">
      <c r="A2838" s="16"/>
      <c r="B2838" s="2" t="s">
        <v>8764</v>
      </c>
      <c r="C2838" s="3" t="s">
        <v>83</v>
      </c>
      <c r="D2838" s="3" t="s">
        <v>3605</v>
      </c>
      <c r="E2838" s="3" t="s">
        <v>3606</v>
      </c>
      <c r="F2838" s="3" t="s">
        <v>3607</v>
      </c>
      <c r="G2838" s="3" t="s">
        <v>3608</v>
      </c>
      <c r="H2838" s="2" t="s">
        <v>88</v>
      </c>
      <c r="I2838" s="4">
        <v>0</v>
      </c>
      <c r="J2838" s="5">
        <v>710000000</v>
      </c>
      <c r="K2838" s="5" t="s">
        <v>89</v>
      </c>
      <c r="L2838" s="5" t="s">
        <v>8491</v>
      </c>
      <c r="M2838" s="6" t="s">
        <v>91</v>
      </c>
      <c r="N2838" s="7" t="s">
        <v>92</v>
      </c>
      <c r="O2838" s="7" t="s">
        <v>93</v>
      </c>
      <c r="P2838" s="3" t="s">
        <v>673</v>
      </c>
      <c r="Q2838" s="8">
        <v>796</v>
      </c>
      <c r="R2838" s="7" t="s">
        <v>118</v>
      </c>
      <c r="S2838" s="9">
        <v>8</v>
      </c>
      <c r="T2838" s="9">
        <v>6696</v>
      </c>
      <c r="U2838" s="9">
        <f t="shared" ref="U2838" si="1910">T2838*S2838</f>
        <v>53568</v>
      </c>
      <c r="V2838" s="9">
        <f t="shared" ref="V2838" si="1911">U2838*1.12</f>
        <v>59996.160000000003</v>
      </c>
      <c r="W2838" s="7"/>
      <c r="X2838" s="2">
        <v>2016</v>
      </c>
      <c r="Y2838" s="2"/>
    </row>
    <row r="2839" spans="1:25" s="11" customFormat="1" ht="89.25" customHeight="1" outlineLevel="1" x14ac:dyDescent="0.25">
      <c r="A2839" s="16"/>
      <c r="B2839" s="2" t="s">
        <v>7172</v>
      </c>
      <c r="C2839" s="3" t="s">
        <v>83</v>
      </c>
      <c r="D2839" s="3" t="s">
        <v>3601</v>
      </c>
      <c r="E2839" s="3" t="s">
        <v>3511</v>
      </c>
      <c r="F2839" s="3" t="s">
        <v>3602</v>
      </c>
      <c r="G2839" s="3" t="s">
        <v>9649</v>
      </c>
      <c r="H2839" s="2" t="s">
        <v>88</v>
      </c>
      <c r="I2839" s="4">
        <v>0.4</v>
      </c>
      <c r="J2839" s="5">
        <v>710000000</v>
      </c>
      <c r="K2839" s="5" t="s">
        <v>89</v>
      </c>
      <c r="L2839" s="2" t="s">
        <v>754</v>
      </c>
      <c r="M2839" s="6" t="s">
        <v>91</v>
      </c>
      <c r="N2839" s="7" t="s">
        <v>92</v>
      </c>
      <c r="O2839" s="7" t="s">
        <v>93</v>
      </c>
      <c r="P2839" s="3" t="s">
        <v>94</v>
      </c>
      <c r="Q2839" s="8" t="s">
        <v>861</v>
      </c>
      <c r="R2839" s="7" t="s">
        <v>812</v>
      </c>
      <c r="S2839" s="9">
        <v>2</v>
      </c>
      <c r="T2839" s="9">
        <v>8027</v>
      </c>
      <c r="U2839" s="9">
        <v>0</v>
      </c>
      <c r="V2839" s="9">
        <f t="shared" si="1900"/>
        <v>0</v>
      </c>
      <c r="W2839" s="7" t="s">
        <v>97</v>
      </c>
      <c r="X2839" s="2">
        <v>2016</v>
      </c>
      <c r="Y2839" s="2" t="s">
        <v>7670</v>
      </c>
    </row>
    <row r="2840" spans="1:25" s="11" customFormat="1" ht="89.25" customHeight="1" outlineLevel="1" x14ac:dyDescent="0.25">
      <c r="A2840" s="16"/>
      <c r="B2840" s="2" t="s">
        <v>8765</v>
      </c>
      <c r="C2840" s="3" t="s">
        <v>83</v>
      </c>
      <c r="D2840" s="3" t="s">
        <v>3601</v>
      </c>
      <c r="E2840" s="3" t="s">
        <v>3511</v>
      </c>
      <c r="F2840" s="3" t="s">
        <v>3602</v>
      </c>
      <c r="G2840" s="3" t="s">
        <v>9649</v>
      </c>
      <c r="H2840" s="2" t="s">
        <v>88</v>
      </c>
      <c r="I2840" s="4">
        <v>0</v>
      </c>
      <c r="J2840" s="5">
        <v>710000000</v>
      </c>
      <c r="K2840" s="5" t="s">
        <v>89</v>
      </c>
      <c r="L2840" s="5" t="s">
        <v>8491</v>
      </c>
      <c r="M2840" s="6" t="s">
        <v>91</v>
      </c>
      <c r="N2840" s="7" t="s">
        <v>92</v>
      </c>
      <c r="O2840" s="7" t="s">
        <v>93</v>
      </c>
      <c r="P2840" s="3" t="s">
        <v>673</v>
      </c>
      <c r="Q2840" s="8" t="s">
        <v>861</v>
      </c>
      <c r="R2840" s="7" t="s">
        <v>812</v>
      </c>
      <c r="S2840" s="9">
        <v>2</v>
      </c>
      <c r="T2840" s="9">
        <v>8027</v>
      </c>
      <c r="U2840" s="9">
        <f t="shared" ref="U2840" si="1912">T2840*S2840</f>
        <v>16054</v>
      </c>
      <c r="V2840" s="9">
        <f t="shared" ref="V2840" si="1913">U2840*1.12</f>
        <v>17980.480000000003</v>
      </c>
      <c r="W2840" s="7"/>
      <c r="X2840" s="2">
        <v>2016</v>
      </c>
      <c r="Y2840" s="2"/>
    </row>
    <row r="2841" spans="1:25" s="11" customFormat="1" ht="89.25" customHeight="1" outlineLevel="1" x14ac:dyDescent="0.25">
      <c r="A2841" s="16"/>
      <c r="B2841" s="2" t="s">
        <v>7173</v>
      </c>
      <c r="C2841" s="3" t="s">
        <v>83</v>
      </c>
      <c r="D2841" s="3" t="s">
        <v>3609</v>
      </c>
      <c r="E2841" s="3" t="s">
        <v>3610</v>
      </c>
      <c r="F2841" s="3" t="s">
        <v>3611</v>
      </c>
      <c r="G2841" s="3" t="s">
        <v>3612</v>
      </c>
      <c r="H2841" s="2" t="s">
        <v>88</v>
      </c>
      <c r="I2841" s="4">
        <v>0.4</v>
      </c>
      <c r="J2841" s="5">
        <v>710000000</v>
      </c>
      <c r="K2841" s="5" t="s">
        <v>89</v>
      </c>
      <c r="L2841" s="2" t="s">
        <v>754</v>
      </c>
      <c r="M2841" s="6" t="s">
        <v>91</v>
      </c>
      <c r="N2841" s="7" t="s">
        <v>92</v>
      </c>
      <c r="O2841" s="7" t="s">
        <v>93</v>
      </c>
      <c r="P2841" s="3" t="s">
        <v>94</v>
      </c>
      <c r="Q2841" s="8">
        <v>796</v>
      </c>
      <c r="R2841" s="7" t="s">
        <v>118</v>
      </c>
      <c r="S2841" s="9">
        <v>14</v>
      </c>
      <c r="T2841" s="9">
        <v>348</v>
      </c>
      <c r="U2841" s="9">
        <v>0</v>
      </c>
      <c r="V2841" s="9">
        <f t="shared" si="1900"/>
        <v>0</v>
      </c>
      <c r="W2841" s="7" t="s">
        <v>97</v>
      </c>
      <c r="X2841" s="2">
        <v>2016</v>
      </c>
      <c r="Y2841" s="2" t="s">
        <v>7670</v>
      </c>
    </row>
    <row r="2842" spans="1:25" s="11" customFormat="1" ht="89.25" customHeight="1" outlineLevel="1" x14ac:dyDescent="0.25">
      <c r="A2842" s="16"/>
      <c r="B2842" s="2" t="s">
        <v>8766</v>
      </c>
      <c r="C2842" s="3" t="s">
        <v>83</v>
      </c>
      <c r="D2842" s="3" t="s">
        <v>3609</v>
      </c>
      <c r="E2842" s="3" t="s">
        <v>3610</v>
      </c>
      <c r="F2842" s="3" t="s">
        <v>3611</v>
      </c>
      <c r="G2842" s="3" t="s">
        <v>3612</v>
      </c>
      <c r="H2842" s="2" t="s">
        <v>88</v>
      </c>
      <c r="I2842" s="4">
        <v>0</v>
      </c>
      <c r="J2842" s="5">
        <v>710000000</v>
      </c>
      <c r="K2842" s="5" t="s">
        <v>89</v>
      </c>
      <c r="L2842" s="5" t="s">
        <v>8491</v>
      </c>
      <c r="M2842" s="6" t="s">
        <v>91</v>
      </c>
      <c r="N2842" s="7" t="s">
        <v>92</v>
      </c>
      <c r="O2842" s="7" t="s">
        <v>93</v>
      </c>
      <c r="P2842" s="3" t="s">
        <v>673</v>
      </c>
      <c r="Q2842" s="8">
        <v>796</v>
      </c>
      <c r="R2842" s="7" t="s">
        <v>118</v>
      </c>
      <c r="S2842" s="9">
        <v>14</v>
      </c>
      <c r="T2842" s="9">
        <v>348</v>
      </c>
      <c r="U2842" s="9">
        <f t="shared" ref="U2842" si="1914">T2842*S2842</f>
        <v>4872</v>
      </c>
      <c r="V2842" s="9">
        <f t="shared" ref="V2842" si="1915">U2842*1.12</f>
        <v>5456.64</v>
      </c>
      <c r="W2842" s="7"/>
      <c r="X2842" s="2">
        <v>2016</v>
      </c>
      <c r="Y2842" s="2"/>
    </row>
    <row r="2843" spans="1:25" s="11" customFormat="1" ht="89.25" customHeight="1" outlineLevel="1" x14ac:dyDescent="0.25">
      <c r="A2843" s="16"/>
      <c r="B2843" s="2" t="s">
        <v>7174</v>
      </c>
      <c r="C2843" s="3" t="s">
        <v>83</v>
      </c>
      <c r="D2843" s="3" t="s">
        <v>3613</v>
      </c>
      <c r="E2843" s="3" t="s">
        <v>3614</v>
      </c>
      <c r="F2843" s="3" t="s">
        <v>3615</v>
      </c>
      <c r="G2843" s="3" t="s">
        <v>3616</v>
      </c>
      <c r="H2843" s="2" t="s">
        <v>88</v>
      </c>
      <c r="I2843" s="4">
        <v>0.4</v>
      </c>
      <c r="J2843" s="5">
        <v>710000000</v>
      </c>
      <c r="K2843" s="5" t="s">
        <v>89</v>
      </c>
      <c r="L2843" s="2" t="s">
        <v>754</v>
      </c>
      <c r="M2843" s="6" t="s">
        <v>91</v>
      </c>
      <c r="N2843" s="7" t="s">
        <v>92</v>
      </c>
      <c r="O2843" s="7" t="s">
        <v>93</v>
      </c>
      <c r="P2843" s="3" t="s">
        <v>94</v>
      </c>
      <c r="Q2843" s="8">
        <v>796</v>
      </c>
      <c r="R2843" s="7" t="s">
        <v>118</v>
      </c>
      <c r="S2843" s="9">
        <v>8</v>
      </c>
      <c r="T2843" s="9">
        <v>188</v>
      </c>
      <c r="U2843" s="9">
        <v>0</v>
      </c>
      <c r="V2843" s="9">
        <f t="shared" si="1900"/>
        <v>0</v>
      </c>
      <c r="W2843" s="7" t="s">
        <v>97</v>
      </c>
      <c r="X2843" s="2">
        <v>2016</v>
      </c>
      <c r="Y2843" s="2" t="s">
        <v>7670</v>
      </c>
    </row>
    <row r="2844" spans="1:25" s="11" customFormat="1" ht="89.25" customHeight="1" outlineLevel="1" x14ac:dyDescent="0.25">
      <c r="A2844" s="16"/>
      <c r="B2844" s="2" t="s">
        <v>8767</v>
      </c>
      <c r="C2844" s="3" t="s">
        <v>83</v>
      </c>
      <c r="D2844" s="3" t="s">
        <v>3613</v>
      </c>
      <c r="E2844" s="3" t="s">
        <v>3614</v>
      </c>
      <c r="F2844" s="3" t="s">
        <v>3615</v>
      </c>
      <c r="G2844" s="3" t="s">
        <v>3616</v>
      </c>
      <c r="H2844" s="2" t="s">
        <v>88</v>
      </c>
      <c r="I2844" s="4">
        <v>0</v>
      </c>
      <c r="J2844" s="5">
        <v>710000000</v>
      </c>
      <c r="K2844" s="5" t="s">
        <v>89</v>
      </c>
      <c r="L2844" s="5" t="s">
        <v>8491</v>
      </c>
      <c r="M2844" s="6" t="s">
        <v>91</v>
      </c>
      <c r="N2844" s="7" t="s">
        <v>92</v>
      </c>
      <c r="O2844" s="7" t="s">
        <v>93</v>
      </c>
      <c r="P2844" s="3" t="s">
        <v>673</v>
      </c>
      <c r="Q2844" s="8">
        <v>796</v>
      </c>
      <c r="R2844" s="7" t="s">
        <v>118</v>
      </c>
      <c r="S2844" s="9">
        <v>8</v>
      </c>
      <c r="T2844" s="9">
        <v>188</v>
      </c>
      <c r="U2844" s="9">
        <f t="shared" ref="U2844" si="1916">T2844*S2844</f>
        <v>1504</v>
      </c>
      <c r="V2844" s="9">
        <f t="shared" ref="V2844" si="1917">U2844*1.12</f>
        <v>1684.4800000000002</v>
      </c>
      <c r="W2844" s="7"/>
      <c r="X2844" s="2">
        <v>2016</v>
      </c>
      <c r="Y2844" s="2"/>
    </row>
    <row r="2845" spans="1:25" s="11" customFormat="1" ht="89.25" customHeight="1" outlineLevel="1" x14ac:dyDescent="0.25">
      <c r="A2845" s="16"/>
      <c r="B2845" s="2" t="s">
        <v>7175</v>
      </c>
      <c r="C2845" s="3" t="s">
        <v>83</v>
      </c>
      <c r="D2845" s="3" t="s">
        <v>3617</v>
      </c>
      <c r="E2845" s="3" t="s">
        <v>3618</v>
      </c>
      <c r="F2845" s="3" t="s">
        <v>3619</v>
      </c>
      <c r="G2845" s="3" t="s">
        <v>3620</v>
      </c>
      <c r="H2845" s="2" t="s">
        <v>88</v>
      </c>
      <c r="I2845" s="4">
        <v>0.4</v>
      </c>
      <c r="J2845" s="5">
        <v>710000000</v>
      </c>
      <c r="K2845" s="5" t="s">
        <v>89</v>
      </c>
      <c r="L2845" s="2" t="s">
        <v>754</v>
      </c>
      <c r="M2845" s="6" t="s">
        <v>91</v>
      </c>
      <c r="N2845" s="7" t="s">
        <v>92</v>
      </c>
      <c r="O2845" s="7" t="s">
        <v>93</v>
      </c>
      <c r="P2845" s="3" t="s">
        <v>94</v>
      </c>
      <c r="Q2845" s="8">
        <v>796</v>
      </c>
      <c r="R2845" s="7" t="s">
        <v>118</v>
      </c>
      <c r="S2845" s="9">
        <v>14</v>
      </c>
      <c r="T2845" s="9">
        <v>2054</v>
      </c>
      <c r="U2845" s="9">
        <v>0</v>
      </c>
      <c r="V2845" s="9">
        <f t="shared" si="1900"/>
        <v>0</v>
      </c>
      <c r="W2845" s="7" t="s">
        <v>97</v>
      </c>
      <c r="X2845" s="2">
        <v>2016</v>
      </c>
      <c r="Y2845" s="2" t="s">
        <v>7670</v>
      </c>
    </row>
    <row r="2846" spans="1:25" s="11" customFormat="1" ht="89.25" customHeight="1" outlineLevel="1" x14ac:dyDescent="0.25">
      <c r="A2846" s="16"/>
      <c r="B2846" s="2" t="s">
        <v>8768</v>
      </c>
      <c r="C2846" s="3" t="s">
        <v>83</v>
      </c>
      <c r="D2846" s="3" t="s">
        <v>3617</v>
      </c>
      <c r="E2846" s="3" t="s">
        <v>3618</v>
      </c>
      <c r="F2846" s="3" t="s">
        <v>3619</v>
      </c>
      <c r="G2846" s="3" t="s">
        <v>3620</v>
      </c>
      <c r="H2846" s="2" t="s">
        <v>88</v>
      </c>
      <c r="I2846" s="4">
        <v>0</v>
      </c>
      <c r="J2846" s="5">
        <v>710000000</v>
      </c>
      <c r="K2846" s="5" t="s">
        <v>89</v>
      </c>
      <c r="L2846" s="5" t="s">
        <v>8491</v>
      </c>
      <c r="M2846" s="6" t="s">
        <v>91</v>
      </c>
      <c r="N2846" s="7" t="s">
        <v>92</v>
      </c>
      <c r="O2846" s="7" t="s">
        <v>93</v>
      </c>
      <c r="P2846" s="3" t="s">
        <v>673</v>
      </c>
      <c r="Q2846" s="8">
        <v>796</v>
      </c>
      <c r="R2846" s="7" t="s">
        <v>118</v>
      </c>
      <c r="S2846" s="9">
        <v>14</v>
      </c>
      <c r="T2846" s="9">
        <v>2054</v>
      </c>
      <c r="U2846" s="9">
        <f t="shared" ref="U2846" si="1918">T2846*S2846</f>
        <v>28756</v>
      </c>
      <c r="V2846" s="9">
        <f t="shared" ref="V2846" si="1919">U2846*1.12</f>
        <v>32206.720000000005</v>
      </c>
      <c r="W2846" s="7"/>
      <c r="X2846" s="2">
        <v>2016</v>
      </c>
      <c r="Y2846" s="2"/>
    </row>
    <row r="2847" spans="1:25" s="11" customFormat="1" ht="89.25" customHeight="1" outlineLevel="1" x14ac:dyDescent="0.25">
      <c r="A2847" s="16"/>
      <c r="B2847" s="2" t="s">
        <v>7176</v>
      </c>
      <c r="C2847" s="3" t="s">
        <v>83</v>
      </c>
      <c r="D2847" s="3" t="s">
        <v>3621</v>
      </c>
      <c r="E2847" s="3" t="s">
        <v>3618</v>
      </c>
      <c r="F2847" s="3" t="s">
        <v>3622</v>
      </c>
      <c r="G2847" s="3" t="s">
        <v>3623</v>
      </c>
      <c r="H2847" s="2" t="s">
        <v>88</v>
      </c>
      <c r="I2847" s="4">
        <v>0.4</v>
      </c>
      <c r="J2847" s="5">
        <v>710000000</v>
      </c>
      <c r="K2847" s="5" t="s">
        <v>89</v>
      </c>
      <c r="L2847" s="2" t="s">
        <v>754</v>
      </c>
      <c r="M2847" s="6" t="s">
        <v>91</v>
      </c>
      <c r="N2847" s="7" t="s">
        <v>92</v>
      </c>
      <c r="O2847" s="7" t="s">
        <v>93</v>
      </c>
      <c r="P2847" s="3" t="s">
        <v>94</v>
      </c>
      <c r="Q2847" s="8">
        <v>796</v>
      </c>
      <c r="R2847" s="7" t="s">
        <v>118</v>
      </c>
      <c r="S2847" s="9">
        <v>4</v>
      </c>
      <c r="T2847" s="9">
        <v>2054</v>
      </c>
      <c r="U2847" s="9">
        <v>0</v>
      </c>
      <c r="V2847" s="9">
        <f t="shared" si="1900"/>
        <v>0</v>
      </c>
      <c r="W2847" s="7" t="s">
        <v>97</v>
      </c>
      <c r="X2847" s="2">
        <v>2016</v>
      </c>
      <c r="Y2847" s="2" t="s">
        <v>7670</v>
      </c>
    </row>
    <row r="2848" spans="1:25" s="11" customFormat="1" ht="89.25" customHeight="1" outlineLevel="1" x14ac:dyDescent="0.25">
      <c r="A2848" s="16"/>
      <c r="B2848" s="2" t="s">
        <v>8769</v>
      </c>
      <c r="C2848" s="3" t="s">
        <v>83</v>
      </c>
      <c r="D2848" s="3" t="s">
        <v>3621</v>
      </c>
      <c r="E2848" s="3" t="s">
        <v>3618</v>
      </c>
      <c r="F2848" s="3" t="s">
        <v>3622</v>
      </c>
      <c r="G2848" s="3" t="s">
        <v>3623</v>
      </c>
      <c r="H2848" s="2" t="s">
        <v>88</v>
      </c>
      <c r="I2848" s="4">
        <v>0</v>
      </c>
      <c r="J2848" s="5">
        <v>710000000</v>
      </c>
      <c r="K2848" s="5" t="s">
        <v>89</v>
      </c>
      <c r="L2848" s="5" t="s">
        <v>8491</v>
      </c>
      <c r="M2848" s="6" t="s">
        <v>91</v>
      </c>
      <c r="N2848" s="7" t="s">
        <v>92</v>
      </c>
      <c r="O2848" s="7" t="s">
        <v>93</v>
      </c>
      <c r="P2848" s="3" t="s">
        <v>673</v>
      </c>
      <c r="Q2848" s="8">
        <v>796</v>
      </c>
      <c r="R2848" s="7" t="s">
        <v>118</v>
      </c>
      <c r="S2848" s="9">
        <v>4</v>
      </c>
      <c r="T2848" s="9">
        <v>2054</v>
      </c>
      <c r="U2848" s="9">
        <f t="shared" ref="U2848" si="1920">T2848*S2848</f>
        <v>8216</v>
      </c>
      <c r="V2848" s="9">
        <f t="shared" ref="V2848" si="1921">U2848*1.12</f>
        <v>9201.92</v>
      </c>
      <c r="W2848" s="7"/>
      <c r="X2848" s="2">
        <v>2016</v>
      </c>
      <c r="Y2848" s="2"/>
    </row>
    <row r="2849" spans="1:25" s="11" customFormat="1" ht="89.25" customHeight="1" outlineLevel="1" x14ac:dyDescent="0.25">
      <c r="A2849" s="16"/>
      <c r="B2849" s="2" t="s">
        <v>7177</v>
      </c>
      <c r="C2849" s="3" t="s">
        <v>83</v>
      </c>
      <c r="D2849" s="3" t="s">
        <v>3624</v>
      </c>
      <c r="E2849" s="3" t="s">
        <v>3511</v>
      </c>
      <c r="F2849" s="3" t="s">
        <v>3625</v>
      </c>
      <c r="G2849" s="3" t="s">
        <v>3626</v>
      </c>
      <c r="H2849" s="2" t="s">
        <v>88</v>
      </c>
      <c r="I2849" s="4">
        <v>0.4</v>
      </c>
      <c r="J2849" s="5">
        <v>710000000</v>
      </c>
      <c r="K2849" s="5" t="s">
        <v>89</v>
      </c>
      <c r="L2849" s="2" t="s">
        <v>754</v>
      </c>
      <c r="M2849" s="6" t="s">
        <v>91</v>
      </c>
      <c r="N2849" s="7" t="s">
        <v>92</v>
      </c>
      <c r="O2849" s="7" t="s">
        <v>93</v>
      </c>
      <c r="P2849" s="3" t="s">
        <v>94</v>
      </c>
      <c r="Q2849" s="8" t="s">
        <v>861</v>
      </c>
      <c r="R2849" s="7" t="s">
        <v>812</v>
      </c>
      <c r="S2849" s="9">
        <v>3</v>
      </c>
      <c r="T2849" s="9">
        <v>7232</v>
      </c>
      <c r="U2849" s="9">
        <v>0</v>
      </c>
      <c r="V2849" s="9">
        <f t="shared" si="1900"/>
        <v>0</v>
      </c>
      <c r="W2849" s="7" t="s">
        <v>97</v>
      </c>
      <c r="X2849" s="2">
        <v>2016</v>
      </c>
      <c r="Y2849" s="2" t="s">
        <v>7670</v>
      </c>
    </row>
    <row r="2850" spans="1:25" s="11" customFormat="1" ht="89.25" customHeight="1" outlineLevel="1" x14ac:dyDescent="0.25">
      <c r="A2850" s="16"/>
      <c r="B2850" s="2" t="s">
        <v>8770</v>
      </c>
      <c r="C2850" s="3" t="s">
        <v>83</v>
      </c>
      <c r="D2850" s="3" t="s">
        <v>3624</v>
      </c>
      <c r="E2850" s="3" t="s">
        <v>3511</v>
      </c>
      <c r="F2850" s="3" t="s">
        <v>3625</v>
      </c>
      <c r="G2850" s="3" t="s">
        <v>3626</v>
      </c>
      <c r="H2850" s="2" t="s">
        <v>88</v>
      </c>
      <c r="I2850" s="4">
        <v>0</v>
      </c>
      <c r="J2850" s="5">
        <v>710000000</v>
      </c>
      <c r="K2850" s="5" t="s">
        <v>89</v>
      </c>
      <c r="L2850" s="5" t="s">
        <v>8491</v>
      </c>
      <c r="M2850" s="6" t="s">
        <v>91</v>
      </c>
      <c r="N2850" s="7" t="s">
        <v>92</v>
      </c>
      <c r="O2850" s="7" t="s">
        <v>93</v>
      </c>
      <c r="P2850" s="3" t="s">
        <v>673</v>
      </c>
      <c r="Q2850" s="8" t="s">
        <v>861</v>
      </c>
      <c r="R2850" s="7" t="s">
        <v>812</v>
      </c>
      <c r="S2850" s="9">
        <v>3</v>
      </c>
      <c r="T2850" s="9">
        <v>7232</v>
      </c>
      <c r="U2850" s="9">
        <f t="shared" ref="U2850" si="1922">T2850*S2850</f>
        <v>21696</v>
      </c>
      <c r="V2850" s="9">
        <f t="shared" ref="V2850" si="1923">U2850*1.12</f>
        <v>24299.520000000004</v>
      </c>
      <c r="W2850" s="7"/>
      <c r="X2850" s="2">
        <v>2016</v>
      </c>
      <c r="Y2850" s="2"/>
    </row>
    <row r="2851" spans="1:25" s="11" customFormat="1" ht="165.75" customHeight="1" outlineLevel="1" x14ac:dyDescent="0.25">
      <c r="A2851" s="16"/>
      <c r="B2851" s="2" t="s">
        <v>7178</v>
      </c>
      <c r="C2851" s="3" t="s">
        <v>83</v>
      </c>
      <c r="D2851" s="3" t="s">
        <v>3627</v>
      </c>
      <c r="E2851" s="3" t="s">
        <v>3511</v>
      </c>
      <c r="F2851" s="3" t="s">
        <v>3628</v>
      </c>
      <c r="G2851" s="3" t="s">
        <v>3629</v>
      </c>
      <c r="H2851" s="2" t="s">
        <v>88</v>
      </c>
      <c r="I2851" s="4">
        <v>0.4</v>
      </c>
      <c r="J2851" s="5">
        <v>710000000</v>
      </c>
      <c r="K2851" s="5" t="s">
        <v>89</v>
      </c>
      <c r="L2851" s="2" t="s">
        <v>754</v>
      </c>
      <c r="M2851" s="6" t="s">
        <v>91</v>
      </c>
      <c r="N2851" s="7" t="s">
        <v>92</v>
      </c>
      <c r="O2851" s="7" t="s">
        <v>93</v>
      </c>
      <c r="P2851" s="3" t="s">
        <v>94</v>
      </c>
      <c r="Q2851" s="8">
        <v>796</v>
      </c>
      <c r="R2851" s="7" t="s">
        <v>118</v>
      </c>
      <c r="S2851" s="9">
        <v>1</v>
      </c>
      <c r="T2851" s="9">
        <v>7232</v>
      </c>
      <c r="U2851" s="9">
        <v>0</v>
      </c>
      <c r="V2851" s="9">
        <f t="shared" si="1900"/>
        <v>0</v>
      </c>
      <c r="W2851" s="7" t="s">
        <v>97</v>
      </c>
      <c r="X2851" s="2">
        <v>2016</v>
      </c>
      <c r="Y2851" s="2" t="s">
        <v>7670</v>
      </c>
    </row>
    <row r="2852" spans="1:25" s="11" customFormat="1" ht="165.75" customHeight="1" outlineLevel="1" x14ac:dyDescent="0.25">
      <c r="A2852" s="16"/>
      <c r="B2852" s="2" t="s">
        <v>8771</v>
      </c>
      <c r="C2852" s="3" t="s">
        <v>83</v>
      </c>
      <c r="D2852" s="3" t="s">
        <v>3627</v>
      </c>
      <c r="E2852" s="3" t="s">
        <v>3511</v>
      </c>
      <c r="F2852" s="3" t="s">
        <v>3628</v>
      </c>
      <c r="G2852" s="3" t="s">
        <v>3629</v>
      </c>
      <c r="H2852" s="2" t="s">
        <v>88</v>
      </c>
      <c r="I2852" s="4">
        <v>0</v>
      </c>
      <c r="J2852" s="5">
        <v>710000000</v>
      </c>
      <c r="K2852" s="5" t="s">
        <v>89</v>
      </c>
      <c r="L2852" s="5" t="s">
        <v>8491</v>
      </c>
      <c r="M2852" s="6" t="s">
        <v>91</v>
      </c>
      <c r="N2852" s="7" t="s">
        <v>92</v>
      </c>
      <c r="O2852" s="7" t="s">
        <v>93</v>
      </c>
      <c r="P2852" s="3" t="s">
        <v>673</v>
      </c>
      <c r="Q2852" s="8">
        <v>796</v>
      </c>
      <c r="R2852" s="7" t="s">
        <v>118</v>
      </c>
      <c r="S2852" s="9">
        <v>1</v>
      </c>
      <c r="T2852" s="9">
        <v>7232</v>
      </c>
      <c r="U2852" s="9">
        <f t="shared" ref="U2852" si="1924">T2852*S2852</f>
        <v>7232</v>
      </c>
      <c r="V2852" s="9">
        <f t="shared" ref="V2852" si="1925">U2852*1.12</f>
        <v>8099.8400000000011</v>
      </c>
      <c r="W2852" s="7"/>
      <c r="X2852" s="2">
        <v>2016</v>
      </c>
      <c r="Y2852" s="2"/>
    </row>
    <row r="2853" spans="1:25" s="11" customFormat="1" ht="89.25" customHeight="1" outlineLevel="1" x14ac:dyDescent="0.25">
      <c r="A2853" s="16"/>
      <c r="B2853" s="2" t="s">
        <v>7179</v>
      </c>
      <c r="C2853" s="3" t="s">
        <v>83</v>
      </c>
      <c r="D2853" s="3" t="s">
        <v>3630</v>
      </c>
      <c r="E2853" s="3" t="s">
        <v>3477</v>
      </c>
      <c r="F2853" s="3" t="s">
        <v>3631</v>
      </c>
      <c r="G2853" s="3" t="s">
        <v>3632</v>
      </c>
      <c r="H2853" s="2" t="s">
        <v>88</v>
      </c>
      <c r="I2853" s="4">
        <v>0.4</v>
      </c>
      <c r="J2853" s="5">
        <v>710000000</v>
      </c>
      <c r="K2853" s="5" t="s">
        <v>89</v>
      </c>
      <c r="L2853" s="2" t="s">
        <v>754</v>
      </c>
      <c r="M2853" s="6" t="s">
        <v>91</v>
      </c>
      <c r="N2853" s="7" t="s">
        <v>92</v>
      </c>
      <c r="O2853" s="7" t="s">
        <v>93</v>
      </c>
      <c r="P2853" s="3" t="s">
        <v>94</v>
      </c>
      <c r="Q2853" s="8">
        <v>796</v>
      </c>
      <c r="R2853" s="7" t="s">
        <v>118</v>
      </c>
      <c r="S2853" s="9">
        <v>3</v>
      </c>
      <c r="T2853" s="9">
        <v>4464</v>
      </c>
      <c r="U2853" s="9">
        <v>0</v>
      </c>
      <c r="V2853" s="9">
        <f t="shared" si="1900"/>
        <v>0</v>
      </c>
      <c r="W2853" s="7" t="s">
        <v>97</v>
      </c>
      <c r="X2853" s="2">
        <v>2016</v>
      </c>
      <c r="Y2853" s="2" t="s">
        <v>7670</v>
      </c>
    </row>
    <row r="2854" spans="1:25" s="11" customFormat="1" ht="89.25" customHeight="1" outlineLevel="1" x14ac:dyDescent="0.25">
      <c r="A2854" s="16"/>
      <c r="B2854" s="2" t="s">
        <v>8772</v>
      </c>
      <c r="C2854" s="3" t="s">
        <v>83</v>
      </c>
      <c r="D2854" s="3" t="s">
        <v>3630</v>
      </c>
      <c r="E2854" s="3" t="s">
        <v>3477</v>
      </c>
      <c r="F2854" s="3" t="s">
        <v>3631</v>
      </c>
      <c r="G2854" s="3" t="s">
        <v>3632</v>
      </c>
      <c r="H2854" s="2" t="s">
        <v>88</v>
      </c>
      <c r="I2854" s="4">
        <v>0</v>
      </c>
      <c r="J2854" s="5">
        <v>710000000</v>
      </c>
      <c r="K2854" s="5" t="s">
        <v>89</v>
      </c>
      <c r="L2854" s="5" t="s">
        <v>8491</v>
      </c>
      <c r="M2854" s="6" t="s">
        <v>91</v>
      </c>
      <c r="N2854" s="7" t="s">
        <v>92</v>
      </c>
      <c r="O2854" s="7" t="s">
        <v>93</v>
      </c>
      <c r="P2854" s="3" t="s">
        <v>673</v>
      </c>
      <c r="Q2854" s="8">
        <v>796</v>
      </c>
      <c r="R2854" s="7" t="s">
        <v>118</v>
      </c>
      <c r="S2854" s="9">
        <v>3</v>
      </c>
      <c r="T2854" s="9">
        <v>4464</v>
      </c>
      <c r="U2854" s="9">
        <f t="shared" ref="U2854" si="1926">T2854*S2854</f>
        <v>13392</v>
      </c>
      <c r="V2854" s="9">
        <f t="shared" ref="V2854" si="1927">U2854*1.12</f>
        <v>14999.04</v>
      </c>
      <c r="W2854" s="7"/>
      <c r="X2854" s="2">
        <v>2016</v>
      </c>
      <c r="Y2854" s="2"/>
    </row>
    <row r="2855" spans="1:25" s="11" customFormat="1" ht="114.75" customHeight="1" outlineLevel="1" x14ac:dyDescent="0.25">
      <c r="A2855" s="16"/>
      <c r="B2855" s="2" t="s">
        <v>7180</v>
      </c>
      <c r="C2855" s="3" t="s">
        <v>83</v>
      </c>
      <c r="D2855" s="3" t="s">
        <v>3633</v>
      </c>
      <c r="E2855" s="3" t="s">
        <v>3477</v>
      </c>
      <c r="F2855" s="3" t="s">
        <v>3634</v>
      </c>
      <c r="G2855" s="3" t="s">
        <v>3635</v>
      </c>
      <c r="H2855" s="2" t="s">
        <v>88</v>
      </c>
      <c r="I2855" s="4">
        <v>0.4</v>
      </c>
      <c r="J2855" s="5">
        <v>710000000</v>
      </c>
      <c r="K2855" s="5" t="s">
        <v>89</v>
      </c>
      <c r="L2855" s="2" t="s">
        <v>754</v>
      </c>
      <c r="M2855" s="6" t="s">
        <v>91</v>
      </c>
      <c r="N2855" s="7" t="s">
        <v>92</v>
      </c>
      <c r="O2855" s="7" t="s">
        <v>93</v>
      </c>
      <c r="P2855" s="3" t="s">
        <v>94</v>
      </c>
      <c r="Q2855" s="8">
        <v>796</v>
      </c>
      <c r="R2855" s="7" t="s">
        <v>118</v>
      </c>
      <c r="S2855" s="9">
        <v>4</v>
      </c>
      <c r="T2855" s="9">
        <v>4464</v>
      </c>
      <c r="U2855" s="9">
        <v>0</v>
      </c>
      <c r="V2855" s="9">
        <f t="shared" si="1900"/>
        <v>0</v>
      </c>
      <c r="W2855" s="7" t="s">
        <v>97</v>
      </c>
      <c r="X2855" s="2">
        <v>2016</v>
      </c>
      <c r="Y2855" s="2" t="s">
        <v>7670</v>
      </c>
    </row>
    <row r="2856" spans="1:25" s="11" customFormat="1" ht="114.75" customHeight="1" outlineLevel="1" x14ac:dyDescent="0.25">
      <c r="A2856" s="16"/>
      <c r="B2856" s="2" t="s">
        <v>8773</v>
      </c>
      <c r="C2856" s="3" t="s">
        <v>83</v>
      </c>
      <c r="D2856" s="3" t="s">
        <v>3633</v>
      </c>
      <c r="E2856" s="3" t="s">
        <v>3477</v>
      </c>
      <c r="F2856" s="3" t="s">
        <v>3634</v>
      </c>
      <c r="G2856" s="3" t="s">
        <v>3635</v>
      </c>
      <c r="H2856" s="2" t="s">
        <v>88</v>
      </c>
      <c r="I2856" s="4">
        <v>0</v>
      </c>
      <c r="J2856" s="5">
        <v>710000000</v>
      </c>
      <c r="K2856" s="5" t="s">
        <v>89</v>
      </c>
      <c r="L2856" s="5" t="s">
        <v>8491</v>
      </c>
      <c r="M2856" s="6" t="s">
        <v>91</v>
      </c>
      <c r="N2856" s="7" t="s">
        <v>92</v>
      </c>
      <c r="O2856" s="7" t="s">
        <v>93</v>
      </c>
      <c r="P2856" s="3" t="s">
        <v>673</v>
      </c>
      <c r="Q2856" s="8">
        <v>796</v>
      </c>
      <c r="R2856" s="7" t="s">
        <v>118</v>
      </c>
      <c r="S2856" s="9">
        <v>4</v>
      </c>
      <c r="T2856" s="9">
        <v>4464</v>
      </c>
      <c r="U2856" s="9">
        <f t="shared" ref="U2856" si="1928">T2856*S2856</f>
        <v>17856</v>
      </c>
      <c r="V2856" s="9">
        <f t="shared" ref="V2856" si="1929">U2856*1.12</f>
        <v>19998.72</v>
      </c>
      <c r="W2856" s="7"/>
      <c r="X2856" s="2">
        <v>2016</v>
      </c>
      <c r="Y2856" s="2"/>
    </row>
    <row r="2857" spans="1:25" s="11" customFormat="1" ht="89.25" customHeight="1" outlineLevel="1" x14ac:dyDescent="0.25">
      <c r="A2857" s="1"/>
      <c r="B2857" s="2" t="s">
        <v>7181</v>
      </c>
      <c r="C2857" s="3" t="s">
        <v>83</v>
      </c>
      <c r="D2857" s="3" t="s">
        <v>3514</v>
      </c>
      <c r="E2857" s="3" t="s">
        <v>3511</v>
      </c>
      <c r="F2857" s="3" t="s">
        <v>3515</v>
      </c>
      <c r="G2857" s="3" t="s">
        <v>3636</v>
      </c>
      <c r="H2857" s="2" t="s">
        <v>88</v>
      </c>
      <c r="I2857" s="4">
        <v>0.4</v>
      </c>
      <c r="J2857" s="5">
        <v>710000000</v>
      </c>
      <c r="K2857" s="5" t="s">
        <v>89</v>
      </c>
      <c r="L2857" s="2" t="s">
        <v>754</v>
      </c>
      <c r="M2857" s="6" t="s">
        <v>91</v>
      </c>
      <c r="N2857" s="7" t="s">
        <v>92</v>
      </c>
      <c r="O2857" s="7" t="s">
        <v>93</v>
      </c>
      <c r="P2857" s="3" t="s">
        <v>94</v>
      </c>
      <c r="Q2857" s="8">
        <v>796</v>
      </c>
      <c r="R2857" s="7" t="s">
        <v>118</v>
      </c>
      <c r="S2857" s="9">
        <v>35</v>
      </c>
      <c r="T2857" s="9">
        <v>6786</v>
      </c>
      <c r="U2857" s="9">
        <f t="shared" ref="U2857:U2858" si="1930">T2857*S2857</f>
        <v>237510</v>
      </c>
      <c r="V2857" s="9">
        <f t="shared" si="1900"/>
        <v>266011.2</v>
      </c>
      <c r="W2857" s="7" t="s">
        <v>97</v>
      </c>
      <c r="X2857" s="2">
        <v>2016</v>
      </c>
      <c r="Y2857" s="2"/>
    </row>
    <row r="2858" spans="1:25" s="11" customFormat="1" ht="229.5" customHeight="1" outlineLevel="1" x14ac:dyDescent="0.25">
      <c r="A2858" s="1"/>
      <c r="B2858" s="2" t="s">
        <v>7182</v>
      </c>
      <c r="C2858" s="3" t="s">
        <v>83</v>
      </c>
      <c r="D2858" s="3" t="s">
        <v>3510</v>
      </c>
      <c r="E2858" s="3" t="s">
        <v>3511</v>
      </c>
      <c r="F2858" s="3" t="s">
        <v>3512</v>
      </c>
      <c r="G2858" s="3" t="s">
        <v>3637</v>
      </c>
      <c r="H2858" s="2" t="s">
        <v>88</v>
      </c>
      <c r="I2858" s="4">
        <v>0.4</v>
      </c>
      <c r="J2858" s="5">
        <v>710000000</v>
      </c>
      <c r="K2858" s="5" t="s">
        <v>89</v>
      </c>
      <c r="L2858" s="2" t="s">
        <v>754</v>
      </c>
      <c r="M2858" s="6" t="s">
        <v>91</v>
      </c>
      <c r="N2858" s="7" t="s">
        <v>92</v>
      </c>
      <c r="O2858" s="7" t="s">
        <v>93</v>
      </c>
      <c r="P2858" s="3" t="s">
        <v>94</v>
      </c>
      <c r="Q2858" s="8" t="s">
        <v>861</v>
      </c>
      <c r="R2858" s="7" t="s">
        <v>812</v>
      </c>
      <c r="S2858" s="9">
        <v>35</v>
      </c>
      <c r="T2858" s="9">
        <v>19375</v>
      </c>
      <c r="U2858" s="9">
        <f t="shared" si="1930"/>
        <v>678125</v>
      </c>
      <c r="V2858" s="9">
        <f t="shared" si="1900"/>
        <v>759500.00000000012</v>
      </c>
      <c r="W2858" s="7" t="s">
        <v>97</v>
      </c>
      <c r="X2858" s="2">
        <v>2016</v>
      </c>
      <c r="Y2858" s="2"/>
    </row>
    <row r="2859" spans="1:25" s="11" customFormat="1" ht="89.25" customHeight="1" outlineLevel="1" x14ac:dyDescent="0.25">
      <c r="A2859" s="16"/>
      <c r="B2859" s="2" t="s">
        <v>7183</v>
      </c>
      <c r="C2859" s="3" t="s">
        <v>83</v>
      </c>
      <c r="D2859" s="3" t="s">
        <v>3638</v>
      </c>
      <c r="E2859" s="3" t="s">
        <v>3511</v>
      </c>
      <c r="F2859" s="3" t="s">
        <v>3639</v>
      </c>
      <c r="G2859" s="3" t="s">
        <v>3640</v>
      </c>
      <c r="H2859" s="2" t="s">
        <v>88</v>
      </c>
      <c r="I2859" s="4">
        <v>0.4</v>
      </c>
      <c r="J2859" s="5">
        <v>710000000</v>
      </c>
      <c r="K2859" s="5" t="s">
        <v>89</v>
      </c>
      <c r="L2859" s="2" t="s">
        <v>754</v>
      </c>
      <c r="M2859" s="6" t="s">
        <v>91</v>
      </c>
      <c r="N2859" s="7" t="s">
        <v>92</v>
      </c>
      <c r="O2859" s="7" t="s">
        <v>93</v>
      </c>
      <c r="P2859" s="3" t="s">
        <v>94</v>
      </c>
      <c r="Q2859" s="8" t="s">
        <v>861</v>
      </c>
      <c r="R2859" s="7" t="s">
        <v>812</v>
      </c>
      <c r="S2859" s="9">
        <v>18</v>
      </c>
      <c r="T2859" s="9">
        <v>8536</v>
      </c>
      <c r="U2859" s="9">
        <v>0</v>
      </c>
      <c r="V2859" s="9">
        <f t="shared" si="1900"/>
        <v>0</v>
      </c>
      <c r="W2859" s="7" t="s">
        <v>97</v>
      </c>
      <c r="X2859" s="2">
        <v>2016</v>
      </c>
      <c r="Y2859" s="2" t="s">
        <v>7670</v>
      </c>
    </row>
    <row r="2860" spans="1:25" s="11" customFormat="1" ht="89.25" customHeight="1" outlineLevel="1" x14ac:dyDescent="0.25">
      <c r="A2860" s="16"/>
      <c r="B2860" s="2" t="s">
        <v>8798</v>
      </c>
      <c r="C2860" s="3" t="s">
        <v>83</v>
      </c>
      <c r="D2860" s="3" t="s">
        <v>3638</v>
      </c>
      <c r="E2860" s="3" t="s">
        <v>3511</v>
      </c>
      <c r="F2860" s="3" t="s">
        <v>3639</v>
      </c>
      <c r="G2860" s="3" t="s">
        <v>3640</v>
      </c>
      <c r="H2860" s="2" t="s">
        <v>88</v>
      </c>
      <c r="I2860" s="4">
        <v>0</v>
      </c>
      <c r="J2860" s="5">
        <v>710000000</v>
      </c>
      <c r="K2860" s="5" t="s">
        <v>89</v>
      </c>
      <c r="L2860" s="5" t="s">
        <v>8491</v>
      </c>
      <c r="M2860" s="6" t="s">
        <v>91</v>
      </c>
      <c r="N2860" s="7" t="s">
        <v>92</v>
      </c>
      <c r="O2860" s="7" t="s">
        <v>93</v>
      </c>
      <c r="P2860" s="3" t="s">
        <v>673</v>
      </c>
      <c r="Q2860" s="8" t="s">
        <v>861</v>
      </c>
      <c r="R2860" s="7" t="s">
        <v>812</v>
      </c>
      <c r="S2860" s="9">
        <v>18</v>
      </c>
      <c r="T2860" s="9">
        <v>8536</v>
      </c>
      <c r="U2860" s="9">
        <f t="shared" ref="U2860" si="1931">T2860*S2860</f>
        <v>153648</v>
      </c>
      <c r="V2860" s="9">
        <f t="shared" ref="V2860" si="1932">U2860*1.12</f>
        <v>172085.76000000001</v>
      </c>
      <c r="W2860" s="7"/>
      <c r="X2860" s="2">
        <v>2016</v>
      </c>
      <c r="Y2860" s="2"/>
    </row>
    <row r="2861" spans="1:25" s="11" customFormat="1" ht="89.25" customHeight="1" outlineLevel="1" x14ac:dyDescent="0.25">
      <c r="A2861" s="16"/>
      <c r="B2861" s="2" t="s">
        <v>7184</v>
      </c>
      <c r="C2861" s="3" t="s">
        <v>83</v>
      </c>
      <c r="D2861" s="3" t="s">
        <v>3641</v>
      </c>
      <c r="E2861" s="3" t="s">
        <v>3642</v>
      </c>
      <c r="F2861" s="3" t="s">
        <v>3643</v>
      </c>
      <c r="G2861" s="3" t="s">
        <v>3644</v>
      </c>
      <c r="H2861" s="2" t="s">
        <v>88</v>
      </c>
      <c r="I2861" s="4">
        <v>0.4</v>
      </c>
      <c r="J2861" s="5">
        <v>710000000</v>
      </c>
      <c r="K2861" s="5" t="s">
        <v>89</v>
      </c>
      <c r="L2861" s="2" t="s">
        <v>754</v>
      </c>
      <c r="M2861" s="6" t="s">
        <v>91</v>
      </c>
      <c r="N2861" s="7" t="s">
        <v>92</v>
      </c>
      <c r="O2861" s="7" t="s">
        <v>93</v>
      </c>
      <c r="P2861" s="3" t="s">
        <v>94</v>
      </c>
      <c r="Q2861" s="8" t="s">
        <v>2458</v>
      </c>
      <c r="R2861" s="7" t="s">
        <v>2459</v>
      </c>
      <c r="S2861" s="9">
        <v>6</v>
      </c>
      <c r="T2861" s="9">
        <v>464</v>
      </c>
      <c r="U2861" s="9">
        <v>0</v>
      </c>
      <c r="V2861" s="9">
        <f t="shared" si="1900"/>
        <v>0</v>
      </c>
      <c r="W2861" s="7" t="s">
        <v>97</v>
      </c>
      <c r="X2861" s="2">
        <v>2016</v>
      </c>
      <c r="Y2861" s="2" t="s">
        <v>7670</v>
      </c>
    </row>
    <row r="2862" spans="1:25" s="11" customFormat="1" ht="89.25" customHeight="1" outlineLevel="1" x14ac:dyDescent="0.25">
      <c r="A2862" s="16"/>
      <c r="B2862" s="2" t="s">
        <v>8774</v>
      </c>
      <c r="C2862" s="3" t="s">
        <v>83</v>
      </c>
      <c r="D2862" s="3" t="s">
        <v>3641</v>
      </c>
      <c r="E2862" s="3" t="s">
        <v>3642</v>
      </c>
      <c r="F2862" s="3" t="s">
        <v>3643</v>
      </c>
      <c r="G2862" s="3" t="s">
        <v>3644</v>
      </c>
      <c r="H2862" s="2" t="s">
        <v>88</v>
      </c>
      <c r="I2862" s="4">
        <v>0</v>
      </c>
      <c r="J2862" s="5">
        <v>710000000</v>
      </c>
      <c r="K2862" s="5" t="s">
        <v>89</v>
      </c>
      <c r="L2862" s="5" t="s">
        <v>8491</v>
      </c>
      <c r="M2862" s="6" t="s">
        <v>91</v>
      </c>
      <c r="N2862" s="7" t="s">
        <v>92</v>
      </c>
      <c r="O2862" s="7" t="s">
        <v>93</v>
      </c>
      <c r="P2862" s="3" t="s">
        <v>673</v>
      </c>
      <c r="Q2862" s="8" t="s">
        <v>2458</v>
      </c>
      <c r="R2862" s="7" t="s">
        <v>2459</v>
      </c>
      <c r="S2862" s="9">
        <v>6</v>
      </c>
      <c r="T2862" s="9">
        <v>464</v>
      </c>
      <c r="U2862" s="9">
        <f t="shared" ref="U2862" si="1933">T2862*S2862</f>
        <v>2784</v>
      </c>
      <c r="V2862" s="9">
        <f t="shared" ref="V2862" si="1934">U2862*1.12</f>
        <v>3118.0800000000004</v>
      </c>
      <c r="W2862" s="7"/>
      <c r="X2862" s="2">
        <v>2016</v>
      </c>
      <c r="Y2862" s="2"/>
    </row>
    <row r="2863" spans="1:25" s="11" customFormat="1" ht="89.25" customHeight="1" outlineLevel="1" x14ac:dyDescent="0.25">
      <c r="A2863" s="16"/>
      <c r="B2863" s="2" t="s">
        <v>7185</v>
      </c>
      <c r="C2863" s="3" t="s">
        <v>83</v>
      </c>
      <c r="D2863" s="3" t="s">
        <v>3645</v>
      </c>
      <c r="E2863" s="3" t="s">
        <v>3646</v>
      </c>
      <c r="F2863" s="3" t="s">
        <v>3647</v>
      </c>
      <c r="G2863" s="3" t="s">
        <v>3648</v>
      </c>
      <c r="H2863" s="2" t="s">
        <v>88</v>
      </c>
      <c r="I2863" s="4">
        <v>0.4</v>
      </c>
      <c r="J2863" s="5">
        <v>710000000</v>
      </c>
      <c r="K2863" s="5" t="s">
        <v>89</v>
      </c>
      <c r="L2863" s="2" t="s">
        <v>754</v>
      </c>
      <c r="M2863" s="6" t="s">
        <v>91</v>
      </c>
      <c r="N2863" s="7" t="s">
        <v>92</v>
      </c>
      <c r="O2863" s="7" t="s">
        <v>93</v>
      </c>
      <c r="P2863" s="3" t="s">
        <v>94</v>
      </c>
      <c r="Q2863" s="8" t="s">
        <v>2458</v>
      </c>
      <c r="R2863" s="7" t="s">
        <v>2459</v>
      </c>
      <c r="S2863" s="9">
        <f>12+3+18</f>
        <v>33</v>
      </c>
      <c r="T2863" s="9">
        <v>3036</v>
      </c>
      <c r="U2863" s="9">
        <v>0</v>
      </c>
      <c r="V2863" s="9">
        <f t="shared" si="1900"/>
        <v>0</v>
      </c>
      <c r="W2863" s="7" t="s">
        <v>97</v>
      </c>
      <c r="X2863" s="2">
        <v>2016</v>
      </c>
      <c r="Y2863" s="2" t="s">
        <v>7670</v>
      </c>
    </row>
    <row r="2864" spans="1:25" s="11" customFormat="1" ht="89.25" customHeight="1" outlineLevel="1" x14ac:dyDescent="0.25">
      <c r="A2864" s="16"/>
      <c r="B2864" s="2" t="s">
        <v>8775</v>
      </c>
      <c r="C2864" s="3" t="s">
        <v>83</v>
      </c>
      <c r="D2864" s="3" t="s">
        <v>3645</v>
      </c>
      <c r="E2864" s="3" t="s">
        <v>3646</v>
      </c>
      <c r="F2864" s="3" t="s">
        <v>3647</v>
      </c>
      <c r="G2864" s="3" t="s">
        <v>3648</v>
      </c>
      <c r="H2864" s="2" t="s">
        <v>88</v>
      </c>
      <c r="I2864" s="4">
        <v>0</v>
      </c>
      <c r="J2864" s="5">
        <v>710000000</v>
      </c>
      <c r="K2864" s="5" t="s">
        <v>89</v>
      </c>
      <c r="L2864" s="5" t="s">
        <v>8491</v>
      </c>
      <c r="M2864" s="6" t="s">
        <v>91</v>
      </c>
      <c r="N2864" s="7" t="s">
        <v>92</v>
      </c>
      <c r="O2864" s="7" t="s">
        <v>93</v>
      </c>
      <c r="P2864" s="3" t="s">
        <v>673</v>
      </c>
      <c r="Q2864" s="8" t="s">
        <v>2458</v>
      </c>
      <c r="R2864" s="7" t="s">
        <v>2459</v>
      </c>
      <c r="S2864" s="9">
        <f>12+3+18</f>
        <v>33</v>
      </c>
      <c r="T2864" s="9">
        <v>3036</v>
      </c>
      <c r="U2864" s="9">
        <f t="shared" ref="U2864" si="1935">T2864*S2864</f>
        <v>100188</v>
      </c>
      <c r="V2864" s="9">
        <f t="shared" ref="V2864" si="1936">U2864*1.12</f>
        <v>112210.56000000001</v>
      </c>
      <c r="W2864" s="7"/>
      <c r="X2864" s="2">
        <v>2016</v>
      </c>
      <c r="Y2864" s="2"/>
    </row>
    <row r="2865" spans="1:25" s="11" customFormat="1" ht="89.25" customHeight="1" outlineLevel="1" x14ac:dyDescent="0.25">
      <c r="A2865" s="16"/>
      <c r="B2865" s="2" t="s">
        <v>7186</v>
      </c>
      <c r="C2865" s="3" t="s">
        <v>83</v>
      </c>
      <c r="D2865" s="3" t="s">
        <v>3649</v>
      </c>
      <c r="E2865" s="3" t="s">
        <v>3646</v>
      </c>
      <c r="F2865" s="3" t="s">
        <v>3650</v>
      </c>
      <c r="G2865" s="3" t="s">
        <v>3648</v>
      </c>
      <c r="H2865" s="2" t="s">
        <v>88</v>
      </c>
      <c r="I2865" s="4">
        <v>0.4</v>
      </c>
      <c r="J2865" s="5">
        <v>710000000</v>
      </c>
      <c r="K2865" s="5" t="s">
        <v>89</v>
      </c>
      <c r="L2865" s="2" t="s">
        <v>754</v>
      </c>
      <c r="M2865" s="6" t="s">
        <v>91</v>
      </c>
      <c r="N2865" s="7" t="s">
        <v>92</v>
      </c>
      <c r="O2865" s="7" t="s">
        <v>93</v>
      </c>
      <c r="P2865" s="3" t="s">
        <v>94</v>
      </c>
      <c r="Q2865" s="8" t="s">
        <v>2458</v>
      </c>
      <c r="R2865" s="7" t="s">
        <v>2459</v>
      </c>
      <c r="S2865" s="9">
        <f>4+1</f>
        <v>5</v>
      </c>
      <c r="T2865" s="9">
        <v>3036</v>
      </c>
      <c r="U2865" s="9">
        <v>0</v>
      </c>
      <c r="V2865" s="9">
        <f t="shared" si="1900"/>
        <v>0</v>
      </c>
      <c r="W2865" s="7" t="s">
        <v>97</v>
      </c>
      <c r="X2865" s="2">
        <v>2016</v>
      </c>
      <c r="Y2865" s="2" t="s">
        <v>7670</v>
      </c>
    </row>
    <row r="2866" spans="1:25" s="11" customFormat="1" ht="89.25" customHeight="1" outlineLevel="1" x14ac:dyDescent="0.25">
      <c r="A2866" s="16"/>
      <c r="B2866" s="2" t="s">
        <v>8776</v>
      </c>
      <c r="C2866" s="3" t="s">
        <v>83</v>
      </c>
      <c r="D2866" s="3" t="s">
        <v>3649</v>
      </c>
      <c r="E2866" s="3" t="s">
        <v>3646</v>
      </c>
      <c r="F2866" s="3" t="s">
        <v>3650</v>
      </c>
      <c r="G2866" s="3" t="s">
        <v>3648</v>
      </c>
      <c r="H2866" s="2" t="s">
        <v>88</v>
      </c>
      <c r="I2866" s="4">
        <v>0</v>
      </c>
      <c r="J2866" s="5">
        <v>710000000</v>
      </c>
      <c r="K2866" s="5" t="s">
        <v>89</v>
      </c>
      <c r="L2866" s="5" t="s">
        <v>8491</v>
      </c>
      <c r="M2866" s="6" t="s">
        <v>91</v>
      </c>
      <c r="N2866" s="7" t="s">
        <v>92</v>
      </c>
      <c r="O2866" s="7" t="s">
        <v>93</v>
      </c>
      <c r="P2866" s="3" t="s">
        <v>673</v>
      </c>
      <c r="Q2866" s="8" t="s">
        <v>2458</v>
      </c>
      <c r="R2866" s="7" t="s">
        <v>2459</v>
      </c>
      <c r="S2866" s="9">
        <f>4+1</f>
        <v>5</v>
      </c>
      <c r="T2866" s="9">
        <v>3036</v>
      </c>
      <c r="U2866" s="9">
        <f t="shared" ref="U2866" si="1937">T2866*S2866</f>
        <v>15180</v>
      </c>
      <c r="V2866" s="9">
        <f t="shared" ref="V2866" si="1938">U2866*1.12</f>
        <v>17001.600000000002</v>
      </c>
      <c r="W2866" s="7"/>
      <c r="X2866" s="2">
        <v>2016</v>
      </c>
      <c r="Y2866" s="2"/>
    </row>
    <row r="2867" spans="1:25" s="11" customFormat="1" ht="89.25" customHeight="1" outlineLevel="1" x14ac:dyDescent="0.25">
      <c r="A2867" s="16"/>
      <c r="B2867" s="2" t="s">
        <v>7187</v>
      </c>
      <c r="C2867" s="3" t="s">
        <v>83</v>
      </c>
      <c r="D2867" s="3" t="s">
        <v>3651</v>
      </c>
      <c r="E2867" s="3" t="s">
        <v>3563</v>
      </c>
      <c r="F2867" s="3" t="s">
        <v>3652</v>
      </c>
      <c r="G2867" s="3" t="s">
        <v>3653</v>
      </c>
      <c r="H2867" s="2" t="s">
        <v>88</v>
      </c>
      <c r="I2867" s="4">
        <v>0.4</v>
      </c>
      <c r="J2867" s="5">
        <v>710000000</v>
      </c>
      <c r="K2867" s="5" t="s">
        <v>89</v>
      </c>
      <c r="L2867" s="2" t="s">
        <v>754</v>
      </c>
      <c r="M2867" s="6" t="s">
        <v>91</v>
      </c>
      <c r="N2867" s="7" t="s">
        <v>92</v>
      </c>
      <c r="O2867" s="7" t="s">
        <v>93</v>
      </c>
      <c r="P2867" s="3" t="s">
        <v>94</v>
      </c>
      <c r="Q2867" s="8" t="s">
        <v>2458</v>
      </c>
      <c r="R2867" s="7" t="s">
        <v>2459</v>
      </c>
      <c r="S2867" s="9">
        <v>60</v>
      </c>
      <c r="T2867" s="9">
        <v>317</v>
      </c>
      <c r="U2867" s="9">
        <v>0</v>
      </c>
      <c r="V2867" s="9">
        <f t="shared" si="1900"/>
        <v>0</v>
      </c>
      <c r="W2867" s="7" t="s">
        <v>97</v>
      </c>
      <c r="X2867" s="2">
        <v>2016</v>
      </c>
      <c r="Y2867" s="2" t="s">
        <v>7670</v>
      </c>
    </row>
    <row r="2868" spans="1:25" s="11" customFormat="1" ht="89.25" customHeight="1" outlineLevel="1" x14ac:dyDescent="0.25">
      <c r="A2868" s="16"/>
      <c r="B2868" s="2" t="s">
        <v>8777</v>
      </c>
      <c r="C2868" s="3" t="s">
        <v>83</v>
      </c>
      <c r="D2868" s="3" t="s">
        <v>3651</v>
      </c>
      <c r="E2868" s="3" t="s">
        <v>3563</v>
      </c>
      <c r="F2868" s="3" t="s">
        <v>3652</v>
      </c>
      <c r="G2868" s="3" t="s">
        <v>3653</v>
      </c>
      <c r="H2868" s="2" t="s">
        <v>88</v>
      </c>
      <c r="I2868" s="4">
        <v>0</v>
      </c>
      <c r="J2868" s="5">
        <v>710000000</v>
      </c>
      <c r="K2868" s="5" t="s">
        <v>89</v>
      </c>
      <c r="L2868" s="5" t="s">
        <v>8491</v>
      </c>
      <c r="M2868" s="6" t="s">
        <v>91</v>
      </c>
      <c r="N2868" s="7" t="s">
        <v>92</v>
      </c>
      <c r="O2868" s="7" t="s">
        <v>93</v>
      </c>
      <c r="P2868" s="3" t="s">
        <v>673</v>
      </c>
      <c r="Q2868" s="8" t="s">
        <v>2458</v>
      </c>
      <c r="R2868" s="7" t="s">
        <v>2459</v>
      </c>
      <c r="S2868" s="9">
        <v>60</v>
      </c>
      <c r="T2868" s="9">
        <v>317</v>
      </c>
      <c r="U2868" s="9">
        <f t="shared" ref="U2868" si="1939">T2868*S2868</f>
        <v>19020</v>
      </c>
      <c r="V2868" s="9">
        <f t="shared" ref="V2868" si="1940">U2868*1.12</f>
        <v>21302.400000000001</v>
      </c>
      <c r="W2868" s="7"/>
      <c r="X2868" s="2">
        <v>2016</v>
      </c>
      <c r="Y2868" s="2"/>
    </row>
    <row r="2869" spans="1:25" s="11" customFormat="1" ht="89.25" customHeight="1" outlineLevel="1" x14ac:dyDescent="0.25">
      <c r="A2869" s="16"/>
      <c r="B2869" s="2" t="s">
        <v>7188</v>
      </c>
      <c r="C2869" s="3" t="s">
        <v>83</v>
      </c>
      <c r="D2869" s="3" t="s">
        <v>2460</v>
      </c>
      <c r="E2869" s="3" t="s">
        <v>2455</v>
      </c>
      <c r="F2869" s="3" t="s">
        <v>2461</v>
      </c>
      <c r="G2869" s="3" t="s">
        <v>3654</v>
      </c>
      <c r="H2869" s="2" t="s">
        <v>88</v>
      </c>
      <c r="I2869" s="4">
        <v>0.4</v>
      </c>
      <c r="J2869" s="5">
        <v>710000000</v>
      </c>
      <c r="K2869" s="5" t="s">
        <v>89</v>
      </c>
      <c r="L2869" s="2" t="s">
        <v>754</v>
      </c>
      <c r="M2869" s="6" t="s">
        <v>91</v>
      </c>
      <c r="N2869" s="7" t="s">
        <v>92</v>
      </c>
      <c r="O2869" s="7" t="s">
        <v>93</v>
      </c>
      <c r="P2869" s="3" t="s">
        <v>94</v>
      </c>
      <c r="Q2869" s="8" t="s">
        <v>2458</v>
      </c>
      <c r="R2869" s="7" t="s">
        <v>2459</v>
      </c>
      <c r="S2869" s="9">
        <v>190</v>
      </c>
      <c r="T2869" s="9">
        <v>375</v>
      </c>
      <c r="U2869" s="9">
        <v>0</v>
      </c>
      <c r="V2869" s="9">
        <f t="shared" si="1900"/>
        <v>0</v>
      </c>
      <c r="W2869" s="7" t="s">
        <v>97</v>
      </c>
      <c r="X2869" s="2">
        <v>2016</v>
      </c>
      <c r="Y2869" s="2" t="s">
        <v>7670</v>
      </c>
    </row>
    <row r="2870" spans="1:25" s="11" customFormat="1" ht="89.25" customHeight="1" outlineLevel="1" x14ac:dyDescent="0.25">
      <c r="A2870" s="16"/>
      <c r="B2870" s="2" t="s">
        <v>8778</v>
      </c>
      <c r="C2870" s="3" t="s">
        <v>83</v>
      </c>
      <c r="D2870" s="3" t="s">
        <v>2460</v>
      </c>
      <c r="E2870" s="3" t="s">
        <v>2455</v>
      </c>
      <c r="F2870" s="3" t="s">
        <v>2461</v>
      </c>
      <c r="G2870" s="3" t="s">
        <v>3654</v>
      </c>
      <c r="H2870" s="2" t="s">
        <v>88</v>
      </c>
      <c r="I2870" s="4">
        <v>0</v>
      </c>
      <c r="J2870" s="5">
        <v>710000000</v>
      </c>
      <c r="K2870" s="5" t="s">
        <v>89</v>
      </c>
      <c r="L2870" s="5" t="s">
        <v>8491</v>
      </c>
      <c r="M2870" s="6" t="s">
        <v>91</v>
      </c>
      <c r="N2870" s="7" t="s">
        <v>92</v>
      </c>
      <c r="O2870" s="7" t="s">
        <v>93</v>
      </c>
      <c r="P2870" s="3" t="s">
        <v>673</v>
      </c>
      <c r="Q2870" s="8" t="s">
        <v>2458</v>
      </c>
      <c r="R2870" s="7" t="s">
        <v>2459</v>
      </c>
      <c r="S2870" s="9">
        <v>190</v>
      </c>
      <c r="T2870" s="9">
        <v>375</v>
      </c>
      <c r="U2870" s="9">
        <f t="shared" ref="U2870" si="1941">T2870*S2870</f>
        <v>71250</v>
      </c>
      <c r="V2870" s="9">
        <f t="shared" ref="V2870" si="1942">U2870*1.12</f>
        <v>79800.000000000015</v>
      </c>
      <c r="W2870" s="7"/>
      <c r="X2870" s="2">
        <v>2016</v>
      </c>
      <c r="Y2870" s="2"/>
    </row>
    <row r="2871" spans="1:25" s="11" customFormat="1" ht="89.25" customHeight="1" outlineLevel="1" x14ac:dyDescent="0.25">
      <c r="A2871" s="16"/>
      <c r="B2871" s="2" t="s">
        <v>7189</v>
      </c>
      <c r="C2871" s="3" t="s">
        <v>83</v>
      </c>
      <c r="D2871" s="3" t="s">
        <v>3655</v>
      </c>
      <c r="E2871" s="3" t="s">
        <v>2455</v>
      </c>
      <c r="F2871" s="3" t="s">
        <v>3656</v>
      </c>
      <c r="G2871" s="3" t="s">
        <v>3657</v>
      </c>
      <c r="H2871" s="2" t="s">
        <v>88</v>
      </c>
      <c r="I2871" s="4">
        <v>0.4</v>
      </c>
      <c r="J2871" s="5">
        <v>710000000</v>
      </c>
      <c r="K2871" s="5" t="s">
        <v>89</v>
      </c>
      <c r="L2871" s="2" t="s">
        <v>754</v>
      </c>
      <c r="M2871" s="6" t="s">
        <v>91</v>
      </c>
      <c r="N2871" s="7" t="s">
        <v>92</v>
      </c>
      <c r="O2871" s="7" t="s">
        <v>93</v>
      </c>
      <c r="P2871" s="3" t="s">
        <v>94</v>
      </c>
      <c r="Q2871" s="8" t="s">
        <v>2458</v>
      </c>
      <c r="R2871" s="7" t="s">
        <v>2459</v>
      </c>
      <c r="S2871" s="9">
        <v>250</v>
      </c>
      <c r="T2871" s="9">
        <v>138</v>
      </c>
      <c r="U2871" s="9">
        <v>0</v>
      </c>
      <c r="V2871" s="9">
        <f t="shared" si="1900"/>
        <v>0</v>
      </c>
      <c r="W2871" s="7" t="s">
        <v>97</v>
      </c>
      <c r="X2871" s="2">
        <v>2016</v>
      </c>
      <c r="Y2871" s="2" t="s">
        <v>7670</v>
      </c>
    </row>
    <row r="2872" spans="1:25" s="11" customFormat="1" ht="89.25" customHeight="1" outlineLevel="1" x14ac:dyDescent="0.25">
      <c r="A2872" s="16"/>
      <c r="B2872" s="2" t="s">
        <v>8779</v>
      </c>
      <c r="C2872" s="3" t="s">
        <v>83</v>
      </c>
      <c r="D2872" s="3" t="s">
        <v>3655</v>
      </c>
      <c r="E2872" s="3" t="s">
        <v>2455</v>
      </c>
      <c r="F2872" s="3" t="s">
        <v>3656</v>
      </c>
      <c r="G2872" s="3" t="s">
        <v>3657</v>
      </c>
      <c r="H2872" s="2" t="s">
        <v>88</v>
      </c>
      <c r="I2872" s="4">
        <v>0</v>
      </c>
      <c r="J2872" s="5">
        <v>710000000</v>
      </c>
      <c r="K2872" s="5" t="s">
        <v>89</v>
      </c>
      <c r="L2872" s="5" t="s">
        <v>8491</v>
      </c>
      <c r="M2872" s="6" t="s">
        <v>91</v>
      </c>
      <c r="N2872" s="7" t="s">
        <v>92</v>
      </c>
      <c r="O2872" s="7" t="s">
        <v>93</v>
      </c>
      <c r="P2872" s="3" t="s">
        <v>673</v>
      </c>
      <c r="Q2872" s="8" t="s">
        <v>2458</v>
      </c>
      <c r="R2872" s="7" t="s">
        <v>2459</v>
      </c>
      <c r="S2872" s="9">
        <v>250</v>
      </c>
      <c r="T2872" s="9">
        <v>138</v>
      </c>
      <c r="U2872" s="9">
        <f t="shared" ref="U2872" si="1943">T2872*S2872</f>
        <v>34500</v>
      </c>
      <c r="V2872" s="9">
        <f t="shared" ref="V2872" si="1944">U2872*1.12</f>
        <v>38640.000000000007</v>
      </c>
      <c r="W2872" s="7"/>
      <c r="X2872" s="2">
        <v>2016</v>
      </c>
      <c r="Y2872" s="2"/>
    </row>
    <row r="2873" spans="1:25" s="11" customFormat="1" ht="89.25" customHeight="1" outlineLevel="1" x14ac:dyDescent="0.25">
      <c r="A2873" s="16"/>
      <c r="B2873" s="2" t="s">
        <v>7190</v>
      </c>
      <c r="C2873" s="3" t="s">
        <v>83</v>
      </c>
      <c r="D2873" s="3" t="s">
        <v>3528</v>
      </c>
      <c r="E2873" s="3" t="s">
        <v>3529</v>
      </c>
      <c r="F2873" s="3" t="s">
        <v>3530</v>
      </c>
      <c r="G2873" s="3" t="s">
        <v>3658</v>
      </c>
      <c r="H2873" s="2" t="s">
        <v>88</v>
      </c>
      <c r="I2873" s="4">
        <v>0.4</v>
      </c>
      <c r="J2873" s="5">
        <v>710000000</v>
      </c>
      <c r="K2873" s="5" t="s">
        <v>89</v>
      </c>
      <c r="L2873" s="2" t="s">
        <v>754</v>
      </c>
      <c r="M2873" s="6" t="s">
        <v>91</v>
      </c>
      <c r="N2873" s="7" t="s">
        <v>92</v>
      </c>
      <c r="O2873" s="7" t="s">
        <v>93</v>
      </c>
      <c r="P2873" s="3" t="s">
        <v>94</v>
      </c>
      <c r="Q2873" s="8">
        <v>796</v>
      </c>
      <c r="R2873" s="7" t="s">
        <v>118</v>
      </c>
      <c r="S2873" s="9">
        <v>1645</v>
      </c>
      <c r="T2873" s="9">
        <v>1098</v>
      </c>
      <c r="U2873" s="9">
        <v>0</v>
      </c>
      <c r="V2873" s="9">
        <f t="shared" si="1900"/>
        <v>0</v>
      </c>
      <c r="W2873" s="7" t="s">
        <v>97</v>
      </c>
      <c r="X2873" s="2">
        <v>2016</v>
      </c>
      <c r="Y2873" s="2" t="s">
        <v>7670</v>
      </c>
    </row>
    <row r="2874" spans="1:25" s="11" customFormat="1" ht="89.25" customHeight="1" outlineLevel="1" x14ac:dyDescent="0.25">
      <c r="A2874" s="16"/>
      <c r="B2874" s="2" t="s">
        <v>8780</v>
      </c>
      <c r="C2874" s="3" t="s">
        <v>83</v>
      </c>
      <c r="D2874" s="3" t="s">
        <v>3528</v>
      </c>
      <c r="E2874" s="3" t="s">
        <v>3529</v>
      </c>
      <c r="F2874" s="3" t="s">
        <v>3530</v>
      </c>
      <c r="G2874" s="3" t="s">
        <v>3658</v>
      </c>
      <c r="H2874" s="2" t="s">
        <v>88</v>
      </c>
      <c r="I2874" s="4">
        <v>0</v>
      </c>
      <c r="J2874" s="5">
        <v>710000000</v>
      </c>
      <c r="K2874" s="5" t="s">
        <v>89</v>
      </c>
      <c r="L2874" s="5" t="s">
        <v>8491</v>
      </c>
      <c r="M2874" s="6" t="s">
        <v>91</v>
      </c>
      <c r="N2874" s="7" t="s">
        <v>92</v>
      </c>
      <c r="O2874" s="7" t="s">
        <v>93</v>
      </c>
      <c r="P2874" s="3" t="s">
        <v>673</v>
      </c>
      <c r="Q2874" s="8">
        <v>796</v>
      </c>
      <c r="R2874" s="7" t="s">
        <v>118</v>
      </c>
      <c r="S2874" s="9">
        <v>1645</v>
      </c>
      <c r="T2874" s="9">
        <v>1098</v>
      </c>
      <c r="U2874" s="9">
        <f t="shared" ref="U2874" si="1945">T2874*S2874</f>
        <v>1806210</v>
      </c>
      <c r="V2874" s="9">
        <f t="shared" ref="V2874" si="1946">U2874*1.12</f>
        <v>2022955.2000000002</v>
      </c>
      <c r="W2874" s="7"/>
      <c r="X2874" s="2">
        <v>2016</v>
      </c>
      <c r="Y2874" s="2"/>
    </row>
    <row r="2875" spans="1:25" s="11" customFormat="1" ht="89.25" customHeight="1" outlineLevel="1" x14ac:dyDescent="0.25">
      <c r="A2875" s="59"/>
      <c r="B2875" s="2" t="s">
        <v>7191</v>
      </c>
      <c r="C2875" s="3" t="s">
        <v>83</v>
      </c>
      <c r="D2875" s="3" t="s">
        <v>3659</v>
      </c>
      <c r="E2875" s="3" t="s">
        <v>3660</v>
      </c>
      <c r="F2875" s="3" t="s">
        <v>3661</v>
      </c>
      <c r="G2875" s="3" t="s">
        <v>3662</v>
      </c>
      <c r="H2875" s="2" t="s">
        <v>88</v>
      </c>
      <c r="I2875" s="4">
        <v>0.4</v>
      </c>
      <c r="J2875" s="5">
        <v>710000000</v>
      </c>
      <c r="K2875" s="5" t="s">
        <v>89</v>
      </c>
      <c r="L2875" s="2" t="s">
        <v>754</v>
      </c>
      <c r="M2875" s="6" t="s">
        <v>91</v>
      </c>
      <c r="N2875" s="7" t="s">
        <v>92</v>
      </c>
      <c r="O2875" s="7" t="s">
        <v>93</v>
      </c>
      <c r="P2875" s="3" t="s">
        <v>94</v>
      </c>
      <c r="Q2875" s="8">
        <v>796</v>
      </c>
      <c r="R2875" s="7" t="s">
        <v>118</v>
      </c>
      <c r="S2875" s="9">
        <v>1645</v>
      </c>
      <c r="T2875" s="9">
        <v>714</v>
      </c>
      <c r="U2875" s="9">
        <v>0</v>
      </c>
      <c r="V2875" s="9">
        <f t="shared" si="1900"/>
        <v>0</v>
      </c>
      <c r="W2875" s="7" t="s">
        <v>97</v>
      </c>
      <c r="X2875" s="2">
        <v>2016</v>
      </c>
      <c r="Y2875" s="5" t="s">
        <v>8851</v>
      </c>
    </row>
    <row r="2876" spans="1:25" s="11" customFormat="1" ht="89.25" customHeight="1" outlineLevel="1" x14ac:dyDescent="0.25">
      <c r="A2876" s="59"/>
      <c r="B2876" s="2" t="s">
        <v>8720</v>
      </c>
      <c r="C2876" s="3" t="s">
        <v>83</v>
      </c>
      <c r="D2876" s="3" t="s">
        <v>3659</v>
      </c>
      <c r="E2876" s="3" t="s">
        <v>3660</v>
      </c>
      <c r="F2876" s="3" t="s">
        <v>3661</v>
      </c>
      <c r="G2876" s="3" t="s">
        <v>3662</v>
      </c>
      <c r="H2876" s="2" t="s">
        <v>88</v>
      </c>
      <c r="I2876" s="4">
        <v>0</v>
      </c>
      <c r="J2876" s="5">
        <v>710000000</v>
      </c>
      <c r="K2876" s="5" t="s">
        <v>89</v>
      </c>
      <c r="L2876" s="5" t="s">
        <v>8491</v>
      </c>
      <c r="M2876" s="6" t="s">
        <v>91</v>
      </c>
      <c r="N2876" s="7" t="s">
        <v>92</v>
      </c>
      <c r="O2876" s="7" t="s">
        <v>93</v>
      </c>
      <c r="P2876" s="3" t="s">
        <v>673</v>
      </c>
      <c r="Q2876" s="8">
        <v>796</v>
      </c>
      <c r="R2876" s="7" t="s">
        <v>118</v>
      </c>
      <c r="S2876" s="9">
        <v>2020</v>
      </c>
      <c r="T2876" s="9">
        <v>1150</v>
      </c>
      <c r="U2876" s="9">
        <f t="shared" ref="U2876" si="1947">T2876*S2876</f>
        <v>2323000</v>
      </c>
      <c r="V2876" s="9">
        <f t="shared" ref="V2876" si="1948">U2876*1.12</f>
        <v>2601760.0000000005</v>
      </c>
      <c r="W2876" s="7"/>
      <c r="X2876" s="2">
        <v>2016</v>
      </c>
      <c r="Y2876" s="2"/>
    </row>
    <row r="2877" spans="1:25" s="11" customFormat="1" ht="89.25" customHeight="1" outlineLevel="1" x14ac:dyDescent="0.25">
      <c r="A2877" s="16"/>
      <c r="B2877" s="2" t="s">
        <v>7192</v>
      </c>
      <c r="C2877" s="3" t="s">
        <v>83</v>
      </c>
      <c r="D2877" s="3" t="s">
        <v>3663</v>
      </c>
      <c r="E2877" s="3" t="s">
        <v>3592</v>
      </c>
      <c r="F2877" s="3" t="s">
        <v>3664</v>
      </c>
      <c r="G2877" s="3" t="s">
        <v>3665</v>
      </c>
      <c r="H2877" s="2" t="s">
        <v>88</v>
      </c>
      <c r="I2877" s="4">
        <v>0.4</v>
      </c>
      <c r="J2877" s="5">
        <v>710000000</v>
      </c>
      <c r="K2877" s="5" t="s">
        <v>89</v>
      </c>
      <c r="L2877" s="2" t="s">
        <v>754</v>
      </c>
      <c r="M2877" s="6" t="s">
        <v>91</v>
      </c>
      <c r="N2877" s="7" t="s">
        <v>92</v>
      </c>
      <c r="O2877" s="7" t="s">
        <v>93</v>
      </c>
      <c r="P2877" s="3" t="s">
        <v>94</v>
      </c>
      <c r="Q2877" s="8">
        <v>796</v>
      </c>
      <c r="R2877" s="7" t="s">
        <v>118</v>
      </c>
      <c r="S2877" s="9">
        <v>5</v>
      </c>
      <c r="T2877" s="9">
        <v>1786</v>
      </c>
      <c r="U2877" s="9">
        <v>0</v>
      </c>
      <c r="V2877" s="9">
        <f t="shared" si="1900"/>
        <v>0</v>
      </c>
      <c r="W2877" s="7" t="s">
        <v>97</v>
      </c>
      <c r="X2877" s="2">
        <v>2016</v>
      </c>
      <c r="Y2877" s="2" t="s">
        <v>7670</v>
      </c>
    </row>
    <row r="2878" spans="1:25" s="11" customFormat="1" ht="89.25" customHeight="1" outlineLevel="1" x14ac:dyDescent="0.25">
      <c r="A2878" s="16"/>
      <c r="B2878" s="2" t="s">
        <v>8781</v>
      </c>
      <c r="C2878" s="3" t="s">
        <v>83</v>
      </c>
      <c r="D2878" s="3" t="s">
        <v>3663</v>
      </c>
      <c r="E2878" s="3" t="s">
        <v>3592</v>
      </c>
      <c r="F2878" s="3" t="s">
        <v>3664</v>
      </c>
      <c r="G2878" s="3" t="s">
        <v>3665</v>
      </c>
      <c r="H2878" s="2" t="s">
        <v>88</v>
      </c>
      <c r="I2878" s="4">
        <v>0</v>
      </c>
      <c r="J2878" s="5">
        <v>710000000</v>
      </c>
      <c r="K2878" s="5" t="s">
        <v>89</v>
      </c>
      <c r="L2878" s="5" t="s">
        <v>8491</v>
      </c>
      <c r="M2878" s="6" t="s">
        <v>91</v>
      </c>
      <c r="N2878" s="7" t="s">
        <v>92</v>
      </c>
      <c r="O2878" s="7" t="s">
        <v>93</v>
      </c>
      <c r="P2878" s="3" t="s">
        <v>673</v>
      </c>
      <c r="Q2878" s="8">
        <v>796</v>
      </c>
      <c r="R2878" s="7" t="s">
        <v>118</v>
      </c>
      <c r="S2878" s="9">
        <v>5</v>
      </c>
      <c r="T2878" s="9">
        <v>1786</v>
      </c>
      <c r="U2878" s="9">
        <f t="shared" ref="U2878" si="1949">T2878*S2878</f>
        <v>8930</v>
      </c>
      <c r="V2878" s="9">
        <f t="shared" ref="V2878" si="1950">U2878*1.12</f>
        <v>10001.6</v>
      </c>
      <c r="W2878" s="7"/>
      <c r="X2878" s="2">
        <v>2016</v>
      </c>
      <c r="Y2878" s="2"/>
    </row>
    <row r="2879" spans="1:25" s="11" customFormat="1" ht="191.25" customHeight="1" outlineLevel="1" x14ac:dyDescent="0.25">
      <c r="A2879" s="16"/>
      <c r="B2879" s="2" t="s">
        <v>7193</v>
      </c>
      <c r="C2879" s="3" t="s">
        <v>83</v>
      </c>
      <c r="D2879" s="3" t="s">
        <v>3517</v>
      </c>
      <c r="E2879" s="3" t="s">
        <v>3511</v>
      </c>
      <c r="F2879" s="3" t="s">
        <v>3518</v>
      </c>
      <c r="G2879" s="3" t="s">
        <v>3666</v>
      </c>
      <c r="H2879" s="2" t="s">
        <v>88</v>
      </c>
      <c r="I2879" s="4">
        <v>0.4</v>
      </c>
      <c r="J2879" s="5">
        <v>710000000</v>
      </c>
      <c r="K2879" s="5" t="s">
        <v>89</v>
      </c>
      <c r="L2879" s="2" t="s">
        <v>754</v>
      </c>
      <c r="M2879" s="6" t="s">
        <v>689</v>
      </c>
      <c r="N2879" s="7" t="s">
        <v>92</v>
      </c>
      <c r="O2879" s="7" t="s">
        <v>93</v>
      </c>
      <c r="P2879" s="3" t="s">
        <v>94</v>
      </c>
      <c r="Q2879" s="8" t="s">
        <v>861</v>
      </c>
      <c r="R2879" s="7" t="s">
        <v>3667</v>
      </c>
      <c r="S2879" s="9">
        <v>2</v>
      </c>
      <c r="T2879" s="9">
        <v>8130.13</v>
      </c>
      <c r="U2879" s="9">
        <v>0</v>
      </c>
      <c r="V2879" s="9">
        <f t="shared" si="1900"/>
        <v>0</v>
      </c>
      <c r="W2879" s="7" t="s">
        <v>97</v>
      </c>
      <c r="X2879" s="2">
        <v>2016</v>
      </c>
      <c r="Y2879" s="2" t="s">
        <v>7670</v>
      </c>
    </row>
    <row r="2880" spans="1:25" s="11" customFormat="1" ht="191.25" customHeight="1" outlineLevel="1" x14ac:dyDescent="0.25">
      <c r="A2880" s="16"/>
      <c r="B2880" s="2" t="s">
        <v>8782</v>
      </c>
      <c r="C2880" s="3" t="s">
        <v>83</v>
      </c>
      <c r="D2880" s="3" t="s">
        <v>3517</v>
      </c>
      <c r="E2880" s="3" t="s">
        <v>3511</v>
      </c>
      <c r="F2880" s="3" t="s">
        <v>3518</v>
      </c>
      <c r="G2880" s="3" t="s">
        <v>3666</v>
      </c>
      <c r="H2880" s="2" t="s">
        <v>88</v>
      </c>
      <c r="I2880" s="4">
        <v>0</v>
      </c>
      <c r="J2880" s="5">
        <v>710000000</v>
      </c>
      <c r="K2880" s="5" t="s">
        <v>89</v>
      </c>
      <c r="L2880" s="5" t="s">
        <v>8491</v>
      </c>
      <c r="M2880" s="6" t="s">
        <v>689</v>
      </c>
      <c r="N2880" s="7" t="s">
        <v>92</v>
      </c>
      <c r="O2880" s="7" t="s">
        <v>93</v>
      </c>
      <c r="P2880" s="3" t="s">
        <v>673</v>
      </c>
      <c r="Q2880" s="8" t="s">
        <v>861</v>
      </c>
      <c r="R2880" s="7" t="s">
        <v>3667</v>
      </c>
      <c r="S2880" s="9">
        <v>2</v>
      </c>
      <c r="T2880" s="9">
        <v>8130.13</v>
      </c>
      <c r="U2880" s="9">
        <f t="shared" ref="U2880" si="1951">T2880*S2880</f>
        <v>16260.26</v>
      </c>
      <c r="V2880" s="9">
        <f t="shared" ref="V2880" si="1952">U2880*1.12</f>
        <v>18211.4912</v>
      </c>
      <c r="W2880" s="7"/>
      <c r="X2880" s="2">
        <v>2016</v>
      </c>
      <c r="Y2880" s="2"/>
    </row>
    <row r="2881" spans="1:25" s="11" customFormat="1" ht="242.25" customHeight="1" outlineLevel="1" x14ac:dyDescent="0.25">
      <c r="A2881" s="16"/>
      <c r="B2881" s="2" t="s">
        <v>7194</v>
      </c>
      <c r="C2881" s="3" t="s">
        <v>83</v>
      </c>
      <c r="D2881" s="3" t="s">
        <v>3668</v>
      </c>
      <c r="E2881" s="3" t="s">
        <v>3511</v>
      </c>
      <c r="F2881" s="3" t="s">
        <v>3669</v>
      </c>
      <c r="G2881" s="3" t="s">
        <v>3670</v>
      </c>
      <c r="H2881" s="2" t="s">
        <v>88</v>
      </c>
      <c r="I2881" s="4">
        <v>0.4</v>
      </c>
      <c r="J2881" s="5">
        <v>710000000</v>
      </c>
      <c r="K2881" s="5" t="s">
        <v>89</v>
      </c>
      <c r="L2881" s="2" t="s">
        <v>754</v>
      </c>
      <c r="M2881" s="6" t="s">
        <v>689</v>
      </c>
      <c r="N2881" s="7" t="s">
        <v>92</v>
      </c>
      <c r="O2881" s="7" t="s">
        <v>93</v>
      </c>
      <c r="P2881" s="3" t="s">
        <v>94</v>
      </c>
      <c r="Q2881" s="8" t="s">
        <v>861</v>
      </c>
      <c r="R2881" s="7" t="s">
        <v>3667</v>
      </c>
      <c r="S2881" s="9">
        <v>109</v>
      </c>
      <c r="T2881" s="9">
        <v>8130.13</v>
      </c>
      <c r="U2881" s="9">
        <v>0</v>
      </c>
      <c r="V2881" s="9">
        <f t="shared" si="1900"/>
        <v>0</v>
      </c>
      <c r="W2881" s="7" t="s">
        <v>97</v>
      </c>
      <c r="X2881" s="2">
        <v>2016</v>
      </c>
      <c r="Y2881" s="2" t="s">
        <v>7670</v>
      </c>
    </row>
    <row r="2882" spans="1:25" s="11" customFormat="1" ht="242.25" customHeight="1" outlineLevel="1" x14ac:dyDescent="0.25">
      <c r="A2882" s="16"/>
      <c r="B2882" s="2" t="s">
        <v>8783</v>
      </c>
      <c r="C2882" s="3" t="s">
        <v>83</v>
      </c>
      <c r="D2882" s="3" t="s">
        <v>3668</v>
      </c>
      <c r="E2882" s="3" t="s">
        <v>3511</v>
      </c>
      <c r="F2882" s="3" t="s">
        <v>3669</v>
      </c>
      <c r="G2882" s="3" t="s">
        <v>3670</v>
      </c>
      <c r="H2882" s="2" t="s">
        <v>88</v>
      </c>
      <c r="I2882" s="4">
        <v>0</v>
      </c>
      <c r="J2882" s="5">
        <v>710000000</v>
      </c>
      <c r="K2882" s="5" t="s">
        <v>89</v>
      </c>
      <c r="L2882" s="5" t="s">
        <v>8491</v>
      </c>
      <c r="M2882" s="6" t="s">
        <v>689</v>
      </c>
      <c r="N2882" s="7" t="s">
        <v>92</v>
      </c>
      <c r="O2882" s="7" t="s">
        <v>93</v>
      </c>
      <c r="P2882" s="3" t="s">
        <v>673</v>
      </c>
      <c r="Q2882" s="8" t="s">
        <v>861</v>
      </c>
      <c r="R2882" s="7" t="s">
        <v>3667</v>
      </c>
      <c r="S2882" s="9">
        <v>109</v>
      </c>
      <c r="T2882" s="9">
        <v>8130.13</v>
      </c>
      <c r="U2882" s="9">
        <f t="shared" ref="U2882" si="1953">T2882*S2882</f>
        <v>886184.17</v>
      </c>
      <c r="V2882" s="9">
        <f t="shared" ref="V2882" si="1954">U2882*1.12</f>
        <v>992526.27040000015</v>
      </c>
      <c r="W2882" s="7"/>
      <c r="X2882" s="2">
        <v>2016</v>
      </c>
      <c r="Y2882" s="2"/>
    </row>
    <row r="2883" spans="1:25" s="11" customFormat="1" ht="89.25" customHeight="1" outlineLevel="1" x14ac:dyDescent="0.25">
      <c r="A2883" s="16"/>
      <c r="B2883" s="2" t="s">
        <v>7195</v>
      </c>
      <c r="C2883" s="3" t="s">
        <v>83</v>
      </c>
      <c r="D2883" s="3" t="s">
        <v>3585</v>
      </c>
      <c r="E2883" s="3" t="s">
        <v>3511</v>
      </c>
      <c r="F2883" s="3" t="s">
        <v>3586</v>
      </c>
      <c r="G2883" s="3" t="s">
        <v>3671</v>
      </c>
      <c r="H2883" s="2" t="s">
        <v>88</v>
      </c>
      <c r="I2883" s="4">
        <v>0.4</v>
      </c>
      <c r="J2883" s="5">
        <v>710000000</v>
      </c>
      <c r="K2883" s="5" t="s">
        <v>89</v>
      </c>
      <c r="L2883" s="2" t="s">
        <v>754</v>
      </c>
      <c r="M2883" s="6" t="s">
        <v>689</v>
      </c>
      <c r="N2883" s="7" t="s">
        <v>92</v>
      </c>
      <c r="O2883" s="7" t="s">
        <v>93</v>
      </c>
      <c r="P2883" s="3" t="s">
        <v>94</v>
      </c>
      <c r="Q2883" s="8" t="s">
        <v>861</v>
      </c>
      <c r="R2883" s="7" t="s">
        <v>3667</v>
      </c>
      <c r="S2883" s="9">
        <v>2</v>
      </c>
      <c r="T2883" s="9">
        <v>15809.38</v>
      </c>
      <c r="U2883" s="9">
        <v>0</v>
      </c>
      <c r="V2883" s="9">
        <f t="shared" si="1900"/>
        <v>0</v>
      </c>
      <c r="W2883" s="7" t="s">
        <v>97</v>
      </c>
      <c r="X2883" s="2">
        <v>2016</v>
      </c>
      <c r="Y2883" s="2" t="s">
        <v>7670</v>
      </c>
    </row>
    <row r="2884" spans="1:25" s="11" customFormat="1" ht="89.25" customHeight="1" outlineLevel="1" x14ac:dyDescent="0.25">
      <c r="A2884" s="16"/>
      <c r="B2884" s="2" t="s">
        <v>8784</v>
      </c>
      <c r="C2884" s="3" t="s">
        <v>83</v>
      </c>
      <c r="D2884" s="3" t="s">
        <v>3585</v>
      </c>
      <c r="E2884" s="3" t="s">
        <v>3511</v>
      </c>
      <c r="F2884" s="3" t="s">
        <v>3586</v>
      </c>
      <c r="G2884" s="3" t="s">
        <v>3671</v>
      </c>
      <c r="H2884" s="2" t="s">
        <v>88</v>
      </c>
      <c r="I2884" s="4">
        <v>0</v>
      </c>
      <c r="J2884" s="5">
        <v>710000000</v>
      </c>
      <c r="K2884" s="5" t="s">
        <v>89</v>
      </c>
      <c r="L2884" s="5" t="s">
        <v>8491</v>
      </c>
      <c r="M2884" s="6" t="s">
        <v>689</v>
      </c>
      <c r="N2884" s="7" t="s">
        <v>92</v>
      </c>
      <c r="O2884" s="7" t="s">
        <v>93</v>
      </c>
      <c r="P2884" s="3" t="s">
        <v>673</v>
      </c>
      <c r="Q2884" s="8" t="s">
        <v>861</v>
      </c>
      <c r="R2884" s="7" t="s">
        <v>3667</v>
      </c>
      <c r="S2884" s="9">
        <v>2</v>
      </c>
      <c r="T2884" s="9">
        <v>15809.38</v>
      </c>
      <c r="U2884" s="9">
        <f t="shared" ref="U2884" si="1955">T2884*S2884</f>
        <v>31618.76</v>
      </c>
      <c r="V2884" s="9">
        <f t="shared" ref="V2884" si="1956">U2884*1.12</f>
        <v>35413.011200000001</v>
      </c>
      <c r="W2884" s="7"/>
      <c r="X2884" s="2">
        <v>2016</v>
      </c>
      <c r="Y2884" s="2"/>
    </row>
    <row r="2885" spans="1:25" s="11" customFormat="1" ht="165.75" customHeight="1" outlineLevel="1" x14ac:dyDescent="0.25">
      <c r="A2885" s="16"/>
      <c r="B2885" s="2" t="s">
        <v>7196</v>
      </c>
      <c r="C2885" s="3" t="s">
        <v>83</v>
      </c>
      <c r="D2885" s="3" t="s">
        <v>3672</v>
      </c>
      <c r="E2885" s="3" t="s">
        <v>3673</v>
      </c>
      <c r="F2885" s="3" t="s">
        <v>3674</v>
      </c>
      <c r="G2885" s="3" t="s">
        <v>3675</v>
      </c>
      <c r="H2885" s="2" t="s">
        <v>88</v>
      </c>
      <c r="I2885" s="4">
        <v>0.4</v>
      </c>
      <c r="J2885" s="5">
        <v>710000000</v>
      </c>
      <c r="K2885" s="5" t="s">
        <v>89</v>
      </c>
      <c r="L2885" s="2" t="s">
        <v>754</v>
      </c>
      <c r="M2885" s="6" t="s">
        <v>689</v>
      </c>
      <c r="N2885" s="7" t="s">
        <v>92</v>
      </c>
      <c r="O2885" s="7" t="s">
        <v>93</v>
      </c>
      <c r="P2885" s="3" t="s">
        <v>94</v>
      </c>
      <c r="Q2885" s="8">
        <v>796</v>
      </c>
      <c r="R2885" s="7" t="s">
        <v>118</v>
      </c>
      <c r="S2885" s="9">
        <v>7</v>
      </c>
      <c r="T2885" s="9">
        <v>15281.98</v>
      </c>
      <c r="U2885" s="9">
        <v>0</v>
      </c>
      <c r="V2885" s="9">
        <f t="shared" si="1900"/>
        <v>0</v>
      </c>
      <c r="W2885" s="7" t="s">
        <v>97</v>
      </c>
      <c r="X2885" s="2">
        <v>2016</v>
      </c>
      <c r="Y2885" s="2" t="s">
        <v>7670</v>
      </c>
    </row>
    <row r="2886" spans="1:25" s="11" customFormat="1" ht="165.75" customHeight="1" outlineLevel="1" x14ac:dyDescent="0.25">
      <c r="A2886" s="16"/>
      <c r="B2886" s="2" t="s">
        <v>8785</v>
      </c>
      <c r="C2886" s="3" t="s">
        <v>83</v>
      </c>
      <c r="D2886" s="3" t="s">
        <v>3672</v>
      </c>
      <c r="E2886" s="3" t="s">
        <v>3673</v>
      </c>
      <c r="F2886" s="3" t="s">
        <v>3674</v>
      </c>
      <c r="G2886" s="3" t="s">
        <v>3675</v>
      </c>
      <c r="H2886" s="2" t="s">
        <v>88</v>
      </c>
      <c r="I2886" s="4">
        <v>0</v>
      </c>
      <c r="J2886" s="5">
        <v>710000000</v>
      </c>
      <c r="K2886" s="5" t="s">
        <v>89</v>
      </c>
      <c r="L2886" s="5" t="s">
        <v>8491</v>
      </c>
      <c r="M2886" s="6" t="s">
        <v>689</v>
      </c>
      <c r="N2886" s="7" t="s">
        <v>92</v>
      </c>
      <c r="O2886" s="7" t="s">
        <v>93</v>
      </c>
      <c r="P2886" s="3" t="s">
        <v>673</v>
      </c>
      <c r="Q2886" s="8">
        <v>796</v>
      </c>
      <c r="R2886" s="7" t="s">
        <v>118</v>
      </c>
      <c r="S2886" s="9">
        <v>7</v>
      </c>
      <c r="T2886" s="9">
        <v>15281.98</v>
      </c>
      <c r="U2886" s="9">
        <f t="shared" ref="U2886" si="1957">T2886*S2886</f>
        <v>106973.86</v>
      </c>
      <c r="V2886" s="9">
        <f t="shared" ref="V2886" si="1958">U2886*1.12</f>
        <v>119810.72320000001</v>
      </c>
      <c r="W2886" s="7"/>
      <c r="X2886" s="2">
        <v>2016</v>
      </c>
      <c r="Y2886" s="2"/>
    </row>
    <row r="2887" spans="1:25" s="11" customFormat="1" ht="114.75" customHeight="1" outlineLevel="1" x14ac:dyDescent="0.25">
      <c r="A2887" s="16"/>
      <c r="B2887" s="2" t="s">
        <v>7197</v>
      </c>
      <c r="C2887" s="3" t="s">
        <v>83</v>
      </c>
      <c r="D2887" s="3" t="s">
        <v>3676</v>
      </c>
      <c r="E2887" s="3" t="s">
        <v>3677</v>
      </c>
      <c r="F2887" s="3" t="s">
        <v>3678</v>
      </c>
      <c r="G2887" s="3" t="s">
        <v>3679</v>
      </c>
      <c r="H2887" s="2" t="s">
        <v>88</v>
      </c>
      <c r="I2887" s="4">
        <v>0.4</v>
      </c>
      <c r="J2887" s="5">
        <v>710000000</v>
      </c>
      <c r="K2887" s="5" t="s">
        <v>89</v>
      </c>
      <c r="L2887" s="2" t="s">
        <v>754</v>
      </c>
      <c r="M2887" s="6" t="s">
        <v>689</v>
      </c>
      <c r="N2887" s="7" t="s">
        <v>92</v>
      </c>
      <c r="O2887" s="7" t="s">
        <v>93</v>
      </c>
      <c r="P2887" s="3" t="s">
        <v>94</v>
      </c>
      <c r="Q2887" s="8">
        <v>796</v>
      </c>
      <c r="R2887" s="7" t="s">
        <v>118</v>
      </c>
      <c r="S2887" s="9">
        <v>23</v>
      </c>
      <c r="T2887" s="9">
        <v>8130.13</v>
      </c>
      <c r="U2887" s="9">
        <v>0</v>
      </c>
      <c r="V2887" s="9">
        <f t="shared" si="1900"/>
        <v>0</v>
      </c>
      <c r="W2887" s="7" t="s">
        <v>97</v>
      </c>
      <c r="X2887" s="2">
        <v>2016</v>
      </c>
      <c r="Y2887" s="2" t="s">
        <v>7670</v>
      </c>
    </row>
    <row r="2888" spans="1:25" s="11" customFormat="1" ht="114.75" customHeight="1" outlineLevel="1" x14ac:dyDescent="0.25">
      <c r="A2888" s="16"/>
      <c r="B2888" s="2" t="s">
        <v>8786</v>
      </c>
      <c r="C2888" s="3" t="s">
        <v>83</v>
      </c>
      <c r="D2888" s="3" t="s">
        <v>3676</v>
      </c>
      <c r="E2888" s="3" t="s">
        <v>3677</v>
      </c>
      <c r="F2888" s="3" t="s">
        <v>3678</v>
      </c>
      <c r="G2888" s="3" t="s">
        <v>3679</v>
      </c>
      <c r="H2888" s="2" t="s">
        <v>88</v>
      </c>
      <c r="I2888" s="4">
        <v>0</v>
      </c>
      <c r="J2888" s="5">
        <v>710000000</v>
      </c>
      <c r="K2888" s="5" t="s">
        <v>89</v>
      </c>
      <c r="L2888" s="5" t="s">
        <v>8491</v>
      </c>
      <c r="M2888" s="6" t="s">
        <v>689</v>
      </c>
      <c r="N2888" s="7" t="s">
        <v>92</v>
      </c>
      <c r="O2888" s="7" t="s">
        <v>93</v>
      </c>
      <c r="P2888" s="3" t="s">
        <v>673</v>
      </c>
      <c r="Q2888" s="8">
        <v>796</v>
      </c>
      <c r="R2888" s="7" t="s">
        <v>118</v>
      </c>
      <c r="S2888" s="9">
        <v>23</v>
      </c>
      <c r="T2888" s="9">
        <v>8130.13</v>
      </c>
      <c r="U2888" s="9">
        <f t="shared" ref="U2888" si="1959">T2888*S2888</f>
        <v>186992.99</v>
      </c>
      <c r="V2888" s="9">
        <f t="shared" ref="V2888" si="1960">U2888*1.12</f>
        <v>209432.1488</v>
      </c>
      <c r="W2888" s="7"/>
      <c r="X2888" s="2">
        <v>2016</v>
      </c>
      <c r="Y2888" s="2"/>
    </row>
    <row r="2889" spans="1:25" s="11" customFormat="1" ht="140.25" customHeight="1" outlineLevel="1" x14ac:dyDescent="0.25">
      <c r="A2889" s="16"/>
      <c r="B2889" s="2" t="s">
        <v>7198</v>
      </c>
      <c r="C2889" s="3" t="s">
        <v>83</v>
      </c>
      <c r="D2889" s="3" t="s">
        <v>3680</v>
      </c>
      <c r="E2889" s="3" t="s">
        <v>3681</v>
      </c>
      <c r="F2889" s="3" t="s">
        <v>3682</v>
      </c>
      <c r="G2889" s="3" t="s">
        <v>3683</v>
      </c>
      <c r="H2889" s="2" t="s">
        <v>88</v>
      </c>
      <c r="I2889" s="4">
        <v>0.4</v>
      </c>
      <c r="J2889" s="5">
        <v>710000000</v>
      </c>
      <c r="K2889" s="5" t="s">
        <v>89</v>
      </c>
      <c r="L2889" s="2" t="s">
        <v>754</v>
      </c>
      <c r="M2889" s="6" t="s">
        <v>689</v>
      </c>
      <c r="N2889" s="7" t="s">
        <v>92</v>
      </c>
      <c r="O2889" s="7" t="s">
        <v>93</v>
      </c>
      <c r="P2889" s="3" t="s">
        <v>94</v>
      </c>
      <c r="Q2889" s="8" t="s">
        <v>861</v>
      </c>
      <c r="R2889" s="7" t="s">
        <v>812</v>
      </c>
      <c r="S2889" s="9">
        <v>1</v>
      </c>
      <c r="T2889" s="9">
        <v>8130.13</v>
      </c>
      <c r="U2889" s="9">
        <v>0</v>
      </c>
      <c r="V2889" s="9">
        <f t="shared" si="1900"/>
        <v>0</v>
      </c>
      <c r="W2889" s="7" t="s">
        <v>97</v>
      </c>
      <c r="X2889" s="2">
        <v>2016</v>
      </c>
      <c r="Y2889" s="2" t="s">
        <v>7670</v>
      </c>
    </row>
    <row r="2890" spans="1:25" s="11" customFormat="1" ht="140.25" customHeight="1" outlineLevel="1" x14ac:dyDescent="0.25">
      <c r="A2890" s="16"/>
      <c r="B2890" s="2" t="s">
        <v>8787</v>
      </c>
      <c r="C2890" s="3" t="s">
        <v>83</v>
      </c>
      <c r="D2890" s="3" t="s">
        <v>3680</v>
      </c>
      <c r="E2890" s="3" t="s">
        <v>3681</v>
      </c>
      <c r="F2890" s="3" t="s">
        <v>3682</v>
      </c>
      <c r="G2890" s="3" t="s">
        <v>3683</v>
      </c>
      <c r="H2890" s="2" t="s">
        <v>88</v>
      </c>
      <c r="I2890" s="4">
        <v>0</v>
      </c>
      <c r="J2890" s="5">
        <v>710000000</v>
      </c>
      <c r="K2890" s="5" t="s">
        <v>89</v>
      </c>
      <c r="L2890" s="5" t="s">
        <v>8491</v>
      </c>
      <c r="M2890" s="6" t="s">
        <v>689</v>
      </c>
      <c r="N2890" s="7" t="s">
        <v>92</v>
      </c>
      <c r="O2890" s="7" t="s">
        <v>93</v>
      </c>
      <c r="P2890" s="3" t="s">
        <v>673</v>
      </c>
      <c r="Q2890" s="8" t="s">
        <v>861</v>
      </c>
      <c r="R2890" s="7" t="s">
        <v>812</v>
      </c>
      <c r="S2890" s="9">
        <v>1</v>
      </c>
      <c r="T2890" s="9">
        <v>8130.13</v>
      </c>
      <c r="U2890" s="9">
        <f t="shared" ref="U2890" si="1961">T2890*S2890</f>
        <v>8130.13</v>
      </c>
      <c r="V2890" s="9">
        <f t="shared" ref="V2890" si="1962">U2890*1.12</f>
        <v>9105.7456000000002</v>
      </c>
      <c r="W2890" s="7"/>
      <c r="X2890" s="2">
        <v>2016</v>
      </c>
      <c r="Y2890" s="2"/>
    </row>
    <row r="2891" spans="1:25" s="11" customFormat="1" ht="165.75" customHeight="1" outlineLevel="1" x14ac:dyDescent="0.25">
      <c r="A2891" s="16"/>
      <c r="B2891" s="2" t="s">
        <v>7199</v>
      </c>
      <c r="C2891" s="3" t="s">
        <v>83</v>
      </c>
      <c r="D2891" s="3" t="s">
        <v>3684</v>
      </c>
      <c r="E2891" s="3" t="s">
        <v>3685</v>
      </c>
      <c r="F2891" s="3" t="s">
        <v>3686</v>
      </c>
      <c r="G2891" s="3" t="s">
        <v>3687</v>
      </c>
      <c r="H2891" s="2" t="s">
        <v>88</v>
      </c>
      <c r="I2891" s="4">
        <v>0.4</v>
      </c>
      <c r="J2891" s="5">
        <v>710000000</v>
      </c>
      <c r="K2891" s="5" t="s">
        <v>89</v>
      </c>
      <c r="L2891" s="2" t="s">
        <v>754</v>
      </c>
      <c r="M2891" s="6" t="s">
        <v>689</v>
      </c>
      <c r="N2891" s="7" t="s">
        <v>92</v>
      </c>
      <c r="O2891" s="7" t="s">
        <v>93</v>
      </c>
      <c r="P2891" s="3" t="s">
        <v>94</v>
      </c>
      <c r="Q2891" s="8">
        <v>796</v>
      </c>
      <c r="R2891" s="7" t="s">
        <v>118</v>
      </c>
      <c r="S2891" s="9">
        <v>7</v>
      </c>
      <c r="T2891" s="9">
        <v>715.13</v>
      </c>
      <c r="U2891" s="9">
        <v>0</v>
      </c>
      <c r="V2891" s="9">
        <f t="shared" si="1900"/>
        <v>0</v>
      </c>
      <c r="W2891" s="7" t="s">
        <v>97</v>
      </c>
      <c r="X2891" s="2">
        <v>2016</v>
      </c>
      <c r="Y2891" s="2" t="s">
        <v>7670</v>
      </c>
    </row>
    <row r="2892" spans="1:25" s="11" customFormat="1" ht="165.75" customHeight="1" outlineLevel="1" x14ac:dyDescent="0.25">
      <c r="A2892" s="16"/>
      <c r="B2892" s="2" t="s">
        <v>8788</v>
      </c>
      <c r="C2892" s="3" t="s">
        <v>83</v>
      </c>
      <c r="D2892" s="3" t="s">
        <v>3684</v>
      </c>
      <c r="E2892" s="3" t="s">
        <v>3685</v>
      </c>
      <c r="F2892" s="3" t="s">
        <v>3686</v>
      </c>
      <c r="G2892" s="3" t="s">
        <v>3687</v>
      </c>
      <c r="H2892" s="2" t="s">
        <v>88</v>
      </c>
      <c r="I2892" s="4">
        <v>0</v>
      </c>
      <c r="J2892" s="5">
        <v>710000000</v>
      </c>
      <c r="K2892" s="5" t="s">
        <v>89</v>
      </c>
      <c r="L2892" s="5" t="s">
        <v>8491</v>
      </c>
      <c r="M2892" s="6" t="s">
        <v>689</v>
      </c>
      <c r="N2892" s="7" t="s">
        <v>92</v>
      </c>
      <c r="O2892" s="7" t="s">
        <v>93</v>
      </c>
      <c r="P2892" s="3" t="s">
        <v>673</v>
      </c>
      <c r="Q2892" s="8">
        <v>796</v>
      </c>
      <c r="R2892" s="7" t="s">
        <v>118</v>
      </c>
      <c r="S2892" s="9">
        <v>7</v>
      </c>
      <c r="T2892" s="9">
        <v>715.13</v>
      </c>
      <c r="U2892" s="9">
        <f t="shared" ref="U2892" si="1963">T2892*S2892</f>
        <v>5005.91</v>
      </c>
      <c r="V2892" s="9">
        <f t="shared" ref="V2892" si="1964">U2892*1.12</f>
        <v>5606.6192000000001</v>
      </c>
      <c r="W2892" s="7"/>
      <c r="X2892" s="2">
        <v>2016</v>
      </c>
      <c r="Y2892" s="2"/>
    </row>
    <row r="2893" spans="1:25" s="11" customFormat="1" ht="89.25" customHeight="1" outlineLevel="1" x14ac:dyDescent="0.25">
      <c r="A2893" s="16"/>
      <c r="B2893" s="2" t="s">
        <v>7200</v>
      </c>
      <c r="C2893" s="3" t="s">
        <v>83</v>
      </c>
      <c r="D2893" s="3" t="s">
        <v>3688</v>
      </c>
      <c r="E2893" s="3" t="s">
        <v>3539</v>
      </c>
      <c r="F2893" s="3" t="s">
        <v>3689</v>
      </c>
      <c r="G2893" s="3" t="s">
        <v>3690</v>
      </c>
      <c r="H2893" s="2" t="s">
        <v>88</v>
      </c>
      <c r="I2893" s="4">
        <v>0.4</v>
      </c>
      <c r="J2893" s="5">
        <v>710000000</v>
      </c>
      <c r="K2893" s="5" t="s">
        <v>89</v>
      </c>
      <c r="L2893" s="2" t="s">
        <v>754</v>
      </c>
      <c r="M2893" s="6" t="s">
        <v>689</v>
      </c>
      <c r="N2893" s="7" t="s">
        <v>92</v>
      </c>
      <c r="O2893" s="7" t="s">
        <v>93</v>
      </c>
      <c r="P2893" s="3" t="s">
        <v>94</v>
      </c>
      <c r="Q2893" s="8" t="s">
        <v>2458</v>
      </c>
      <c r="R2893" s="7" t="s">
        <v>2459</v>
      </c>
      <c r="S2893" s="9">
        <v>13</v>
      </c>
      <c r="T2893" s="9">
        <v>6017.53</v>
      </c>
      <c r="U2893" s="9">
        <v>0</v>
      </c>
      <c r="V2893" s="9">
        <f t="shared" si="1900"/>
        <v>0</v>
      </c>
      <c r="W2893" s="7" t="s">
        <v>97</v>
      </c>
      <c r="X2893" s="2">
        <v>2016</v>
      </c>
      <c r="Y2893" s="2" t="s">
        <v>7670</v>
      </c>
    </row>
    <row r="2894" spans="1:25" s="11" customFormat="1" ht="89.25" customHeight="1" outlineLevel="1" x14ac:dyDescent="0.25">
      <c r="A2894" s="16"/>
      <c r="B2894" s="2" t="s">
        <v>8789</v>
      </c>
      <c r="C2894" s="3" t="s">
        <v>83</v>
      </c>
      <c r="D2894" s="3" t="s">
        <v>3688</v>
      </c>
      <c r="E2894" s="3" t="s">
        <v>3539</v>
      </c>
      <c r="F2894" s="3" t="s">
        <v>3689</v>
      </c>
      <c r="G2894" s="3" t="s">
        <v>3690</v>
      </c>
      <c r="H2894" s="2" t="s">
        <v>88</v>
      </c>
      <c r="I2894" s="4">
        <v>0</v>
      </c>
      <c r="J2894" s="5">
        <v>710000000</v>
      </c>
      <c r="K2894" s="5" t="s">
        <v>89</v>
      </c>
      <c r="L2894" s="5" t="s">
        <v>8491</v>
      </c>
      <c r="M2894" s="6" t="s">
        <v>689</v>
      </c>
      <c r="N2894" s="7" t="s">
        <v>92</v>
      </c>
      <c r="O2894" s="7" t="s">
        <v>93</v>
      </c>
      <c r="P2894" s="3" t="s">
        <v>673</v>
      </c>
      <c r="Q2894" s="8" t="s">
        <v>2458</v>
      </c>
      <c r="R2894" s="7" t="s">
        <v>2459</v>
      </c>
      <c r="S2894" s="9">
        <v>13</v>
      </c>
      <c r="T2894" s="9">
        <v>6017.53</v>
      </c>
      <c r="U2894" s="9">
        <f t="shared" ref="U2894" si="1965">T2894*S2894</f>
        <v>78227.89</v>
      </c>
      <c r="V2894" s="9">
        <f t="shared" ref="V2894" si="1966">U2894*1.12</f>
        <v>87615.236800000013</v>
      </c>
      <c r="W2894" s="7"/>
      <c r="X2894" s="2">
        <v>2016</v>
      </c>
      <c r="Y2894" s="2"/>
    </row>
    <row r="2895" spans="1:25" s="11" customFormat="1" ht="255" customHeight="1" outlineLevel="1" x14ac:dyDescent="0.25">
      <c r="A2895" s="16"/>
      <c r="B2895" s="2" t="s">
        <v>7201</v>
      </c>
      <c r="C2895" s="3" t="s">
        <v>83</v>
      </c>
      <c r="D2895" s="3" t="s">
        <v>3691</v>
      </c>
      <c r="E2895" s="3" t="s">
        <v>3692</v>
      </c>
      <c r="F2895" s="3" t="s">
        <v>3693</v>
      </c>
      <c r="G2895" s="3" t="s">
        <v>3694</v>
      </c>
      <c r="H2895" s="2" t="s">
        <v>88</v>
      </c>
      <c r="I2895" s="4">
        <v>0.4</v>
      </c>
      <c r="J2895" s="5">
        <v>710000000</v>
      </c>
      <c r="K2895" s="5" t="s">
        <v>89</v>
      </c>
      <c r="L2895" s="2" t="s">
        <v>754</v>
      </c>
      <c r="M2895" s="6" t="s">
        <v>689</v>
      </c>
      <c r="N2895" s="7" t="s">
        <v>92</v>
      </c>
      <c r="O2895" s="7" t="s">
        <v>93</v>
      </c>
      <c r="P2895" s="3" t="s">
        <v>94</v>
      </c>
      <c r="Q2895" s="8" t="s">
        <v>861</v>
      </c>
      <c r="R2895" s="7" t="s">
        <v>812</v>
      </c>
      <c r="S2895" s="9">
        <v>20</v>
      </c>
      <c r="T2895" s="9">
        <v>12752.23</v>
      </c>
      <c r="U2895" s="9">
        <v>0</v>
      </c>
      <c r="V2895" s="9">
        <f t="shared" si="1900"/>
        <v>0</v>
      </c>
      <c r="W2895" s="7" t="s">
        <v>97</v>
      </c>
      <c r="X2895" s="2">
        <v>2016</v>
      </c>
      <c r="Y2895" s="2" t="s">
        <v>7670</v>
      </c>
    </row>
    <row r="2896" spans="1:25" s="11" customFormat="1" ht="255" customHeight="1" outlineLevel="1" x14ac:dyDescent="0.25">
      <c r="A2896" s="16"/>
      <c r="B2896" s="2" t="s">
        <v>8790</v>
      </c>
      <c r="C2896" s="3" t="s">
        <v>83</v>
      </c>
      <c r="D2896" s="3" t="s">
        <v>3691</v>
      </c>
      <c r="E2896" s="3" t="s">
        <v>3692</v>
      </c>
      <c r="F2896" s="3" t="s">
        <v>3693</v>
      </c>
      <c r="G2896" s="3" t="s">
        <v>3694</v>
      </c>
      <c r="H2896" s="2" t="s">
        <v>88</v>
      </c>
      <c r="I2896" s="4">
        <v>0</v>
      </c>
      <c r="J2896" s="5">
        <v>710000000</v>
      </c>
      <c r="K2896" s="5" t="s">
        <v>89</v>
      </c>
      <c r="L2896" s="5" t="s">
        <v>8491</v>
      </c>
      <c r="M2896" s="6" t="s">
        <v>689</v>
      </c>
      <c r="N2896" s="7" t="s">
        <v>92</v>
      </c>
      <c r="O2896" s="7" t="s">
        <v>93</v>
      </c>
      <c r="P2896" s="3" t="s">
        <v>673</v>
      </c>
      <c r="Q2896" s="8" t="s">
        <v>861</v>
      </c>
      <c r="R2896" s="7" t="s">
        <v>812</v>
      </c>
      <c r="S2896" s="9">
        <v>20</v>
      </c>
      <c r="T2896" s="9">
        <v>12752.23</v>
      </c>
      <c r="U2896" s="9">
        <f t="shared" ref="U2896" si="1967">T2896*S2896</f>
        <v>255044.59999999998</v>
      </c>
      <c r="V2896" s="9">
        <f t="shared" ref="V2896" si="1968">U2896*1.12</f>
        <v>285649.95199999999</v>
      </c>
      <c r="W2896" s="7"/>
      <c r="X2896" s="2">
        <v>2016</v>
      </c>
      <c r="Y2896" s="2"/>
    </row>
    <row r="2897" spans="1:25" s="11" customFormat="1" ht="89.25" customHeight="1" outlineLevel="1" x14ac:dyDescent="0.25">
      <c r="A2897" s="16"/>
      <c r="B2897" s="2" t="s">
        <v>7202</v>
      </c>
      <c r="C2897" s="3" t="s">
        <v>83</v>
      </c>
      <c r="D2897" s="3" t="s">
        <v>3695</v>
      </c>
      <c r="E2897" s="3" t="s">
        <v>3696</v>
      </c>
      <c r="F2897" s="3" t="s">
        <v>3697</v>
      </c>
      <c r="G2897" s="3" t="s">
        <v>3698</v>
      </c>
      <c r="H2897" s="2" t="s">
        <v>88</v>
      </c>
      <c r="I2897" s="4">
        <v>0.4</v>
      </c>
      <c r="J2897" s="5">
        <v>710000000</v>
      </c>
      <c r="K2897" s="5" t="s">
        <v>89</v>
      </c>
      <c r="L2897" s="2" t="s">
        <v>754</v>
      </c>
      <c r="M2897" s="6" t="s">
        <v>689</v>
      </c>
      <c r="N2897" s="7" t="s">
        <v>92</v>
      </c>
      <c r="O2897" s="7" t="s">
        <v>93</v>
      </c>
      <c r="P2897" s="3" t="s">
        <v>94</v>
      </c>
      <c r="Q2897" s="8">
        <v>796</v>
      </c>
      <c r="R2897" s="7" t="s">
        <v>118</v>
      </c>
      <c r="S2897" s="9">
        <v>1</v>
      </c>
      <c r="T2897" s="9">
        <v>29022.32</v>
      </c>
      <c r="U2897" s="9">
        <v>0</v>
      </c>
      <c r="V2897" s="9">
        <f t="shared" si="1900"/>
        <v>0</v>
      </c>
      <c r="W2897" s="7" t="s">
        <v>97</v>
      </c>
      <c r="X2897" s="2">
        <v>2016</v>
      </c>
      <c r="Y2897" s="2" t="s">
        <v>7670</v>
      </c>
    </row>
    <row r="2898" spans="1:25" s="11" customFormat="1" ht="89.25" customHeight="1" outlineLevel="1" x14ac:dyDescent="0.25">
      <c r="A2898" s="16"/>
      <c r="B2898" s="2" t="s">
        <v>8791</v>
      </c>
      <c r="C2898" s="3" t="s">
        <v>83</v>
      </c>
      <c r="D2898" s="3" t="s">
        <v>3695</v>
      </c>
      <c r="E2898" s="3" t="s">
        <v>3696</v>
      </c>
      <c r="F2898" s="3" t="s">
        <v>3697</v>
      </c>
      <c r="G2898" s="3" t="s">
        <v>3698</v>
      </c>
      <c r="H2898" s="2" t="s">
        <v>88</v>
      </c>
      <c r="I2898" s="4">
        <v>0</v>
      </c>
      <c r="J2898" s="5">
        <v>710000000</v>
      </c>
      <c r="K2898" s="5" t="s">
        <v>89</v>
      </c>
      <c r="L2898" s="5" t="s">
        <v>8491</v>
      </c>
      <c r="M2898" s="6" t="s">
        <v>689</v>
      </c>
      <c r="N2898" s="7" t="s">
        <v>92</v>
      </c>
      <c r="O2898" s="7" t="s">
        <v>93</v>
      </c>
      <c r="P2898" s="3" t="s">
        <v>673</v>
      </c>
      <c r="Q2898" s="8">
        <v>796</v>
      </c>
      <c r="R2898" s="7" t="s">
        <v>118</v>
      </c>
      <c r="S2898" s="9">
        <v>1</v>
      </c>
      <c r="T2898" s="9">
        <v>29022.32</v>
      </c>
      <c r="U2898" s="9">
        <f t="shared" ref="U2898" si="1969">T2898*S2898</f>
        <v>29022.32</v>
      </c>
      <c r="V2898" s="9">
        <f t="shared" ref="V2898" si="1970">U2898*1.12</f>
        <v>32504.998400000004</v>
      </c>
      <c r="W2898" s="7"/>
      <c r="X2898" s="2">
        <v>2016</v>
      </c>
      <c r="Y2898" s="2"/>
    </row>
    <row r="2899" spans="1:25" s="11" customFormat="1" ht="140.25" customHeight="1" outlineLevel="1" x14ac:dyDescent="0.25">
      <c r="A2899" s="16"/>
      <c r="B2899" s="2" t="s">
        <v>7203</v>
      </c>
      <c r="C2899" s="3" t="s">
        <v>83</v>
      </c>
      <c r="D2899" s="3" t="s">
        <v>3517</v>
      </c>
      <c r="E2899" s="3" t="s">
        <v>3511</v>
      </c>
      <c r="F2899" s="3" t="s">
        <v>3518</v>
      </c>
      <c r="G2899" s="19" t="s">
        <v>3699</v>
      </c>
      <c r="H2899" s="2" t="s">
        <v>88</v>
      </c>
      <c r="I2899" s="4">
        <v>0.4</v>
      </c>
      <c r="J2899" s="5">
        <v>710000000</v>
      </c>
      <c r="K2899" s="5" t="s">
        <v>89</v>
      </c>
      <c r="L2899" s="2" t="s">
        <v>754</v>
      </c>
      <c r="M2899" s="6" t="s">
        <v>2699</v>
      </c>
      <c r="N2899" s="7" t="s">
        <v>92</v>
      </c>
      <c r="O2899" s="7" t="s">
        <v>93</v>
      </c>
      <c r="P2899" s="3" t="s">
        <v>94</v>
      </c>
      <c r="Q2899" s="8" t="s">
        <v>861</v>
      </c>
      <c r="R2899" s="7" t="s">
        <v>812</v>
      </c>
      <c r="S2899" s="9">
        <v>33</v>
      </c>
      <c r="T2899" s="9">
        <v>5495</v>
      </c>
      <c r="U2899" s="9">
        <v>0</v>
      </c>
      <c r="V2899" s="9">
        <f t="shared" si="1900"/>
        <v>0</v>
      </c>
      <c r="W2899" s="7" t="s">
        <v>97</v>
      </c>
      <c r="X2899" s="2">
        <v>2016</v>
      </c>
      <c r="Y2899" s="2" t="s">
        <v>7670</v>
      </c>
    </row>
    <row r="2900" spans="1:25" s="11" customFormat="1" ht="140.25" customHeight="1" outlineLevel="1" x14ac:dyDescent="0.25">
      <c r="A2900" s="16"/>
      <c r="B2900" s="2" t="s">
        <v>8792</v>
      </c>
      <c r="C2900" s="3" t="s">
        <v>83</v>
      </c>
      <c r="D2900" s="3" t="s">
        <v>3517</v>
      </c>
      <c r="E2900" s="3" t="s">
        <v>3511</v>
      </c>
      <c r="F2900" s="3" t="s">
        <v>3518</v>
      </c>
      <c r="G2900" s="19" t="s">
        <v>3699</v>
      </c>
      <c r="H2900" s="2" t="s">
        <v>88</v>
      </c>
      <c r="I2900" s="4">
        <v>0</v>
      </c>
      <c r="J2900" s="5">
        <v>710000000</v>
      </c>
      <c r="K2900" s="5" t="s">
        <v>89</v>
      </c>
      <c r="L2900" s="5" t="s">
        <v>8491</v>
      </c>
      <c r="M2900" s="6" t="s">
        <v>2699</v>
      </c>
      <c r="N2900" s="7" t="s">
        <v>92</v>
      </c>
      <c r="O2900" s="7" t="s">
        <v>93</v>
      </c>
      <c r="P2900" s="3" t="s">
        <v>673</v>
      </c>
      <c r="Q2900" s="8" t="s">
        <v>861</v>
      </c>
      <c r="R2900" s="7" t="s">
        <v>812</v>
      </c>
      <c r="S2900" s="9">
        <v>33</v>
      </c>
      <c r="T2900" s="9">
        <v>5495</v>
      </c>
      <c r="U2900" s="9">
        <f t="shared" ref="U2900" si="1971">T2900*S2900</f>
        <v>181335</v>
      </c>
      <c r="V2900" s="9">
        <f t="shared" ref="V2900" si="1972">U2900*1.12</f>
        <v>203095.2</v>
      </c>
      <c r="W2900" s="7"/>
      <c r="X2900" s="2">
        <v>2016</v>
      </c>
      <c r="Y2900" s="2"/>
    </row>
    <row r="2901" spans="1:25" s="11" customFormat="1" ht="102" customHeight="1" outlineLevel="1" x14ac:dyDescent="0.25">
      <c r="A2901" s="16"/>
      <c r="B2901" s="2" t="s">
        <v>7204</v>
      </c>
      <c r="C2901" s="3" t="s">
        <v>83</v>
      </c>
      <c r="D2901" s="3" t="s">
        <v>3514</v>
      </c>
      <c r="E2901" s="3" t="s">
        <v>3511</v>
      </c>
      <c r="F2901" s="3" t="s">
        <v>3515</v>
      </c>
      <c r="G2901" s="19" t="s">
        <v>3700</v>
      </c>
      <c r="H2901" s="2" t="s">
        <v>88</v>
      </c>
      <c r="I2901" s="4">
        <v>0.4</v>
      </c>
      <c r="J2901" s="5">
        <v>710000000</v>
      </c>
      <c r="K2901" s="5" t="s">
        <v>89</v>
      </c>
      <c r="L2901" s="2" t="s">
        <v>754</v>
      </c>
      <c r="M2901" s="6" t="s">
        <v>2699</v>
      </c>
      <c r="N2901" s="7" t="s">
        <v>92</v>
      </c>
      <c r="O2901" s="7" t="s">
        <v>93</v>
      </c>
      <c r="P2901" s="3" t="s">
        <v>94</v>
      </c>
      <c r="Q2901" s="8" t="s">
        <v>861</v>
      </c>
      <c r="R2901" s="7" t="s">
        <v>812</v>
      </c>
      <c r="S2901" s="9">
        <v>30</v>
      </c>
      <c r="T2901" s="9">
        <v>5920</v>
      </c>
      <c r="U2901" s="9">
        <v>0</v>
      </c>
      <c r="V2901" s="9">
        <f t="shared" si="1900"/>
        <v>0</v>
      </c>
      <c r="W2901" s="7" t="s">
        <v>97</v>
      </c>
      <c r="X2901" s="2">
        <v>2016</v>
      </c>
      <c r="Y2901" s="2" t="s">
        <v>7670</v>
      </c>
    </row>
    <row r="2902" spans="1:25" s="11" customFormat="1" ht="102" customHeight="1" outlineLevel="1" x14ac:dyDescent="0.25">
      <c r="A2902" s="16"/>
      <c r="B2902" s="2" t="s">
        <v>8793</v>
      </c>
      <c r="C2902" s="3" t="s">
        <v>83</v>
      </c>
      <c r="D2902" s="3" t="s">
        <v>3514</v>
      </c>
      <c r="E2902" s="3" t="s">
        <v>3511</v>
      </c>
      <c r="F2902" s="3" t="s">
        <v>3515</v>
      </c>
      <c r="G2902" s="19" t="s">
        <v>3700</v>
      </c>
      <c r="H2902" s="2" t="s">
        <v>88</v>
      </c>
      <c r="I2902" s="4">
        <v>0.4</v>
      </c>
      <c r="J2902" s="5">
        <v>710000000</v>
      </c>
      <c r="K2902" s="5" t="s">
        <v>89</v>
      </c>
      <c r="L2902" s="5" t="s">
        <v>8491</v>
      </c>
      <c r="M2902" s="6" t="s">
        <v>2699</v>
      </c>
      <c r="N2902" s="7" t="s">
        <v>92</v>
      </c>
      <c r="O2902" s="7" t="s">
        <v>93</v>
      </c>
      <c r="P2902" s="3" t="s">
        <v>94</v>
      </c>
      <c r="Q2902" s="8" t="s">
        <v>861</v>
      </c>
      <c r="R2902" s="7" t="s">
        <v>812</v>
      </c>
      <c r="S2902" s="9">
        <v>30</v>
      </c>
      <c r="T2902" s="9">
        <v>5920</v>
      </c>
      <c r="U2902" s="9">
        <f t="shared" ref="U2902" si="1973">T2902*S2902</f>
        <v>177600</v>
      </c>
      <c r="V2902" s="9">
        <f t="shared" ref="V2902" si="1974">U2902*1.12</f>
        <v>198912.00000000003</v>
      </c>
      <c r="W2902" s="7" t="s">
        <v>97</v>
      </c>
      <c r="X2902" s="2">
        <v>2016</v>
      </c>
      <c r="Y2902" s="2"/>
    </row>
    <row r="2903" spans="1:25" s="11" customFormat="1" ht="242.25" customHeight="1" outlineLevel="1" x14ac:dyDescent="0.25">
      <c r="A2903" s="16"/>
      <c r="B2903" s="2" t="s">
        <v>7205</v>
      </c>
      <c r="C2903" s="3" t="s">
        <v>83</v>
      </c>
      <c r="D2903" s="3" t="s">
        <v>3701</v>
      </c>
      <c r="E2903" s="3" t="s">
        <v>3511</v>
      </c>
      <c r="F2903" s="3" t="s">
        <v>3702</v>
      </c>
      <c r="G2903" s="19" t="s">
        <v>3703</v>
      </c>
      <c r="H2903" s="2" t="s">
        <v>88</v>
      </c>
      <c r="I2903" s="4">
        <v>0.4</v>
      </c>
      <c r="J2903" s="5">
        <v>710000000</v>
      </c>
      <c r="K2903" s="5" t="s">
        <v>89</v>
      </c>
      <c r="L2903" s="2" t="s">
        <v>754</v>
      </c>
      <c r="M2903" s="6" t="s">
        <v>2699</v>
      </c>
      <c r="N2903" s="7" t="s">
        <v>92</v>
      </c>
      <c r="O2903" s="7" t="s">
        <v>93</v>
      </c>
      <c r="P2903" s="3" t="s">
        <v>94</v>
      </c>
      <c r="Q2903" s="8" t="s">
        <v>861</v>
      </c>
      <c r="R2903" s="7" t="s">
        <v>812</v>
      </c>
      <c r="S2903" s="9">
        <v>16</v>
      </c>
      <c r="T2903" s="9">
        <v>11463</v>
      </c>
      <c r="U2903" s="9">
        <v>0</v>
      </c>
      <c r="V2903" s="9">
        <f t="shared" si="1900"/>
        <v>0</v>
      </c>
      <c r="W2903" s="7" t="s">
        <v>97</v>
      </c>
      <c r="X2903" s="2">
        <v>2016</v>
      </c>
      <c r="Y2903" s="2" t="s">
        <v>7670</v>
      </c>
    </row>
    <row r="2904" spans="1:25" s="11" customFormat="1" ht="242.25" customHeight="1" outlineLevel="1" x14ac:dyDescent="0.25">
      <c r="A2904" s="16"/>
      <c r="B2904" s="2" t="s">
        <v>8794</v>
      </c>
      <c r="C2904" s="3" t="s">
        <v>83</v>
      </c>
      <c r="D2904" s="3" t="s">
        <v>3701</v>
      </c>
      <c r="E2904" s="3" t="s">
        <v>3511</v>
      </c>
      <c r="F2904" s="3" t="s">
        <v>3702</v>
      </c>
      <c r="G2904" s="19" t="s">
        <v>3703</v>
      </c>
      <c r="H2904" s="2" t="s">
        <v>88</v>
      </c>
      <c r="I2904" s="4">
        <v>0</v>
      </c>
      <c r="J2904" s="5">
        <v>710000000</v>
      </c>
      <c r="K2904" s="5" t="s">
        <v>89</v>
      </c>
      <c r="L2904" s="5" t="s">
        <v>8846</v>
      </c>
      <c r="M2904" s="6" t="s">
        <v>2699</v>
      </c>
      <c r="N2904" s="7" t="s">
        <v>92</v>
      </c>
      <c r="O2904" s="7" t="s">
        <v>93</v>
      </c>
      <c r="P2904" s="3" t="s">
        <v>673</v>
      </c>
      <c r="Q2904" s="8" t="s">
        <v>861</v>
      </c>
      <c r="R2904" s="7" t="s">
        <v>812</v>
      </c>
      <c r="S2904" s="9">
        <v>16</v>
      </c>
      <c r="T2904" s="9">
        <v>11463</v>
      </c>
      <c r="U2904" s="9">
        <f t="shared" ref="U2904" si="1975">T2904*S2904</f>
        <v>183408</v>
      </c>
      <c r="V2904" s="9">
        <f t="shared" ref="V2904" si="1976">U2904*1.12</f>
        <v>205416.96000000002</v>
      </c>
      <c r="W2904" s="7"/>
      <c r="X2904" s="2">
        <v>2016</v>
      </c>
      <c r="Y2904" s="2"/>
    </row>
    <row r="2905" spans="1:25" s="11" customFormat="1" ht="89.25" customHeight="1" outlineLevel="1" x14ac:dyDescent="0.25">
      <c r="A2905" s="1"/>
      <c r="B2905" s="2" t="s">
        <v>7206</v>
      </c>
      <c r="C2905" s="3" t="s">
        <v>83</v>
      </c>
      <c r="D2905" s="3" t="s">
        <v>5235</v>
      </c>
      <c r="E2905" s="3" t="s">
        <v>5236</v>
      </c>
      <c r="F2905" s="3" t="s">
        <v>5237</v>
      </c>
      <c r="G2905" s="19" t="s">
        <v>5238</v>
      </c>
      <c r="H2905" s="2" t="s">
        <v>694</v>
      </c>
      <c r="I2905" s="4">
        <v>0</v>
      </c>
      <c r="J2905" s="5">
        <v>710000000</v>
      </c>
      <c r="K2905" s="5" t="s">
        <v>89</v>
      </c>
      <c r="L2905" s="2" t="s">
        <v>754</v>
      </c>
      <c r="M2905" s="6" t="s">
        <v>91</v>
      </c>
      <c r="N2905" s="7" t="s">
        <v>92</v>
      </c>
      <c r="O2905" s="7" t="s">
        <v>93</v>
      </c>
      <c r="P2905" s="3" t="s">
        <v>673</v>
      </c>
      <c r="Q2905" s="8" t="s">
        <v>522</v>
      </c>
      <c r="R2905" s="7" t="s">
        <v>523</v>
      </c>
      <c r="S2905" s="9">
        <v>22</v>
      </c>
      <c r="T2905" s="9">
        <v>321</v>
      </c>
      <c r="U2905" s="9">
        <v>0</v>
      </c>
      <c r="V2905" s="9">
        <f t="shared" si="1900"/>
        <v>0</v>
      </c>
      <c r="W2905" s="7"/>
      <c r="X2905" s="2">
        <v>2016</v>
      </c>
      <c r="Y2905" s="2" t="s">
        <v>8493</v>
      </c>
    </row>
    <row r="2906" spans="1:25" s="11" customFormat="1" ht="89.25" customHeight="1" outlineLevel="1" x14ac:dyDescent="0.25">
      <c r="A2906" s="1"/>
      <c r="B2906" s="2" t="s">
        <v>8575</v>
      </c>
      <c r="C2906" s="3" t="s">
        <v>83</v>
      </c>
      <c r="D2906" s="3" t="s">
        <v>5235</v>
      </c>
      <c r="E2906" s="3" t="s">
        <v>5236</v>
      </c>
      <c r="F2906" s="3" t="s">
        <v>5237</v>
      </c>
      <c r="G2906" s="19" t="s">
        <v>5238</v>
      </c>
      <c r="H2906" s="2" t="s">
        <v>694</v>
      </c>
      <c r="I2906" s="4">
        <v>0</v>
      </c>
      <c r="J2906" s="5">
        <v>710000000</v>
      </c>
      <c r="K2906" s="5" t="s">
        <v>89</v>
      </c>
      <c r="L2906" s="2" t="s">
        <v>1735</v>
      </c>
      <c r="M2906" s="6" t="s">
        <v>91</v>
      </c>
      <c r="N2906" s="7" t="s">
        <v>92</v>
      </c>
      <c r="O2906" s="7" t="s">
        <v>93</v>
      </c>
      <c r="P2906" s="3" t="s">
        <v>673</v>
      </c>
      <c r="Q2906" s="8" t="s">
        <v>522</v>
      </c>
      <c r="R2906" s="7" t="s">
        <v>523</v>
      </c>
      <c r="S2906" s="9">
        <v>22</v>
      </c>
      <c r="T2906" s="9">
        <v>419.6</v>
      </c>
      <c r="U2906" s="9">
        <f t="shared" ref="U2906" si="1977">T2906*S2906</f>
        <v>9231.2000000000007</v>
      </c>
      <c r="V2906" s="9">
        <f t="shared" ref="V2906" si="1978">U2906*1.12</f>
        <v>10338.944000000001</v>
      </c>
      <c r="W2906" s="7"/>
      <c r="X2906" s="2">
        <v>2016</v>
      </c>
      <c r="Y2906" s="2"/>
    </row>
    <row r="2907" spans="1:25" s="11" customFormat="1" ht="89.25" customHeight="1" outlineLevel="1" x14ac:dyDescent="0.25">
      <c r="A2907" s="1"/>
      <c r="B2907" s="2" t="s">
        <v>7207</v>
      </c>
      <c r="C2907" s="3" t="s">
        <v>83</v>
      </c>
      <c r="D2907" s="3" t="s">
        <v>5239</v>
      </c>
      <c r="E2907" s="3" t="s">
        <v>5240</v>
      </c>
      <c r="F2907" s="3" t="s">
        <v>5241</v>
      </c>
      <c r="G2907" s="19" t="s">
        <v>5242</v>
      </c>
      <c r="H2907" s="2" t="s">
        <v>694</v>
      </c>
      <c r="I2907" s="4">
        <v>0</v>
      </c>
      <c r="J2907" s="5">
        <v>710000000</v>
      </c>
      <c r="K2907" s="5" t="s">
        <v>89</v>
      </c>
      <c r="L2907" s="2" t="s">
        <v>754</v>
      </c>
      <c r="M2907" s="6" t="s">
        <v>91</v>
      </c>
      <c r="N2907" s="7" t="s">
        <v>92</v>
      </c>
      <c r="O2907" s="7" t="s">
        <v>93</v>
      </c>
      <c r="P2907" s="3" t="s">
        <v>673</v>
      </c>
      <c r="Q2907" s="8" t="s">
        <v>3383</v>
      </c>
      <c r="R2907" s="7" t="s">
        <v>3384</v>
      </c>
      <c r="S2907" s="9">
        <v>4</v>
      </c>
      <c r="T2907" s="9">
        <v>625</v>
      </c>
      <c r="U2907" s="9">
        <v>0</v>
      </c>
      <c r="V2907" s="9">
        <f t="shared" si="1900"/>
        <v>0</v>
      </c>
      <c r="W2907" s="7"/>
      <c r="X2907" s="2">
        <v>2016</v>
      </c>
      <c r="Y2907" s="2" t="s">
        <v>8493</v>
      </c>
    </row>
    <row r="2908" spans="1:25" s="11" customFormat="1" ht="89.25" customHeight="1" outlineLevel="1" x14ac:dyDescent="0.25">
      <c r="A2908" s="1"/>
      <c r="B2908" s="2" t="s">
        <v>8576</v>
      </c>
      <c r="C2908" s="3" t="s">
        <v>83</v>
      </c>
      <c r="D2908" s="3" t="s">
        <v>5239</v>
      </c>
      <c r="E2908" s="3" t="s">
        <v>5240</v>
      </c>
      <c r="F2908" s="3" t="s">
        <v>5241</v>
      </c>
      <c r="G2908" s="19" t="s">
        <v>5242</v>
      </c>
      <c r="H2908" s="2" t="s">
        <v>694</v>
      </c>
      <c r="I2908" s="4">
        <v>0</v>
      </c>
      <c r="J2908" s="5">
        <v>710000000</v>
      </c>
      <c r="K2908" s="5" t="s">
        <v>89</v>
      </c>
      <c r="L2908" s="2" t="s">
        <v>1735</v>
      </c>
      <c r="M2908" s="6" t="s">
        <v>91</v>
      </c>
      <c r="N2908" s="7" t="s">
        <v>92</v>
      </c>
      <c r="O2908" s="7" t="s">
        <v>93</v>
      </c>
      <c r="P2908" s="3" t="s">
        <v>673</v>
      </c>
      <c r="Q2908" s="8" t="s">
        <v>3383</v>
      </c>
      <c r="R2908" s="7" t="s">
        <v>3384</v>
      </c>
      <c r="S2908" s="9">
        <v>4</v>
      </c>
      <c r="T2908" s="9">
        <v>848.2</v>
      </c>
      <c r="U2908" s="9">
        <f t="shared" ref="U2908" si="1979">T2908*S2908</f>
        <v>3392.8</v>
      </c>
      <c r="V2908" s="9">
        <f t="shared" ref="V2908" si="1980">U2908*1.12</f>
        <v>3799.9360000000006</v>
      </c>
      <c r="W2908" s="7"/>
      <c r="X2908" s="2">
        <v>2016</v>
      </c>
      <c r="Y2908" s="2"/>
    </row>
    <row r="2909" spans="1:25" s="11" customFormat="1" ht="89.25" customHeight="1" outlineLevel="1" x14ac:dyDescent="0.25">
      <c r="A2909" s="1"/>
      <c r="B2909" s="2" t="s">
        <v>7208</v>
      </c>
      <c r="C2909" s="3" t="s">
        <v>83</v>
      </c>
      <c r="D2909" s="3" t="s">
        <v>5243</v>
      </c>
      <c r="E2909" s="3" t="s">
        <v>5244</v>
      </c>
      <c r="F2909" s="3" t="s">
        <v>5237</v>
      </c>
      <c r="G2909" s="19" t="s">
        <v>5245</v>
      </c>
      <c r="H2909" s="2" t="s">
        <v>694</v>
      </c>
      <c r="I2909" s="4">
        <v>0</v>
      </c>
      <c r="J2909" s="5">
        <v>710000000</v>
      </c>
      <c r="K2909" s="5" t="s">
        <v>89</v>
      </c>
      <c r="L2909" s="2" t="s">
        <v>754</v>
      </c>
      <c r="M2909" s="6" t="s">
        <v>91</v>
      </c>
      <c r="N2909" s="7" t="s">
        <v>92</v>
      </c>
      <c r="O2909" s="7" t="s">
        <v>93</v>
      </c>
      <c r="P2909" s="3" t="s">
        <v>673</v>
      </c>
      <c r="Q2909" s="8" t="s">
        <v>522</v>
      </c>
      <c r="R2909" s="7" t="s">
        <v>523</v>
      </c>
      <c r="S2909" s="9">
        <v>29</v>
      </c>
      <c r="T2909" s="9">
        <v>98</v>
      </c>
      <c r="U2909" s="9">
        <v>0</v>
      </c>
      <c r="V2909" s="9">
        <f t="shared" si="1900"/>
        <v>0</v>
      </c>
      <c r="W2909" s="7"/>
      <c r="X2909" s="2">
        <v>2016</v>
      </c>
      <c r="Y2909" s="2" t="s">
        <v>8493</v>
      </c>
    </row>
    <row r="2910" spans="1:25" s="11" customFormat="1" ht="89.25" customHeight="1" outlineLevel="1" x14ac:dyDescent="0.25">
      <c r="A2910" s="1"/>
      <c r="B2910" s="2" t="s">
        <v>8577</v>
      </c>
      <c r="C2910" s="3" t="s">
        <v>83</v>
      </c>
      <c r="D2910" s="3" t="s">
        <v>5243</v>
      </c>
      <c r="E2910" s="3" t="s">
        <v>5244</v>
      </c>
      <c r="F2910" s="3" t="s">
        <v>5237</v>
      </c>
      <c r="G2910" s="19" t="s">
        <v>5245</v>
      </c>
      <c r="H2910" s="2" t="s">
        <v>694</v>
      </c>
      <c r="I2910" s="4">
        <v>0</v>
      </c>
      <c r="J2910" s="5">
        <v>710000000</v>
      </c>
      <c r="K2910" s="5" t="s">
        <v>89</v>
      </c>
      <c r="L2910" s="2" t="s">
        <v>1735</v>
      </c>
      <c r="M2910" s="6" t="s">
        <v>91</v>
      </c>
      <c r="N2910" s="7" t="s">
        <v>92</v>
      </c>
      <c r="O2910" s="7" t="s">
        <v>93</v>
      </c>
      <c r="P2910" s="3" t="s">
        <v>673</v>
      </c>
      <c r="Q2910" s="8" t="s">
        <v>522</v>
      </c>
      <c r="R2910" s="7" t="s">
        <v>523</v>
      </c>
      <c r="S2910" s="9">
        <v>29</v>
      </c>
      <c r="T2910" s="9">
        <v>116.1</v>
      </c>
      <c r="U2910" s="9">
        <f t="shared" ref="U2910" si="1981">T2910*S2910</f>
        <v>3366.8999999999996</v>
      </c>
      <c r="V2910" s="9">
        <f t="shared" ref="V2910" si="1982">U2910*1.12</f>
        <v>3770.9279999999999</v>
      </c>
      <c r="W2910" s="7"/>
      <c r="X2910" s="2">
        <v>2016</v>
      </c>
      <c r="Y2910" s="2"/>
    </row>
    <row r="2911" spans="1:25" s="11" customFormat="1" ht="89.25" customHeight="1" outlineLevel="1" x14ac:dyDescent="0.25">
      <c r="A2911" s="1"/>
      <c r="B2911" s="2" t="s">
        <v>7209</v>
      </c>
      <c r="C2911" s="3" t="s">
        <v>83</v>
      </c>
      <c r="D2911" s="3" t="s">
        <v>5246</v>
      </c>
      <c r="E2911" s="3" t="s">
        <v>5247</v>
      </c>
      <c r="F2911" s="3" t="s">
        <v>5248</v>
      </c>
      <c r="G2911" s="19" t="s">
        <v>5249</v>
      </c>
      <c r="H2911" s="2" t="s">
        <v>694</v>
      </c>
      <c r="I2911" s="4">
        <v>0</v>
      </c>
      <c r="J2911" s="5">
        <v>710000000</v>
      </c>
      <c r="K2911" s="5" t="s">
        <v>89</v>
      </c>
      <c r="L2911" s="2" t="s">
        <v>754</v>
      </c>
      <c r="M2911" s="6" t="s">
        <v>91</v>
      </c>
      <c r="N2911" s="7" t="s">
        <v>92</v>
      </c>
      <c r="O2911" s="7" t="s">
        <v>93</v>
      </c>
      <c r="P2911" s="3" t="s">
        <v>673</v>
      </c>
      <c r="Q2911" s="8" t="s">
        <v>3383</v>
      </c>
      <c r="R2911" s="7" t="s">
        <v>3384</v>
      </c>
      <c r="S2911" s="9">
        <v>8</v>
      </c>
      <c r="T2911" s="9">
        <v>536</v>
      </c>
      <c r="U2911" s="9">
        <v>0</v>
      </c>
      <c r="V2911" s="9">
        <f t="shared" si="1900"/>
        <v>0</v>
      </c>
      <c r="W2911" s="7"/>
      <c r="X2911" s="2">
        <v>2016</v>
      </c>
      <c r="Y2911" s="2" t="s">
        <v>8493</v>
      </c>
    </row>
    <row r="2912" spans="1:25" s="11" customFormat="1" ht="89.25" customHeight="1" outlineLevel="1" x14ac:dyDescent="0.25">
      <c r="A2912" s="1"/>
      <c r="B2912" s="2" t="s">
        <v>8578</v>
      </c>
      <c r="C2912" s="3" t="s">
        <v>83</v>
      </c>
      <c r="D2912" s="3" t="s">
        <v>5246</v>
      </c>
      <c r="E2912" s="3" t="s">
        <v>5247</v>
      </c>
      <c r="F2912" s="3" t="s">
        <v>5248</v>
      </c>
      <c r="G2912" s="19" t="s">
        <v>5249</v>
      </c>
      <c r="H2912" s="2" t="s">
        <v>694</v>
      </c>
      <c r="I2912" s="4">
        <v>0</v>
      </c>
      <c r="J2912" s="5">
        <v>710000000</v>
      </c>
      <c r="K2912" s="5" t="s">
        <v>89</v>
      </c>
      <c r="L2912" s="2" t="s">
        <v>1735</v>
      </c>
      <c r="M2912" s="6" t="s">
        <v>91</v>
      </c>
      <c r="N2912" s="7" t="s">
        <v>92</v>
      </c>
      <c r="O2912" s="7" t="s">
        <v>93</v>
      </c>
      <c r="P2912" s="3" t="s">
        <v>673</v>
      </c>
      <c r="Q2912" s="8" t="s">
        <v>3383</v>
      </c>
      <c r="R2912" s="7" t="s">
        <v>3384</v>
      </c>
      <c r="S2912" s="9">
        <v>8</v>
      </c>
      <c r="T2912" s="9">
        <v>616.1</v>
      </c>
      <c r="U2912" s="9">
        <f t="shared" ref="U2912" si="1983">T2912*S2912</f>
        <v>4928.8</v>
      </c>
      <c r="V2912" s="9">
        <f t="shared" ref="V2912" si="1984">U2912*1.12</f>
        <v>5520.2560000000003</v>
      </c>
      <c r="W2912" s="7"/>
      <c r="X2912" s="2">
        <v>2016</v>
      </c>
      <c r="Y2912" s="2"/>
    </row>
    <row r="2913" spans="1:25" s="11" customFormat="1" ht="89.25" customHeight="1" outlineLevel="1" x14ac:dyDescent="0.25">
      <c r="A2913" s="1"/>
      <c r="B2913" s="2" t="s">
        <v>7210</v>
      </c>
      <c r="C2913" s="3" t="s">
        <v>83</v>
      </c>
      <c r="D2913" s="3" t="s">
        <v>5250</v>
      </c>
      <c r="E2913" s="3" t="s">
        <v>5251</v>
      </c>
      <c r="F2913" s="3" t="s">
        <v>5252</v>
      </c>
      <c r="G2913" s="3" t="s">
        <v>5253</v>
      </c>
      <c r="H2913" s="2" t="s">
        <v>694</v>
      </c>
      <c r="I2913" s="4">
        <v>0</v>
      </c>
      <c r="J2913" s="5">
        <v>710000000</v>
      </c>
      <c r="K2913" s="5" t="s">
        <v>89</v>
      </c>
      <c r="L2913" s="2" t="s">
        <v>754</v>
      </c>
      <c r="M2913" s="6" t="s">
        <v>91</v>
      </c>
      <c r="N2913" s="7" t="s">
        <v>92</v>
      </c>
      <c r="O2913" s="7" t="s">
        <v>93</v>
      </c>
      <c r="P2913" s="3" t="s">
        <v>673</v>
      </c>
      <c r="Q2913" s="8" t="s">
        <v>522</v>
      </c>
      <c r="R2913" s="7" t="s">
        <v>523</v>
      </c>
      <c r="S2913" s="9">
        <v>8</v>
      </c>
      <c r="T2913" s="9">
        <v>36</v>
      </c>
      <c r="U2913" s="9">
        <v>0</v>
      </c>
      <c r="V2913" s="9">
        <f t="shared" si="1900"/>
        <v>0</v>
      </c>
      <c r="W2913" s="7"/>
      <c r="X2913" s="2">
        <v>2016</v>
      </c>
      <c r="Y2913" s="2" t="s">
        <v>8493</v>
      </c>
    </row>
    <row r="2914" spans="1:25" s="11" customFormat="1" ht="89.25" customHeight="1" outlineLevel="1" x14ac:dyDescent="0.25">
      <c r="A2914" s="1"/>
      <c r="B2914" s="2" t="s">
        <v>8579</v>
      </c>
      <c r="C2914" s="3" t="s">
        <v>83</v>
      </c>
      <c r="D2914" s="3" t="s">
        <v>5250</v>
      </c>
      <c r="E2914" s="3" t="s">
        <v>5251</v>
      </c>
      <c r="F2914" s="3" t="s">
        <v>5252</v>
      </c>
      <c r="G2914" s="3" t="s">
        <v>5253</v>
      </c>
      <c r="H2914" s="2" t="s">
        <v>694</v>
      </c>
      <c r="I2914" s="4">
        <v>0</v>
      </c>
      <c r="J2914" s="5">
        <v>710000000</v>
      </c>
      <c r="K2914" s="5" t="s">
        <v>89</v>
      </c>
      <c r="L2914" s="2" t="s">
        <v>1735</v>
      </c>
      <c r="M2914" s="6" t="s">
        <v>91</v>
      </c>
      <c r="N2914" s="7" t="s">
        <v>92</v>
      </c>
      <c r="O2914" s="7" t="s">
        <v>93</v>
      </c>
      <c r="P2914" s="3" t="s">
        <v>673</v>
      </c>
      <c r="Q2914" s="8" t="s">
        <v>522</v>
      </c>
      <c r="R2914" s="7" t="s">
        <v>523</v>
      </c>
      <c r="S2914" s="9">
        <v>8</v>
      </c>
      <c r="T2914" s="9">
        <v>53.6</v>
      </c>
      <c r="U2914" s="9">
        <f t="shared" ref="U2914" si="1985">T2914*S2914</f>
        <v>428.8</v>
      </c>
      <c r="V2914" s="9">
        <f t="shared" ref="V2914" si="1986">U2914*1.12</f>
        <v>480.25600000000009</v>
      </c>
      <c r="W2914" s="7"/>
      <c r="X2914" s="2">
        <v>2016</v>
      </c>
      <c r="Y2914" s="2"/>
    </row>
    <row r="2915" spans="1:25" s="11" customFormat="1" ht="89.25" customHeight="1" outlineLevel="1" x14ac:dyDescent="0.25">
      <c r="A2915" s="1"/>
      <c r="B2915" s="2" t="s">
        <v>7211</v>
      </c>
      <c r="C2915" s="3" t="s">
        <v>83</v>
      </c>
      <c r="D2915" s="3" t="s">
        <v>5254</v>
      </c>
      <c r="E2915" s="3" t="s">
        <v>5255</v>
      </c>
      <c r="F2915" s="3" t="s">
        <v>5237</v>
      </c>
      <c r="G2915" s="19" t="s">
        <v>5256</v>
      </c>
      <c r="H2915" s="2" t="s">
        <v>694</v>
      </c>
      <c r="I2915" s="4">
        <v>0</v>
      </c>
      <c r="J2915" s="5">
        <v>710000000</v>
      </c>
      <c r="K2915" s="5" t="s">
        <v>89</v>
      </c>
      <c r="L2915" s="2" t="s">
        <v>754</v>
      </c>
      <c r="M2915" s="6" t="s">
        <v>91</v>
      </c>
      <c r="N2915" s="7" t="s">
        <v>92</v>
      </c>
      <c r="O2915" s="7" t="s">
        <v>93</v>
      </c>
      <c r="P2915" s="3" t="s">
        <v>673</v>
      </c>
      <c r="Q2915" s="8" t="s">
        <v>522</v>
      </c>
      <c r="R2915" s="7" t="s">
        <v>523</v>
      </c>
      <c r="S2915" s="9">
        <v>19</v>
      </c>
      <c r="T2915" s="9">
        <v>71</v>
      </c>
      <c r="U2915" s="9">
        <v>0</v>
      </c>
      <c r="V2915" s="9">
        <f t="shared" si="1900"/>
        <v>0</v>
      </c>
      <c r="W2915" s="7"/>
      <c r="X2915" s="2">
        <v>2016</v>
      </c>
      <c r="Y2915" s="2" t="s">
        <v>8493</v>
      </c>
    </row>
    <row r="2916" spans="1:25" s="11" customFormat="1" ht="89.25" customHeight="1" outlineLevel="1" x14ac:dyDescent="0.25">
      <c r="A2916" s="1"/>
      <c r="B2916" s="2" t="s">
        <v>8580</v>
      </c>
      <c r="C2916" s="3" t="s">
        <v>83</v>
      </c>
      <c r="D2916" s="3" t="s">
        <v>5254</v>
      </c>
      <c r="E2916" s="3" t="s">
        <v>5255</v>
      </c>
      <c r="F2916" s="3" t="s">
        <v>5237</v>
      </c>
      <c r="G2916" s="19" t="s">
        <v>5256</v>
      </c>
      <c r="H2916" s="2" t="s">
        <v>694</v>
      </c>
      <c r="I2916" s="4">
        <v>0</v>
      </c>
      <c r="J2916" s="5">
        <v>710000000</v>
      </c>
      <c r="K2916" s="5" t="s">
        <v>89</v>
      </c>
      <c r="L2916" s="2" t="s">
        <v>1735</v>
      </c>
      <c r="M2916" s="6" t="s">
        <v>91</v>
      </c>
      <c r="N2916" s="7" t="s">
        <v>92</v>
      </c>
      <c r="O2916" s="7" t="s">
        <v>93</v>
      </c>
      <c r="P2916" s="3" t="s">
        <v>673</v>
      </c>
      <c r="Q2916" s="8" t="s">
        <v>522</v>
      </c>
      <c r="R2916" s="7" t="s">
        <v>523</v>
      </c>
      <c r="S2916" s="9">
        <v>19</v>
      </c>
      <c r="T2916" s="9">
        <v>80.400000000000006</v>
      </c>
      <c r="U2916" s="9">
        <f t="shared" ref="U2916" si="1987">T2916*S2916</f>
        <v>1527.6000000000001</v>
      </c>
      <c r="V2916" s="9">
        <f t="shared" ref="V2916" si="1988">U2916*1.12</f>
        <v>1710.9120000000003</v>
      </c>
      <c r="W2916" s="7"/>
      <c r="X2916" s="2">
        <v>2016</v>
      </c>
      <c r="Y2916" s="2"/>
    </row>
    <row r="2917" spans="1:25" s="11" customFormat="1" ht="89.25" customHeight="1" outlineLevel="1" x14ac:dyDescent="0.25">
      <c r="A2917" s="1"/>
      <c r="B2917" s="2" t="s">
        <v>7212</v>
      </c>
      <c r="C2917" s="3" t="s">
        <v>83</v>
      </c>
      <c r="D2917" s="3" t="s">
        <v>5257</v>
      </c>
      <c r="E2917" s="3" t="s">
        <v>5258</v>
      </c>
      <c r="F2917" s="3" t="s">
        <v>5259</v>
      </c>
      <c r="G2917" s="19" t="s">
        <v>5260</v>
      </c>
      <c r="H2917" s="2" t="s">
        <v>694</v>
      </c>
      <c r="I2917" s="4">
        <v>0</v>
      </c>
      <c r="J2917" s="5">
        <v>710000000</v>
      </c>
      <c r="K2917" s="5" t="s">
        <v>89</v>
      </c>
      <c r="L2917" s="2" t="s">
        <v>754</v>
      </c>
      <c r="M2917" s="6" t="s">
        <v>91</v>
      </c>
      <c r="N2917" s="7" t="s">
        <v>92</v>
      </c>
      <c r="O2917" s="7" t="s">
        <v>93</v>
      </c>
      <c r="P2917" s="3" t="s">
        <v>673</v>
      </c>
      <c r="Q2917" s="8" t="s">
        <v>522</v>
      </c>
      <c r="R2917" s="7" t="s">
        <v>523</v>
      </c>
      <c r="S2917" s="9">
        <v>7</v>
      </c>
      <c r="T2917" s="9">
        <v>232</v>
      </c>
      <c r="U2917" s="9">
        <v>0</v>
      </c>
      <c r="V2917" s="9">
        <f t="shared" si="1900"/>
        <v>0</v>
      </c>
      <c r="W2917" s="7"/>
      <c r="X2917" s="2">
        <v>2016</v>
      </c>
      <c r="Y2917" s="2" t="s">
        <v>8493</v>
      </c>
    </row>
    <row r="2918" spans="1:25" s="11" customFormat="1" ht="89.25" customHeight="1" outlineLevel="1" x14ac:dyDescent="0.25">
      <c r="A2918" s="1"/>
      <c r="B2918" s="2" t="s">
        <v>8581</v>
      </c>
      <c r="C2918" s="3" t="s">
        <v>83</v>
      </c>
      <c r="D2918" s="3" t="s">
        <v>5257</v>
      </c>
      <c r="E2918" s="3" t="s">
        <v>5258</v>
      </c>
      <c r="F2918" s="3" t="s">
        <v>5259</v>
      </c>
      <c r="G2918" s="19" t="s">
        <v>5260</v>
      </c>
      <c r="H2918" s="2" t="s">
        <v>694</v>
      </c>
      <c r="I2918" s="4">
        <v>0</v>
      </c>
      <c r="J2918" s="5">
        <v>710000000</v>
      </c>
      <c r="K2918" s="5" t="s">
        <v>89</v>
      </c>
      <c r="L2918" s="2" t="s">
        <v>1735</v>
      </c>
      <c r="M2918" s="6" t="s">
        <v>91</v>
      </c>
      <c r="N2918" s="7" t="s">
        <v>92</v>
      </c>
      <c r="O2918" s="7" t="s">
        <v>93</v>
      </c>
      <c r="P2918" s="3" t="s">
        <v>673</v>
      </c>
      <c r="Q2918" s="8" t="s">
        <v>522</v>
      </c>
      <c r="R2918" s="7" t="s">
        <v>523</v>
      </c>
      <c r="S2918" s="9">
        <v>7</v>
      </c>
      <c r="T2918" s="9">
        <v>303.60000000000002</v>
      </c>
      <c r="U2918" s="9">
        <f t="shared" ref="U2918" si="1989">T2918*S2918</f>
        <v>2125.2000000000003</v>
      </c>
      <c r="V2918" s="9">
        <f t="shared" ref="V2918" si="1990">U2918*1.12</f>
        <v>2380.2240000000006</v>
      </c>
      <c r="W2918" s="7"/>
      <c r="X2918" s="2">
        <v>2016</v>
      </c>
      <c r="Y2918" s="2"/>
    </row>
    <row r="2919" spans="1:25" s="11" customFormat="1" ht="89.25" customHeight="1" outlineLevel="1" x14ac:dyDescent="0.25">
      <c r="A2919" s="1"/>
      <c r="B2919" s="2" t="s">
        <v>7213</v>
      </c>
      <c r="C2919" s="3" t="s">
        <v>83</v>
      </c>
      <c r="D2919" s="3" t="s">
        <v>5261</v>
      </c>
      <c r="E2919" s="3" t="s">
        <v>5262</v>
      </c>
      <c r="F2919" s="3" t="s">
        <v>5263</v>
      </c>
      <c r="G2919" s="3" t="s">
        <v>5264</v>
      </c>
      <c r="H2919" s="2" t="s">
        <v>694</v>
      </c>
      <c r="I2919" s="4">
        <v>0</v>
      </c>
      <c r="J2919" s="5">
        <v>710000000</v>
      </c>
      <c r="K2919" s="5" t="s">
        <v>89</v>
      </c>
      <c r="L2919" s="2" t="s">
        <v>754</v>
      </c>
      <c r="M2919" s="6" t="s">
        <v>91</v>
      </c>
      <c r="N2919" s="7" t="s">
        <v>92</v>
      </c>
      <c r="O2919" s="7" t="s">
        <v>93</v>
      </c>
      <c r="P2919" s="3" t="s">
        <v>673</v>
      </c>
      <c r="Q2919" s="8" t="s">
        <v>522</v>
      </c>
      <c r="R2919" s="7" t="s">
        <v>523</v>
      </c>
      <c r="S2919" s="9">
        <v>6</v>
      </c>
      <c r="T2919" s="9">
        <v>98</v>
      </c>
      <c r="U2919" s="9">
        <v>0</v>
      </c>
      <c r="V2919" s="9">
        <f t="shared" si="1900"/>
        <v>0</v>
      </c>
      <c r="W2919" s="7"/>
      <c r="X2919" s="2">
        <v>2016</v>
      </c>
      <c r="Y2919" s="2" t="s">
        <v>8493</v>
      </c>
    </row>
    <row r="2920" spans="1:25" s="11" customFormat="1" ht="89.25" customHeight="1" outlineLevel="1" x14ac:dyDescent="0.25">
      <c r="A2920" s="1"/>
      <c r="B2920" s="2" t="s">
        <v>8582</v>
      </c>
      <c r="C2920" s="3" t="s">
        <v>83</v>
      </c>
      <c r="D2920" s="3" t="s">
        <v>5261</v>
      </c>
      <c r="E2920" s="3" t="s">
        <v>5262</v>
      </c>
      <c r="F2920" s="3" t="s">
        <v>5263</v>
      </c>
      <c r="G2920" s="3" t="s">
        <v>5264</v>
      </c>
      <c r="H2920" s="2" t="s">
        <v>694</v>
      </c>
      <c r="I2920" s="4">
        <v>0</v>
      </c>
      <c r="J2920" s="5">
        <v>710000000</v>
      </c>
      <c r="K2920" s="5" t="s">
        <v>89</v>
      </c>
      <c r="L2920" s="2" t="s">
        <v>1735</v>
      </c>
      <c r="M2920" s="6" t="s">
        <v>91</v>
      </c>
      <c r="N2920" s="7" t="s">
        <v>92</v>
      </c>
      <c r="O2920" s="7" t="s">
        <v>93</v>
      </c>
      <c r="P2920" s="3" t="s">
        <v>673</v>
      </c>
      <c r="Q2920" s="8" t="s">
        <v>522</v>
      </c>
      <c r="R2920" s="7" t="s">
        <v>523</v>
      </c>
      <c r="S2920" s="9">
        <v>6</v>
      </c>
      <c r="T2920" s="9">
        <v>125.5</v>
      </c>
      <c r="U2920" s="9">
        <f t="shared" ref="U2920" si="1991">T2920*S2920</f>
        <v>753</v>
      </c>
      <c r="V2920" s="9">
        <f t="shared" ref="V2920" si="1992">U2920*1.12</f>
        <v>843.36000000000013</v>
      </c>
      <c r="W2920" s="7"/>
      <c r="X2920" s="2">
        <v>2016</v>
      </c>
      <c r="Y2920" s="2"/>
    </row>
    <row r="2921" spans="1:25" s="11" customFormat="1" ht="89.25" customHeight="1" outlineLevel="1" x14ac:dyDescent="0.25">
      <c r="A2921" s="1"/>
      <c r="B2921" s="2" t="s">
        <v>7214</v>
      </c>
      <c r="C2921" s="3" t="s">
        <v>83</v>
      </c>
      <c r="D2921" s="3" t="s">
        <v>5265</v>
      </c>
      <c r="E2921" s="3" t="s">
        <v>5266</v>
      </c>
      <c r="F2921" s="3" t="s">
        <v>5237</v>
      </c>
      <c r="G2921" s="3" t="s">
        <v>5267</v>
      </c>
      <c r="H2921" s="2" t="s">
        <v>694</v>
      </c>
      <c r="I2921" s="4">
        <v>0</v>
      </c>
      <c r="J2921" s="5">
        <v>710000000</v>
      </c>
      <c r="K2921" s="5" t="s">
        <v>89</v>
      </c>
      <c r="L2921" s="2" t="s">
        <v>754</v>
      </c>
      <c r="M2921" s="6" t="s">
        <v>91</v>
      </c>
      <c r="N2921" s="7" t="s">
        <v>92</v>
      </c>
      <c r="O2921" s="7" t="s">
        <v>93</v>
      </c>
      <c r="P2921" s="3" t="s">
        <v>673</v>
      </c>
      <c r="Q2921" s="8" t="s">
        <v>522</v>
      </c>
      <c r="R2921" s="7" t="s">
        <v>523</v>
      </c>
      <c r="S2921" s="9">
        <v>18</v>
      </c>
      <c r="T2921" s="9">
        <v>31</v>
      </c>
      <c r="U2921" s="9">
        <v>0</v>
      </c>
      <c r="V2921" s="9">
        <f t="shared" si="1900"/>
        <v>0</v>
      </c>
      <c r="W2921" s="7"/>
      <c r="X2921" s="2">
        <v>2016</v>
      </c>
      <c r="Y2921" s="2" t="s">
        <v>8493</v>
      </c>
    </row>
    <row r="2922" spans="1:25" s="11" customFormat="1" ht="89.25" customHeight="1" outlineLevel="1" x14ac:dyDescent="0.25">
      <c r="A2922" s="1"/>
      <c r="B2922" s="2" t="s">
        <v>8583</v>
      </c>
      <c r="C2922" s="3" t="s">
        <v>83</v>
      </c>
      <c r="D2922" s="3" t="s">
        <v>5265</v>
      </c>
      <c r="E2922" s="3" t="s">
        <v>5266</v>
      </c>
      <c r="F2922" s="3" t="s">
        <v>5237</v>
      </c>
      <c r="G2922" s="3" t="s">
        <v>5267</v>
      </c>
      <c r="H2922" s="2" t="s">
        <v>694</v>
      </c>
      <c r="I2922" s="4">
        <v>0</v>
      </c>
      <c r="J2922" s="5">
        <v>710000000</v>
      </c>
      <c r="K2922" s="5" t="s">
        <v>89</v>
      </c>
      <c r="L2922" s="2" t="s">
        <v>1735</v>
      </c>
      <c r="M2922" s="6" t="s">
        <v>91</v>
      </c>
      <c r="N2922" s="7" t="s">
        <v>92</v>
      </c>
      <c r="O2922" s="7" t="s">
        <v>93</v>
      </c>
      <c r="P2922" s="3" t="s">
        <v>673</v>
      </c>
      <c r="Q2922" s="8" t="s">
        <v>522</v>
      </c>
      <c r="R2922" s="7" t="s">
        <v>523</v>
      </c>
      <c r="S2922" s="9">
        <v>18</v>
      </c>
      <c r="T2922" s="9">
        <v>35.700000000000003</v>
      </c>
      <c r="U2922" s="9">
        <f t="shared" ref="U2922" si="1993">T2922*S2922</f>
        <v>642.6</v>
      </c>
      <c r="V2922" s="9">
        <f t="shared" ref="V2922" si="1994">U2922*1.12</f>
        <v>719.7120000000001</v>
      </c>
      <c r="W2922" s="7"/>
      <c r="X2922" s="2">
        <v>2016</v>
      </c>
      <c r="Y2922" s="2"/>
    </row>
    <row r="2923" spans="1:25" s="11" customFormat="1" ht="89.25" customHeight="1" outlineLevel="1" x14ac:dyDescent="0.25">
      <c r="A2923" s="1"/>
      <c r="B2923" s="2" t="s">
        <v>7215</v>
      </c>
      <c r="C2923" s="3" t="s">
        <v>83</v>
      </c>
      <c r="D2923" s="3" t="s">
        <v>5268</v>
      </c>
      <c r="E2923" s="3" t="s">
        <v>5269</v>
      </c>
      <c r="F2923" s="3" t="s">
        <v>5270</v>
      </c>
      <c r="G2923" s="3" t="s">
        <v>5271</v>
      </c>
      <c r="H2923" s="2" t="s">
        <v>694</v>
      </c>
      <c r="I2923" s="4">
        <v>0</v>
      </c>
      <c r="J2923" s="5">
        <v>710000000</v>
      </c>
      <c r="K2923" s="5" t="s">
        <v>89</v>
      </c>
      <c r="L2923" s="2" t="s">
        <v>754</v>
      </c>
      <c r="M2923" s="6" t="s">
        <v>91</v>
      </c>
      <c r="N2923" s="7" t="s">
        <v>92</v>
      </c>
      <c r="O2923" s="7" t="s">
        <v>93</v>
      </c>
      <c r="P2923" s="3" t="s">
        <v>673</v>
      </c>
      <c r="Q2923" s="8" t="s">
        <v>522</v>
      </c>
      <c r="R2923" s="7" t="s">
        <v>523</v>
      </c>
      <c r="S2923" s="9">
        <v>5</v>
      </c>
      <c r="T2923" s="9">
        <v>89</v>
      </c>
      <c r="U2923" s="9">
        <v>0</v>
      </c>
      <c r="V2923" s="9">
        <f t="shared" si="1900"/>
        <v>0</v>
      </c>
      <c r="W2923" s="7"/>
      <c r="X2923" s="2">
        <v>2016</v>
      </c>
      <c r="Y2923" s="2" t="s">
        <v>8493</v>
      </c>
    </row>
    <row r="2924" spans="1:25" s="11" customFormat="1" ht="89.25" customHeight="1" outlineLevel="1" x14ac:dyDescent="0.25">
      <c r="A2924" s="1"/>
      <c r="B2924" s="2" t="s">
        <v>8584</v>
      </c>
      <c r="C2924" s="3" t="s">
        <v>83</v>
      </c>
      <c r="D2924" s="3" t="s">
        <v>5268</v>
      </c>
      <c r="E2924" s="3" t="s">
        <v>5269</v>
      </c>
      <c r="F2924" s="3" t="s">
        <v>5270</v>
      </c>
      <c r="G2924" s="3" t="s">
        <v>5271</v>
      </c>
      <c r="H2924" s="2" t="s">
        <v>694</v>
      </c>
      <c r="I2924" s="4">
        <v>0</v>
      </c>
      <c r="J2924" s="5">
        <v>710000000</v>
      </c>
      <c r="K2924" s="5" t="s">
        <v>89</v>
      </c>
      <c r="L2924" s="2" t="s">
        <v>1735</v>
      </c>
      <c r="M2924" s="6" t="s">
        <v>91</v>
      </c>
      <c r="N2924" s="7" t="s">
        <v>92</v>
      </c>
      <c r="O2924" s="7" t="s">
        <v>93</v>
      </c>
      <c r="P2924" s="3" t="s">
        <v>673</v>
      </c>
      <c r="Q2924" s="8" t="s">
        <v>522</v>
      </c>
      <c r="R2924" s="7" t="s">
        <v>523</v>
      </c>
      <c r="S2924" s="9">
        <v>5</v>
      </c>
      <c r="T2924" s="9">
        <v>107.1</v>
      </c>
      <c r="U2924" s="9">
        <f t="shared" ref="U2924" si="1995">T2924*S2924</f>
        <v>535.5</v>
      </c>
      <c r="V2924" s="9">
        <f t="shared" ref="V2924" si="1996">U2924*1.12</f>
        <v>599.7600000000001</v>
      </c>
      <c r="W2924" s="7"/>
      <c r="X2924" s="2">
        <v>2016</v>
      </c>
      <c r="Y2924" s="2"/>
    </row>
    <row r="2925" spans="1:25" s="11" customFormat="1" ht="89.25" customHeight="1" outlineLevel="1" x14ac:dyDescent="0.25">
      <c r="A2925" s="1"/>
      <c r="B2925" s="2" t="s">
        <v>7216</v>
      </c>
      <c r="C2925" s="3" t="s">
        <v>83</v>
      </c>
      <c r="D2925" s="3" t="s">
        <v>5272</v>
      </c>
      <c r="E2925" s="3" t="s">
        <v>5273</v>
      </c>
      <c r="F2925" s="3" t="s">
        <v>5252</v>
      </c>
      <c r="G2925" s="3" t="s">
        <v>5274</v>
      </c>
      <c r="H2925" s="2" t="s">
        <v>694</v>
      </c>
      <c r="I2925" s="4">
        <v>0</v>
      </c>
      <c r="J2925" s="5">
        <v>710000000</v>
      </c>
      <c r="K2925" s="5" t="s">
        <v>89</v>
      </c>
      <c r="L2925" s="2" t="s">
        <v>754</v>
      </c>
      <c r="M2925" s="6" t="s">
        <v>91</v>
      </c>
      <c r="N2925" s="7" t="s">
        <v>92</v>
      </c>
      <c r="O2925" s="7" t="s">
        <v>93</v>
      </c>
      <c r="P2925" s="3" t="s">
        <v>673</v>
      </c>
      <c r="Q2925" s="8" t="s">
        <v>3383</v>
      </c>
      <c r="R2925" s="7" t="s">
        <v>3384</v>
      </c>
      <c r="S2925" s="9">
        <v>30</v>
      </c>
      <c r="T2925" s="9">
        <v>22</v>
      </c>
      <c r="U2925" s="9">
        <v>0</v>
      </c>
      <c r="V2925" s="9">
        <f t="shared" si="1900"/>
        <v>0</v>
      </c>
      <c r="W2925" s="7"/>
      <c r="X2925" s="2">
        <v>2016</v>
      </c>
      <c r="Y2925" s="2" t="s">
        <v>8493</v>
      </c>
    </row>
    <row r="2926" spans="1:25" s="11" customFormat="1" ht="89.25" customHeight="1" outlineLevel="1" x14ac:dyDescent="0.25">
      <c r="A2926" s="1"/>
      <c r="B2926" s="2" t="s">
        <v>8585</v>
      </c>
      <c r="C2926" s="3" t="s">
        <v>83</v>
      </c>
      <c r="D2926" s="3" t="s">
        <v>5272</v>
      </c>
      <c r="E2926" s="3" t="s">
        <v>5273</v>
      </c>
      <c r="F2926" s="3" t="s">
        <v>5252</v>
      </c>
      <c r="G2926" s="3" t="s">
        <v>5274</v>
      </c>
      <c r="H2926" s="2" t="s">
        <v>694</v>
      </c>
      <c r="I2926" s="4">
        <v>0</v>
      </c>
      <c r="J2926" s="5">
        <v>710000000</v>
      </c>
      <c r="K2926" s="5" t="s">
        <v>89</v>
      </c>
      <c r="L2926" s="2" t="s">
        <v>1735</v>
      </c>
      <c r="M2926" s="6" t="s">
        <v>91</v>
      </c>
      <c r="N2926" s="7" t="s">
        <v>92</v>
      </c>
      <c r="O2926" s="7" t="s">
        <v>93</v>
      </c>
      <c r="P2926" s="3" t="s">
        <v>673</v>
      </c>
      <c r="Q2926" s="8" t="s">
        <v>3383</v>
      </c>
      <c r="R2926" s="7" t="s">
        <v>3384</v>
      </c>
      <c r="S2926" s="9">
        <v>30</v>
      </c>
      <c r="T2926" s="9">
        <v>22.3</v>
      </c>
      <c r="U2926" s="9">
        <f t="shared" ref="U2926" si="1997">T2926*S2926</f>
        <v>669</v>
      </c>
      <c r="V2926" s="9">
        <f t="shared" ref="V2926" si="1998">U2926*1.12</f>
        <v>749.28000000000009</v>
      </c>
      <c r="W2926" s="7"/>
      <c r="X2926" s="2">
        <v>2016</v>
      </c>
      <c r="Y2926" s="2"/>
    </row>
    <row r="2927" spans="1:25" s="11" customFormat="1" ht="89.25" customHeight="1" outlineLevel="1" x14ac:dyDescent="0.25">
      <c r="A2927" s="1"/>
      <c r="B2927" s="2" t="s">
        <v>7217</v>
      </c>
      <c r="C2927" s="3" t="s">
        <v>83</v>
      </c>
      <c r="D2927" s="3" t="s">
        <v>5275</v>
      </c>
      <c r="E2927" s="3" t="s">
        <v>5276</v>
      </c>
      <c r="F2927" s="3" t="s">
        <v>5237</v>
      </c>
      <c r="G2927" s="3" t="s">
        <v>5277</v>
      </c>
      <c r="H2927" s="2" t="s">
        <v>694</v>
      </c>
      <c r="I2927" s="4">
        <v>0</v>
      </c>
      <c r="J2927" s="5">
        <v>710000000</v>
      </c>
      <c r="K2927" s="5" t="s">
        <v>89</v>
      </c>
      <c r="L2927" s="2" t="s">
        <v>754</v>
      </c>
      <c r="M2927" s="6" t="s">
        <v>91</v>
      </c>
      <c r="N2927" s="7" t="s">
        <v>92</v>
      </c>
      <c r="O2927" s="7" t="s">
        <v>93</v>
      </c>
      <c r="P2927" s="3" t="s">
        <v>673</v>
      </c>
      <c r="Q2927" s="8" t="s">
        <v>522</v>
      </c>
      <c r="R2927" s="7" t="s">
        <v>523</v>
      </c>
      <c r="S2927" s="9">
        <v>12</v>
      </c>
      <c r="T2927" s="9">
        <v>116</v>
      </c>
      <c r="U2927" s="9">
        <v>0</v>
      </c>
      <c r="V2927" s="9">
        <f t="shared" si="1900"/>
        <v>0</v>
      </c>
      <c r="W2927" s="7"/>
      <c r="X2927" s="2">
        <v>2016</v>
      </c>
      <c r="Y2927" s="2" t="s">
        <v>8493</v>
      </c>
    </row>
    <row r="2928" spans="1:25" s="11" customFormat="1" ht="89.25" customHeight="1" outlineLevel="1" x14ac:dyDescent="0.25">
      <c r="A2928" s="1"/>
      <c r="B2928" s="2" t="s">
        <v>8586</v>
      </c>
      <c r="C2928" s="3" t="s">
        <v>83</v>
      </c>
      <c r="D2928" s="3" t="s">
        <v>5275</v>
      </c>
      <c r="E2928" s="3" t="s">
        <v>5276</v>
      </c>
      <c r="F2928" s="3" t="s">
        <v>5237</v>
      </c>
      <c r="G2928" s="3" t="s">
        <v>5277</v>
      </c>
      <c r="H2928" s="2" t="s">
        <v>694</v>
      </c>
      <c r="I2928" s="4">
        <v>0</v>
      </c>
      <c r="J2928" s="5">
        <v>710000000</v>
      </c>
      <c r="K2928" s="5" t="s">
        <v>89</v>
      </c>
      <c r="L2928" s="2" t="s">
        <v>1735</v>
      </c>
      <c r="M2928" s="6" t="s">
        <v>91</v>
      </c>
      <c r="N2928" s="7" t="s">
        <v>92</v>
      </c>
      <c r="O2928" s="7" t="s">
        <v>93</v>
      </c>
      <c r="P2928" s="3" t="s">
        <v>673</v>
      </c>
      <c r="Q2928" s="8" t="s">
        <v>522</v>
      </c>
      <c r="R2928" s="7" t="s">
        <v>523</v>
      </c>
      <c r="S2928" s="9">
        <v>12</v>
      </c>
      <c r="T2928" s="9">
        <v>116.1</v>
      </c>
      <c r="U2928" s="9">
        <f t="shared" ref="U2928" si="1999">T2928*S2928</f>
        <v>1393.1999999999998</v>
      </c>
      <c r="V2928" s="9">
        <f t="shared" ref="V2928" si="2000">U2928*1.12</f>
        <v>1560.384</v>
      </c>
      <c r="W2928" s="7"/>
      <c r="X2928" s="2">
        <v>2016</v>
      </c>
      <c r="Y2928" s="2"/>
    </row>
    <row r="2929" spans="1:25" s="11" customFormat="1" ht="89.25" customHeight="1" outlineLevel="1" x14ac:dyDescent="0.25">
      <c r="A2929" s="1"/>
      <c r="B2929" s="2" t="s">
        <v>7218</v>
      </c>
      <c r="C2929" s="3" t="s">
        <v>83</v>
      </c>
      <c r="D2929" s="3" t="s">
        <v>5278</v>
      </c>
      <c r="E2929" s="3" t="s">
        <v>5279</v>
      </c>
      <c r="F2929" s="3" t="s">
        <v>5280</v>
      </c>
      <c r="G2929" s="3" t="s">
        <v>5281</v>
      </c>
      <c r="H2929" s="2" t="s">
        <v>694</v>
      </c>
      <c r="I2929" s="4">
        <v>0</v>
      </c>
      <c r="J2929" s="5">
        <v>710000000</v>
      </c>
      <c r="K2929" s="5" t="s">
        <v>89</v>
      </c>
      <c r="L2929" s="2" t="s">
        <v>754</v>
      </c>
      <c r="M2929" s="6" t="s">
        <v>91</v>
      </c>
      <c r="N2929" s="7" t="s">
        <v>92</v>
      </c>
      <c r="O2929" s="7" t="s">
        <v>93</v>
      </c>
      <c r="P2929" s="3" t="s">
        <v>673</v>
      </c>
      <c r="Q2929" s="8" t="s">
        <v>522</v>
      </c>
      <c r="R2929" s="7" t="s">
        <v>523</v>
      </c>
      <c r="S2929" s="9">
        <v>34</v>
      </c>
      <c r="T2929" s="9">
        <v>252</v>
      </c>
      <c r="U2929" s="9">
        <v>0</v>
      </c>
      <c r="V2929" s="9">
        <f t="shared" si="1900"/>
        <v>0</v>
      </c>
      <c r="W2929" s="7"/>
      <c r="X2929" s="2">
        <v>2016</v>
      </c>
      <c r="Y2929" s="2" t="s">
        <v>8493</v>
      </c>
    </row>
    <row r="2930" spans="1:25" s="11" customFormat="1" ht="89.25" customHeight="1" outlineLevel="1" x14ac:dyDescent="0.25">
      <c r="A2930" s="1"/>
      <c r="B2930" s="2" t="s">
        <v>8587</v>
      </c>
      <c r="C2930" s="3" t="s">
        <v>83</v>
      </c>
      <c r="D2930" s="3" t="s">
        <v>5278</v>
      </c>
      <c r="E2930" s="3" t="s">
        <v>5279</v>
      </c>
      <c r="F2930" s="3" t="s">
        <v>5280</v>
      </c>
      <c r="G2930" s="3" t="s">
        <v>5281</v>
      </c>
      <c r="H2930" s="2" t="s">
        <v>694</v>
      </c>
      <c r="I2930" s="4">
        <v>0</v>
      </c>
      <c r="J2930" s="5">
        <v>710000000</v>
      </c>
      <c r="K2930" s="5" t="s">
        <v>89</v>
      </c>
      <c r="L2930" s="2" t="s">
        <v>1735</v>
      </c>
      <c r="M2930" s="6" t="s">
        <v>91</v>
      </c>
      <c r="N2930" s="7" t="s">
        <v>92</v>
      </c>
      <c r="O2930" s="7" t="s">
        <v>93</v>
      </c>
      <c r="P2930" s="3" t="s">
        <v>673</v>
      </c>
      <c r="Q2930" s="8" t="s">
        <v>522</v>
      </c>
      <c r="R2930" s="7" t="s">
        <v>523</v>
      </c>
      <c r="S2930" s="9">
        <v>34</v>
      </c>
      <c r="T2930" s="9">
        <v>285.7</v>
      </c>
      <c r="U2930" s="9">
        <f t="shared" ref="U2930" si="2001">T2930*S2930</f>
        <v>9713.7999999999993</v>
      </c>
      <c r="V2930" s="9">
        <f t="shared" ref="V2930" si="2002">U2930*1.12</f>
        <v>10879.456</v>
      </c>
      <c r="W2930" s="7"/>
      <c r="X2930" s="2">
        <v>2016</v>
      </c>
      <c r="Y2930" s="2"/>
    </row>
    <row r="2931" spans="1:25" s="11" customFormat="1" ht="89.25" customHeight="1" outlineLevel="1" x14ac:dyDescent="0.25">
      <c r="A2931" s="1"/>
      <c r="B2931" s="2" t="s">
        <v>7219</v>
      </c>
      <c r="C2931" s="3" t="s">
        <v>83</v>
      </c>
      <c r="D2931" s="3" t="s">
        <v>5282</v>
      </c>
      <c r="E2931" s="3" t="s">
        <v>5283</v>
      </c>
      <c r="F2931" s="3" t="s">
        <v>5237</v>
      </c>
      <c r="G2931" s="3" t="s">
        <v>5284</v>
      </c>
      <c r="H2931" s="2" t="s">
        <v>694</v>
      </c>
      <c r="I2931" s="4">
        <v>0</v>
      </c>
      <c r="J2931" s="5">
        <v>710000000</v>
      </c>
      <c r="K2931" s="5" t="s">
        <v>89</v>
      </c>
      <c r="L2931" s="2" t="s">
        <v>754</v>
      </c>
      <c r="M2931" s="6" t="s">
        <v>91</v>
      </c>
      <c r="N2931" s="7" t="s">
        <v>92</v>
      </c>
      <c r="O2931" s="7" t="s">
        <v>93</v>
      </c>
      <c r="P2931" s="3" t="s">
        <v>673</v>
      </c>
      <c r="Q2931" s="8" t="s">
        <v>522</v>
      </c>
      <c r="R2931" s="7" t="s">
        <v>523</v>
      </c>
      <c r="S2931" s="9">
        <v>5</v>
      </c>
      <c r="T2931" s="9">
        <v>31</v>
      </c>
      <c r="U2931" s="9">
        <v>0</v>
      </c>
      <c r="V2931" s="9">
        <f t="shared" si="1900"/>
        <v>0</v>
      </c>
      <c r="W2931" s="7"/>
      <c r="X2931" s="2">
        <v>2016</v>
      </c>
      <c r="Y2931" s="2" t="s">
        <v>8493</v>
      </c>
    </row>
    <row r="2932" spans="1:25" s="11" customFormat="1" ht="89.25" customHeight="1" outlineLevel="1" x14ac:dyDescent="0.25">
      <c r="A2932" s="1"/>
      <c r="B2932" s="2" t="s">
        <v>8588</v>
      </c>
      <c r="C2932" s="3" t="s">
        <v>83</v>
      </c>
      <c r="D2932" s="3" t="s">
        <v>5282</v>
      </c>
      <c r="E2932" s="3" t="s">
        <v>5283</v>
      </c>
      <c r="F2932" s="3" t="s">
        <v>5237</v>
      </c>
      <c r="G2932" s="3" t="s">
        <v>5284</v>
      </c>
      <c r="H2932" s="2" t="s">
        <v>694</v>
      </c>
      <c r="I2932" s="4">
        <v>0</v>
      </c>
      <c r="J2932" s="5">
        <v>710000000</v>
      </c>
      <c r="K2932" s="5" t="s">
        <v>89</v>
      </c>
      <c r="L2932" s="2" t="s">
        <v>1735</v>
      </c>
      <c r="M2932" s="6" t="s">
        <v>91</v>
      </c>
      <c r="N2932" s="7" t="s">
        <v>92</v>
      </c>
      <c r="O2932" s="7" t="s">
        <v>93</v>
      </c>
      <c r="P2932" s="3" t="s">
        <v>673</v>
      </c>
      <c r="Q2932" s="8" t="s">
        <v>522</v>
      </c>
      <c r="R2932" s="7" t="s">
        <v>523</v>
      </c>
      <c r="S2932" s="9">
        <v>5</v>
      </c>
      <c r="T2932" s="9">
        <v>80.400000000000006</v>
      </c>
      <c r="U2932" s="9">
        <f t="shared" ref="U2932" si="2003">T2932*S2932</f>
        <v>402</v>
      </c>
      <c r="V2932" s="9">
        <f t="shared" ref="V2932" si="2004">U2932*1.12</f>
        <v>450.24000000000007</v>
      </c>
      <c r="W2932" s="7"/>
      <c r="X2932" s="2">
        <v>2016</v>
      </c>
      <c r="Y2932" s="2"/>
    </row>
    <row r="2933" spans="1:25" s="11" customFormat="1" ht="89.25" customHeight="1" outlineLevel="1" x14ac:dyDescent="0.25">
      <c r="A2933" s="1"/>
      <c r="B2933" s="2" t="s">
        <v>7220</v>
      </c>
      <c r="C2933" s="3" t="s">
        <v>83</v>
      </c>
      <c r="D2933" s="3" t="s">
        <v>5285</v>
      </c>
      <c r="E2933" s="3" t="s">
        <v>5286</v>
      </c>
      <c r="F2933" s="3" t="s">
        <v>5252</v>
      </c>
      <c r="G2933" s="19" t="s">
        <v>5222</v>
      </c>
      <c r="H2933" s="2" t="s">
        <v>694</v>
      </c>
      <c r="I2933" s="4">
        <v>0</v>
      </c>
      <c r="J2933" s="5">
        <v>710000000</v>
      </c>
      <c r="K2933" s="5" t="s">
        <v>89</v>
      </c>
      <c r="L2933" s="2" t="s">
        <v>754</v>
      </c>
      <c r="M2933" s="6" t="s">
        <v>91</v>
      </c>
      <c r="N2933" s="7" t="s">
        <v>92</v>
      </c>
      <c r="O2933" s="7" t="s">
        <v>93</v>
      </c>
      <c r="P2933" s="3" t="s">
        <v>673</v>
      </c>
      <c r="Q2933" s="8" t="s">
        <v>3383</v>
      </c>
      <c r="R2933" s="7" t="s">
        <v>3384</v>
      </c>
      <c r="S2933" s="9">
        <v>5</v>
      </c>
      <c r="T2933" s="9">
        <v>580</v>
      </c>
      <c r="U2933" s="9">
        <v>0</v>
      </c>
      <c r="V2933" s="9">
        <f t="shared" si="1900"/>
        <v>0</v>
      </c>
      <c r="W2933" s="7"/>
      <c r="X2933" s="2">
        <v>2016</v>
      </c>
      <c r="Y2933" s="2" t="s">
        <v>8493</v>
      </c>
    </row>
    <row r="2934" spans="1:25" s="11" customFormat="1" ht="89.25" customHeight="1" outlineLevel="1" x14ac:dyDescent="0.25">
      <c r="A2934" s="1"/>
      <c r="B2934" s="2" t="s">
        <v>8589</v>
      </c>
      <c r="C2934" s="3" t="s">
        <v>83</v>
      </c>
      <c r="D2934" s="3" t="s">
        <v>5285</v>
      </c>
      <c r="E2934" s="3" t="s">
        <v>5286</v>
      </c>
      <c r="F2934" s="3" t="s">
        <v>5252</v>
      </c>
      <c r="G2934" s="19" t="s">
        <v>5222</v>
      </c>
      <c r="H2934" s="2" t="s">
        <v>694</v>
      </c>
      <c r="I2934" s="4">
        <v>0</v>
      </c>
      <c r="J2934" s="5">
        <v>710000000</v>
      </c>
      <c r="K2934" s="5" t="s">
        <v>89</v>
      </c>
      <c r="L2934" s="2" t="s">
        <v>1735</v>
      </c>
      <c r="M2934" s="6" t="s">
        <v>91</v>
      </c>
      <c r="N2934" s="7" t="s">
        <v>92</v>
      </c>
      <c r="O2934" s="7" t="s">
        <v>93</v>
      </c>
      <c r="P2934" s="3" t="s">
        <v>673</v>
      </c>
      <c r="Q2934" s="8" t="s">
        <v>3383</v>
      </c>
      <c r="R2934" s="7" t="s">
        <v>3384</v>
      </c>
      <c r="S2934" s="9">
        <v>5</v>
      </c>
      <c r="T2934" s="9">
        <v>714.3</v>
      </c>
      <c r="U2934" s="9">
        <f t="shared" ref="U2934" si="2005">T2934*S2934</f>
        <v>3571.5</v>
      </c>
      <c r="V2934" s="9">
        <f t="shared" ref="V2934" si="2006">U2934*1.12</f>
        <v>4000.0800000000004</v>
      </c>
      <c r="W2934" s="7"/>
      <c r="X2934" s="2">
        <v>2016</v>
      </c>
      <c r="Y2934" s="2"/>
    </row>
    <row r="2935" spans="1:25" s="11" customFormat="1" ht="89.25" customHeight="1" outlineLevel="1" x14ac:dyDescent="0.25">
      <c r="A2935" s="1"/>
      <c r="B2935" s="2" t="s">
        <v>7221</v>
      </c>
      <c r="C2935" s="3" t="s">
        <v>83</v>
      </c>
      <c r="D2935" s="3" t="s">
        <v>5287</v>
      </c>
      <c r="E2935" s="3" t="s">
        <v>5288</v>
      </c>
      <c r="F2935" s="3" t="s">
        <v>5237</v>
      </c>
      <c r="G2935" s="19" t="s">
        <v>5245</v>
      </c>
      <c r="H2935" s="2" t="s">
        <v>694</v>
      </c>
      <c r="I2935" s="4">
        <v>0</v>
      </c>
      <c r="J2935" s="5">
        <v>710000000</v>
      </c>
      <c r="K2935" s="5" t="s">
        <v>89</v>
      </c>
      <c r="L2935" s="2" t="s">
        <v>754</v>
      </c>
      <c r="M2935" s="6" t="s">
        <v>91</v>
      </c>
      <c r="N2935" s="7" t="s">
        <v>92</v>
      </c>
      <c r="O2935" s="7" t="s">
        <v>93</v>
      </c>
      <c r="P2935" s="3" t="s">
        <v>673</v>
      </c>
      <c r="Q2935" s="8" t="s">
        <v>522</v>
      </c>
      <c r="R2935" s="7" t="s">
        <v>523</v>
      </c>
      <c r="S2935" s="9">
        <v>7</v>
      </c>
      <c r="T2935" s="9">
        <v>45</v>
      </c>
      <c r="U2935" s="9">
        <v>0</v>
      </c>
      <c r="V2935" s="9">
        <f t="shared" si="1900"/>
        <v>0</v>
      </c>
      <c r="W2935" s="7"/>
      <c r="X2935" s="2">
        <v>2016</v>
      </c>
      <c r="Y2935" s="2" t="s">
        <v>8493</v>
      </c>
    </row>
    <row r="2936" spans="1:25" s="11" customFormat="1" ht="89.25" customHeight="1" outlineLevel="1" x14ac:dyDescent="0.25">
      <c r="A2936" s="1"/>
      <c r="B2936" s="2" t="s">
        <v>8590</v>
      </c>
      <c r="C2936" s="3" t="s">
        <v>83</v>
      </c>
      <c r="D2936" s="3" t="s">
        <v>5287</v>
      </c>
      <c r="E2936" s="3" t="s">
        <v>5288</v>
      </c>
      <c r="F2936" s="3" t="s">
        <v>5237</v>
      </c>
      <c r="G2936" s="19" t="s">
        <v>5245</v>
      </c>
      <c r="H2936" s="2" t="s">
        <v>694</v>
      </c>
      <c r="I2936" s="4">
        <v>0</v>
      </c>
      <c r="J2936" s="5">
        <v>710000000</v>
      </c>
      <c r="K2936" s="5" t="s">
        <v>89</v>
      </c>
      <c r="L2936" s="2" t="s">
        <v>1735</v>
      </c>
      <c r="M2936" s="6" t="s">
        <v>91</v>
      </c>
      <c r="N2936" s="7" t="s">
        <v>92</v>
      </c>
      <c r="O2936" s="7" t="s">
        <v>93</v>
      </c>
      <c r="P2936" s="3" t="s">
        <v>673</v>
      </c>
      <c r="Q2936" s="8" t="s">
        <v>522</v>
      </c>
      <c r="R2936" s="7" t="s">
        <v>523</v>
      </c>
      <c r="S2936" s="9">
        <v>7</v>
      </c>
      <c r="T2936" s="9">
        <v>62.5</v>
      </c>
      <c r="U2936" s="9">
        <f t="shared" ref="U2936" si="2007">T2936*S2936</f>
        <v>437.5</v>
      </c>
      <c r="V2936" s="9">
        <f t="shared" ref="V2936" si="2008">U2936*1.12</f>
        <v>490.00000000000006</v>
      </c>
      <c r="W2936" s="7"/>
      <c r="X2936" s="2">
        <v>2016</v>
      </c>
      <c r="Y2936" s="2"/>
    </row>
    <row r="2937" spans="1:25" s="11" customFormat="1" ht="89.25" customHeight="1" outlineLevel="1" x14ac:dyDescent="0.25">
      <c r="A2937" s="1"/>
      <c r="B2937" s="2" t="s">
        <v>7222</v>
      </c>
      <c r="C2937" s="3" t="s">
        <v>83</v>
      </c>
      <c r="D2937" s="3" t="s">
        <v>5289</v>
      </c>
      <c r="E2937" s="3" t="s">
        <v>5262</v>
      </c>
      <c r="F2937" s="3" t="s">
        <v>5290</v>
      </c>
      <c r="G2937" s="19"/>
      <c r="H2937" s="2" t="s">
        <v>694</v>
      </c>
      <c r="I2937" s="4">
        <v>0</v>
      </c>
      <c r="J2937" s="5">
        <v>710000000</v>
      </c>
      <c r="K2937" s="5" t="s">
        <v>89</v>
      </c>
      <c r="L2937" s="2" t="s">
        <v>754</v>
      </c>
      <c r="M2937" s="6" t="s">
        <v>91</v>
      </c>
      <c r="N2937" s="7" t="s">
        <v>92</v>
      </c>
      <c r="O2937" s="7" t="s">
        <v>93</v>
      </c>
      <c r="P2937" s="3" t="s">
        <v>673</v>
      </c>
      <c r="Q2937" s="8" t="s">
        <v>544</v>
      </c>
      <c r="R2937" s="7" t="s">
        <v>111</v>
      </c>
      <c r="S2937" s="9">
        <v>15</v>
      </c>
      <c r="T2937" s="9">
        <v>80</v>
      </c>
      <c r="U2937" s="9">
        <v>0</v>
      </c>
      <c r="V2937" s="9">
        <f>U2937*1.12</f>
        <v>0</v>
      </c>
      <c r="W2937" s="7"/>
      <c r="X2937" s="2">
        <v>2016</v>
      </c>
      <c r="Y2937" s="2" t="s">
        <v>8493</v>
      </c>
    </row>
    <row r="2938" spans="1:25" s="11" customFormat="1" ht="89.25" customHeight="1" outlineLevel="1" x14ac:dyDescent="0.25">
      <c r="A2938" s="1"/>
      <c r="B2938" s="2" t="s">
        <v>8591</v>
      </c>
      <c r="C2938" s="3" t="s">
        <v>83</v>
      </c>
      <c r="D2938" s="3" t="s">
        <v>5289</v>
      </c>
      <c r="E2938" s="3" t="s">
        <v>5262</v>
      </c>
      <c r="F2938" s="3" t="s">
        <v>5290</v>
      </c>
      <c r="G2938" s="19"/>
      <c r="H2938" s="2" t="s">
        <v>694</v>
      </c>
      <c r="I2938" s="4">
        <v>0</v>
      </c>
      <c r="J2938" s="5">
        <v>710000000</v>
      </c>
      <c r="K2938" s="5" t="s">
        <v>89</v>
      </c>
      <c r="L2938" s="2" t="s">
        <v>1735</v>
      </c>
      <c r="M2938" s="6" t="s">
        <v>91</v>
      </c>
      <c r="N2938" s="7" t="s">
        <v>92</v>
      </c>
      <c r="O2938" s="7" t="s">
        <v>93</v>
      </c>
      <c r="P2938" s="3" t="s">
        <v>673</v>
      </c>
      <c r="Q2938" s="8" t="s">
        <v>544</v>
      </c>
      <c r="R2938" s="7" t="s">
        <v>111</v>
      </c>
      <c r="S2938" s="9">
        <v>15</v>
      </c>
      <c r="T2938" s="9">
        <v>107.1</v>
      </c>
      <c r="U2938" s="9">
        <f t="shared" ref="U2938" si="2009">T2938*S2938</f>
        <v>1606.5</v>
      </c>
      <c r="V2938" s="9">
        <f t="shared" ref="V2938" si="2010">U2938*1.12</f>
        <v>1799.2800000000002</v>
      </c>
      <c r="W2938" s="7"/>
      <c r="X2938" s="2">
        <v>2016</v>
      </c>
      <c r="Y2938" s="2"/>
    </row>
    <row r="2939" spans="1:25" s="11" customFormat="1" ht="89.25" customHeight="1" outlineLevel="1" x14ac:dyDescent="0.25">
      <c r="A2939" s="1"/>
      <c r="B2939" s="2" t="s">
        <v>7223</v>
      </c>
      <c r="C2939" s="3" t="s">
        <v>83</v>
      </c>
      <c r="D2939" s="3" t="s">
        <v>5291</v>
      </c>
      <c r="E2939" s="3" t="s">
        <v>5292</v>
      </c>
      <c r="F2939" s="3" t="s">
        <v>5293</v>
      </c>
      <c r="G2939" s="3" t="s">
        <v>5294</v>
      </c>
      <c r="H2939" s="2" t="s">
        <v>694</v>
      </c>
      <c r="I2939" s="4">
        <v>0</v>
      </c>
      <c r="J2939" s="5">
        <v>710000000</v>
      </c>
      <c r="K2939" s="5" t="s">
        <v>89</v>
      </c>
      <c r="L2939" s="2" t="s">
        <v>754</v>
      </c>
      <c r="M2939" s="6" t="s">
        <v>91</v>
      </c>
      <c r="N2939" s="7" t="s">
        <v>92</v>
      </c>
      <c r="O2939" s="7" t="s">
        <v>93</v>
      </c>
      <c r="P2939" s="3" t="s">
        <v>673</v>
      </c>
      <c r="Q2939" s="8" t="s">
        <v>3383</v>
      </c>
      <c r="R2939" s="7" t="s">
        <v>3384</v>
      </c>
      <c r="S2939" s="9">
        <v>3</v>
      </c>
      <c r="T2939" s="9">
        <v>259</v>
      </c>
      <c r="U2939" s="9">
        <v>0</v>
      </c>
      <c r="V2939" s="9">
        <f t="shared" si="1900"/>
        <v>0</v>
      </c>
      <c r="W2939" s="7"/>
      <c r="X2939" s="2">
        <v>2016</v>
      </c>
      <c r="Y2939" s="2" t="s">
        <v>8493</v>
      </c>
    </row>
    <row r="2940" spans="1:25" s="11" customFormat="1" ht="89.25" customHeight="1" outlineLevel="1" x14ac:dyDescent="0.25">
      <c r="A2940" s="1"/>
      <c r="B2940" s="2" t="s">
        <v>8592</v>
      </c>
      <c r="C2940" s="3" t="s">
        <v>83</v>
      </c>
      <c r="D2940" s="3" t="s">
        <v>5291</v>
      </c>
      <c r="E2940" s="3" t="s">
        <v>5292</v>
      </c>
      <c r="F2940" s="3" t="s">
        <v>5293</v>
      </c>
      <c r="G2940" s="3" t="s">
        <v>5294</v>
      </c>
      <c r="H2940" s="2" t="s">
        <v>694</v>
      </c>
      <c r="I2940" s="4">
        <v>0</v>
      </c>
      <c r="J2940" s="5">
        <v>710000000</v>
      </c>
      <c r="K2940" s="5" t="s">
        <v>89</v>
      </c>
      <c r="L2940" s="2" t="s">
        <v>1735</v>
      </c>
      <c r="M2940" s="6" t="s">
        <v>91</v>
      </c>
      <c r="N2940" s="7" t="s">
        <v>92</v>
      </c>
      <c r="O2940" s="7" t="s">
        <v>93</v>
      </c>
      <c r="P2940" s="3" t="s">
        <v>673</v>
      </c>
      <c r="Q2940" s="8" t="s">
        <v>3383</v>
      </c>
      <c r="R2940" s="7" t="s">
        <v>3384</v>
      </c>
      <c r="S2940" s="9">
        <v>3</v>
      </c>
      <c r="T2940" s="9">
        <v>312.5</v>
      </c>
      <c r="U2940" s="9">
        <f t="shared" ref="U2940" si="2011">T2940*S2940</f>
        <v>937.5</v>
      </c>
      <c r="V2940" s="9">
        <f t="shared" ref="V2940" si="2012">U2940*1.12</f>
        <v>1050</v>
      </c>
      <c r="W2940" s="7"/>
      <c r="X2940" s="2">
        <v>2016</v>
      </c>
      <c r="Y2940" s="2"/>
    </row>
    <row r="2941" spans="1:25" s="11" customFormat="1" ht="89.25" customHeight="1" outlineLevel="1" x14ac:dyDescent="0.25">
      <c r="A2941" s="1"/>
      <c r="B2941" s="2" t="s">
        <v>7224</v>
      </c>
      <c r="C2941" s="3" t="s">
        <v>83</v>
      </c>
      <c r="D2941" s="3" t="s">
        <v>5295</v>
      </c>
      <c r="E2941" s="3" t="s">
        <v>5296</v>
      </c>
      <c r="F2941" s="3" t="s">
        <v>5280</v>
      </c>
      <c r="G2941" s="19" t="s">
        <v>5297</v>
      </c>
      <c r="H2941" s="2" t="s">
        <v>694</v>
      </c>
      <c r="I2941" s="4">
        <v>0</v>
      </c>
      <c r="J2941" s="5">
        <v>710000000</v>
      </c>
      <c r="K2941" s="5" t="s">
        <v>89</v>
      </c>
      <c r="L2941" s="2" t="s">
        <v>754</v>
      </c>
      <c r="M2941" s="6" t="s">
        <v>91</v>
      </c>
      <c r="N2941" s="7" t="s">
        <v>92</v>
      </c>
      <c r="O2941" s="7" t="s">
        <v>93</v>
      </c>
      <c r="P2941" s="3" t="s">
        <v>673</v>
      </c>
      <c r="Q2941" s="8" t="s">
        <v>522</v>
      </c>
      <c r="R2941" s="7" t="s">
        <v>523</v>
      </c>
      <c r="S2941" s="9">
        <v>3</v>
      </c>
      <c r="T2941" s="9">
        <v>125</v>
      </c>
      <c r="U2941" s="9">
        <v>0</v>
      </c>
      <c r="V2941" s="9">
        <f t="shared" si="1900"/>
        <v>0</v>
      </c>
      <c r="W2941" s="7"/>
      <c r="X2941" s="2">
        <v>2016</v>
      </c>
      <c r="Y2941" s="2" t="s">
        <v>8493</v>
      </c>
    </row>
    <row r="2942" spans="1:25" s="11" customFormat="1" ht="89.25" customHeight="1" outlineLevel="1" x14ac:dyDescent="0.25">
      <c r="A2942" s="1"/>
      <c r="B2942" s="2" t="s">
        <v>8593</v>
      </c>
      <c r="C2942" s="3" t="s">
        <v>83</v>
      </c>
      <c r="D2942" s="3" t="s">
        <v>5295</v>
      </c>
      <c r="E2942" s="3" t="s">
        <v>5296</v>
      </c>
      <c r="F2942" s="3" t="s">
        <v>5280</v>
      </c>
      <c r="G2942" s="19" t="s">
        <v>5297</v>
      </c>
      <c r="H2942" s="2" t="s">
        <v>694</v>
      </c>
      <c r="I2942" s="4">
        <v>0</v>
      </c>
      <c r="J2942" s="5">
        <v>710000000</v>
      </c>
      <c r="K2942" s="5" t="s">
        <v>89</v>
      </c>
      <c r="L2942" s="2" t="s">
        <v>1735</v>
      </c>
      <c r="M2942" s="6" t="s">
        <v>91</v>
      </c>
      <c r="N2942" s="7" t="s">
        <v>92</v>
      </c>
      <c r="O2942" s="7" t="s">
        <v>93</v>
      </c>
      <c r="P2942" s="3" t="s">
        <v>673</v>
      </c>
      <c r="Q2942" s="8" t="s">
        <v>522</v>
      </c>
      <c r="R2942" s="7" t="s">
        <v>523</v>
      </c>
      <c r="S2942" s="9">
        <v>3</v>
      </c>
      <c r="T2942" s="9">
        <v>147.30000000000001</v>
      </c>
      <c r="U2942" s="9">
        <f t="shared" ref="U2942" si="2013">T2942*S2942</f>
        <v>441.90000000000003</v>
      </c>
      <c r="V2942" s="9">
        <f t="shared" ref="V2942" si="2014">U2942*1.12</f>
        <v>494.92800000000011</v>
      </c>
      <c r="W2942" s="7"/>
      <c r="X2942" s="2">
        <v>2016</v>
      </c>
      <c r="Y2942" s="2"/>
    </row>
    <row r="2943" spans="1:25" s="11" customFormat="1" ht="89.25" customHeight="1" outlineLevel="1" x14ac:dyDescent="0.25">
      <c r="A2943" s="1"/>
      <c r="B2943" s="2" t="s">
        <v>7225</v>
      </c>
      <c r="C2943" s="3" t="s">
        <v>83</v>
      </c>
      <c r="D2943" s="3" t="s">
        <v>5298</v>
      </c>
      <c r="E2943" s="3" t="s">
        <v>5299</v>
      </c>
      <c r="F2943" s="3" t="s">
        <v>5252</v>
      </c>
      <c r="G2943" s="19" t="s">
        <v>5300</v>
      </c>
      <c r="H2943" s="2" t="s">
        <v>694</v>
      </c>
      <c r="I2943" s="4">
        <v>0</v>
      </c>
      <c r="J2943" s="5">
        <v>710000000</v>
      </c>
      <c r="K2943" s="5" t="s">
        <v>89</v>
      </c>
      <c r="L2943" s="2" t="s">
        <v>754</v>
      </c>
      <c r="M2943" s="6" t="s">
        <v>91</v>
      </c>
      <c r="N2943" s="7" t="s">
        <v>92</v>
      </c>
      <c r="O2943" s="7" t="s">
        <v>93</v>
      </c>
      <c r="P2943" s="3" t="s">
        <v>673</v>
      </c>
      <c r="Q2943" s="8" t="s">
        <v>522</v>
      </c>
      <c r="R2943" s="7" t="s">
        <v>523</v>
      </c>
      <c r="S2943" s="9">
        <v>3</v>
      </c>
      <c r="T2943" s="9">
        <v>313</v>
      </c>
      <c r="U2943" s="9">
        <v>0</v>
      </c>
      <c r="V2943" s="9">
        <f t="shared" si="1900"/>
        <v>0</v>
      </c>
      <c r="W2943" s="7"/>
      <c r="X2943" s="2">
        <v>2016</v>
      </c>
      <c r="Y2943" s="2" t="s">
        <v>8493</v>
      </c>
    </row>
    <row r="2944" spans="1:25" s="11" customFormat="1" ht="89.25" customHeight="1" outlineLevel="1" x14ac:dyDescent="0.25">
      <c r="A2944" s="1"/>
      <c r="B2944" s="2" t="s">
        <v>8594</v>
      </c>
      <c r="C2944" s="3" t="s">
        <v>83</v>
      </c>
      <c r="D2944" s="3" t="s">
        <v>5298</v>
      </c>
      <c r="E2944" s="3" t="s">
        <v>5299</v>
      </c>
      <c r="F2944" s="3" t="s">
        <v>5252</v>
      </c>
      <c r="G2944" s="19" t="s">
        <v>5300</v>
      </c>
      <c r="H2944" s="2" t="s">
        <v>694</v>
      </c>
      <c r="I2944" s="4">
        <v>0</v>
      </c>
      <c r="J2944" s="5">
        <v>710000000</v>
      </c>
      <c r="K2944" s="5" t="s">
        <v>89</v>
      </c>
      <c r="L2944" s="2" t="s">
        <v>1735</v>
      </c>
      <c r="M2944" s="6" t="s">
        <v>91</v>
      </c>
      <c r="N2944" s="7" t="s">
        <v>92</v>
      </c>
      <c r="O2944" s="7" t="s">
        <v>93</v>
      </c>
      <c r="P2944" s="3" t="s">
        <v>673</v>
      </c>
      <c r="Q2944" s="8" t="s">
        <v>522</v>
      </c>
      <c r="R2944" s="7" t="s">
        <v>523</v>
      </c>
      <c r="S2944" s="9">
        <v>3</v>
      </c>
      <c r="T2944" s="9">
        <v>424.1</v>
      </c>
      <c r="U2944" s="9">
        <f t="shared" ref="U2944" si="2015">T2944*S2944</f>
        <v>1272.3000000000002</v>
      </c>
      <c r="V2944" s="9">
        <f t="shared" ref="V2944" si="2016">U2944*1.12</f>
        <v>1424.9760000000003</v>
      </c>
      <c r="W2944" s="7"/>
      <c r="X2944" s="2">
        <v>2016</v>
      </c>
      <c r="Y2944" s="2"/>
    </row>
    <row r="2945" spans="1:25" s="11" customFormat="1" ht="89.25" customHeight="1" outlineLevel="1" x14ac:dyDescent="0.25">
      <c r="A2945" s="1"/>
      <c r="B2945" s="2" t="s">
        <v>7226</v>
      </c>
      <c r="C2945" s="3" t="s">
        <v>83</v>
      </c>
      <c r="D2945" s="3" t="s">
        <v>5301</v>
      </c>
      <c r="E2945" s="3" t="s">
        <v>5302</v>
      </c>
      <c r="F2945" s="3" t="s">
        <v>5263</v>
      </c>
      <c r="G2945" s="19" t="s">
        <v>5303</v>
      </c>
      <c r="H2945" s="2" t="s">
        <v>694</v>
      </c>
      <c r="I2945" s="4">
        <v>0</v>
      </c>
      <c r="J2945" s="5">
        <v>710000000</v>
      </c>
      <c r="K2945" s="5" t="s">
        <v>89</v>
      </c>
      <c r="L2945" s="2" t="s">
        <v>754</v>
      </c>
      <c r="M2945" s="6" t="s">
        <v>91</v>
      </c>
      <c r="N2945" s="7" t="s">
        <v>92</v>
      </c>
      <c r="O2945" s="7" t="s">
        <v>93</v>
      </c>
      <c r="P2945" s="3" t="s">
        <v>673</v>
      </c>
      <c r="Q2945" s="8" t="s">
        <v>522</v>
      </c>
      <c r="R2945" s="7" t="s">
        <v>523</v>
      </c>
      <c r="S2945" s="9">
        <v>4</v>
      </c>
      <c r="T2945" s="9">
        <v>125</v>
      </c>
      <c r="U2945" s="9">
        <v>0</v>
      </c>
      <c r="V2945" s="9">
        <f t="shared" si="1900"/>
        <v>0</v>
      </c>
      <c r="W2945" s="7"/>
      <c r="X2945" s="2">
        <v>2016</v>
      </c>
      <c r="Y2945" s="2" t="s">
        <v>8493</v>
      </c>
    </row>
    <row r="2946" spans="1:25" s="11" customFormat="1" ht="89.25" customHeight="1" outlineLevel="1" x14ac:dyDescent="0.25">
      <c r="A2946" s="1"/>
      <c r="B2946" s="2" t="s">
        <v>8595</v>
      </c>
      <c r="C2946" s="3" t="s">
        <v>83</v>
      </c>
      <c r="D2946" s="3" t="s">
        <v>5301</v>
      </c>
      <c r="E2946" s="3" t="s">
        <v>5302</v>
      </c>
      <c r="F2946" s="3" t="s">
        <v>5263</v>
      </c>
      <c r="G2946" s="19" t="s">
        <v>5303</v>
      </c>
      <c r="H2946" s="2" t="s">
        <v>694</v>
      </c>
      <c r="I2946" s="4">
        <v>0</v>
      </c>
      <c r="J2946" s="5">
        <v>710000000</v>
      </c>
      <c r="K2946" s="5" t="s">
        <v>89</v>
      </c>
      <c r="L2946" s="2" t="s">
        <v>1735</v>
      </c>
      <c r="M2946" s="6" t="s">
        <v>91</v>
      </c>
      <c r="N2946" s="7" t="s">
        <v>92</v>
      </c>
      <c r="O2946" s="7" t="s">
        <v>93</v>
      </c>
      <c r="P2946" s="3" t="s">
        <v>673</v>
      </c>
      <c r="Q2946" s="8" t="s">
        <v>522</v>
      </c>
      <c r="R2946" s="7" t="s">
        <v>523</v>
      </c>
      <c r="S2946" s="9">
        <v>4</v>
      </c>
      <c r="T2946" s="9">
        <v>178.6</v>
      </c>
      <c r="U2946" s="9">
        <f t="shared" ref="U2946" si="2017">T2946*S2946</f>
        <v>714.4</v>
      </c>
      <c r="V2946" s="9">
        <f t="shared" ref="V2946" si="2018">U2946*1.12</f>
        <v>800.12800000000004</v>
      </c>
      <c r="W2946" s="7"/>
      <c r="X2946" s="2">
        <v>2016</v>
      </c>
      <c r="Y2946" s="2"/>
    </row>
    <row r="2947" spans="1:25" s="11" customFormat="1" ht="89.25" customHeight="1" outlineLevel="1" x14ac:dyDescent="0.25">
      <c r="A2947" s="1"/>
      <c r="B2947" s="2" t="s">
        <v>7227</v>
      </c>
      <c r="C2947" s="3" t="s">
        <v>83</v>
      </c>
      <c r="D2947" s="3" t="s">
        <v>5304</v>
      </c>
      <c r="E2947" s="3" t="s">
        <v>5305</v>
      </c>
      <c r="F2947" s="3" t="s">
        <v>5252</v>
      </c>
      <c r="G2947" s="19" t="s">
        <v>5306</v>
      </c>
      <c r="H2947" s="2" t="s">
        <v>694</v>
      </c>
      <c r="I2947" s="4">
        <v>0</v>
      </c>
      <c r="J2947" s="5">
        <v>710000000</v>
      </c>
      <c r="K2947" s="5" t="s">
        <v>89</v>
      </c>
      <c r="L2947" s="2" t="s">
        <v>754</v>
      </c>
      <c r="M2947" s="6" t="s">
        <v>91</v>
      </c>
      <c r="N2947" s="7" t="s">
        <v>92</v>
      </c>
      <c r="O2947" s="7" t="s">
        <v>93</v>
      </c>
      <c r="P2947" s="3" t="s">
        <v>673</v>
      </c>
      <c r="Q2947" s="8" t="s">
        <v>522</v>
      </c>
      <c r="R2947" s="7" t="s">
        <v>523</v>
      </c>
      <c r="S2947" s="9">
        <v>5</v>
      </c>
      <c r="T2947" s="9">
        <v>161</v>
      </c>
      <c r="U2947" s="9">
        <v>0</v>
      </c>
      <c r="V2947" s="9">
        <f t="shared" si="1900"/>
        <v>0</v>
      </c>
      <c r="W2947" s="7"/>
      <c r="X2947" s="2">
        <v>2016</v>
      </c>
      <c r="Y2947" s="2" t="s">
        <v>8493</v>
      </c>
    </row>
    <row r="2948" spans="1:25" s="11" customFormat="1" ht="89.25" customHeight="1" outlineLevel="1" x14ac:dyDescent="0.25">
      <c r="A2948" s="1"/>
      <c r="B2948" s="2" t="s">
        <v>8596</v>
      </c>
      <c r="C2948" s="3" t="s">
        <v>83</v>
      </c>
      <c r="D2948" s="3" t="s">
        <v>5304</v>
      </c>
      <c r="E2948" s="3" t="s">
        <v>5305</v>
      </c>
      <c r="F2948" s="3" t="s">
        <v>5252</v>
      </c>
      <c r="G2948" s="19" t="s">
        <v>5306</v>
      </c>
      <c r="H2948" s="2" t="s">
        <v>694</v>
      </c>
      <c r="I2948" s="4">
        <v>0</v>
      </c>
      <c r="J2948" s="5">
        <v>710000000</v>
      </c>
      <c r="K2948" s="5" t="s">
        <v>89</v>
      </c>
      <c r="L2948" s="2" t="s">
        <v>1735</v>
      </c>
      <c r="M2948" s="6" t="s">
        <v>91</v>
      </c>
      <c r="N2948" s="7" t="s">
        <v>92</v>
      </c>
      <c r="O2948" s="7" t="s">
        <v>93</v>
      </c>
      <c r="P2948" s="3" t="s">
        <v>673</v>
      </c>
      <c r="Q2948" s="8" t="s">
        <v>522</v>
      </c>
      <c r="R2948" s="7" t="s">
        <v>523</v>
      </c>
      <c r="S2948" s="9">
        <v>5</v>
      </c>
      <c r="T2948" s="9">
        <v>241.1</v>
      </c>
      <c r="U2948" s="9">
        <f t="shared" ref="U2948" si="2019">T2948*S2948</f>
        <v>1205.5</v>
      </c>
      <c r="V2948" s="9">
        <f t="shared" ref="V2948" si="2020">U2948*1.12</f>
        <v>1350.16</v>
      </c>
      <c r="W2948" s="7"/>
      <c r="X2948" s="2">
        <v>2016</v>
      </c>
      <c r="Y2948" s="2"/>
    </row>
    <row r="2949" spans="1:25" s="11" customFormat="1" ht="89.25" customHeight="1" outlineLevel="1" x14ac:dyDescent="0.25">
      <c r="A2949" s="1"/>
      <c r="B2949" s="2" t="s">
        <v>7228</v>
      </c>
      <c r="C2949" s="3" t="s">
        <v>83</v>
      </c>
      <c r="D2949" s="3" t="s">
        <v>5307</v>
      </c>
      <c r="E2949" s="3" t="s">
        <v>5308</v>
      </c>
      <c r="F2949" s="3" t="s">
        <v>5309</v>
      </c>
      <c r="G2949" s="19" t="s">
        <v>5310</v>
      </c>
      <c r="H2949" s="2" t="s">
        <v>694</v>
      </c>
      <c r="I2949" s="4">
        <v>0</v>
      </c>
      <c r="J2949" s="5">
        <v>710000000</v>
      </c>
      <c r="K2949" s="5" t="s">
        <v>89</v>
      </c>
      <c r="L2949" s="2" t="s">
        <v>754</v>
      </c>
      <c r="M2949" s="6" t="s">
        <v>91</v>
      </c>
      <c r="N2949" s="7" t="s">
        <v>92</v>
      </c>
      <c r="O2949" s="7" t="s">
        <v>93</v>
      </c>
      <c r="P2949" s="3" t="s">
        <v>673</v>
      </c>
      <c r="Q2949" s="8" t="s">
        <v>522</v>
      </c>
      <c r="R2949" s="7" t="s">
        <v>523</v>
      </c>
      <c r="S2949" s="9">
        <v>5</v>
      </c>
      <c r="T2949" s="9">
        <v>161</v>
      </c>
      <c r="U2949" s="9">
        <v>0</v>
      </c>
      <c r="V2949" s="9">
        <f t="shared" si="1900"/>
        <v>0</v>
      </c>
      <c r="W2949" s="7"/>
      <c r="X2949" s="2">
        <v>2016</v>
      </c>
      <c r="Y2949" s="2" t="s">
        <v>8493</v>
      </c>
    </row>
    <row r="2950" spans="1:25" s="11" customFormat="1" ht="89.25" customHeight="1" outlineLevel="1" x14ac:dyDescent="0.25">
      <c r="A2950" s="1"/>
      <c r="B2950" s="2" t="s">
        <v>7228</v>
      </c>
      <c r="C2950" s="3" t="s">
        <v>83</v>
      </c>
      <c r="D2950" s="3" t="s">
        <v>5307</v>
      </c>
      <c r="E2950" s="3" t="s">
        <v>5308</v>
      </c>
      <c r="F2950" s="3" t="s">
        <v>5309</v>
      </c>
      <c r="G2950" s="19" t="s">
        <v>5310</v>
      </c>
      <c r="H2950" s="2" t="s">
        <v>694</v>
      </c>
      <c r="I2950" s="4">
        <v>0</v>
      </c>
      <c r="J2950" s="5">
        <v>710000000</v>
      </c>
      <c r="K2950" s="5" t="s">
        <v>89</v>
      </c>
      <c r="L2950" s="2" t="s">
        <v>1735</v>
      </c>
      <c r="M2950" s="6" t="s">
        <v>91</v>
      </c>
      <c r="N2950" s="7" t="s">
        <v>92</v>
      </c>
      <c r="O2950" s="7" t="s">
        <v>93</v>
      </c>
      <c r="P2950" s="3" t="s">
        <v>673</v>
      </c>
      <c r="Q2950" s="8" t="s">
        <v>522</v>
      </c>
      <c r="R2950" s="7" t="s">
        <v>523</v>
      </c>
      <c r="S2950" s="9">
        <v>5</v>
      </c>
      <c r="T2950" s="9">
        <v>285.7</v>
      </c>
      <c r="U2950" s="9">
        <f t="shared" ref="U2950" si="2021">T2950*S2950</f>
        <v>1428.5</v>
      </c>
      <c r="V2950" s="9">
        <f t="shared" ref="V2950" si="2022">U2950*1.12</f>
        <v>1599.92</v>
      </c>
      <c r="W2950" s="7"/>
      <c r="X2950" s="2">
        <v>2016</v>
      </c>
      <c r="Y2950" s="2"/>
    </row>
    <row r="2951" spans="1:25" s="11" customFormat="1" ht="89.25" customHeight="1" outlineLevel="1" x14ac:dyDescent="0.25">
      <c r="A2951" s="1"/>
      <c r="B2951" s="2" t="s">
        <v>7229</v>
      </c>
      <c r="C2951" s="3" t="s">
        <v>83</v>
      </c>
      <c r="D2951" s="3" t="s">
        <v>5311</v>
      </c>
      <c r="E2951" s="3" t="s">
        <v>5312</v>
      </c>
      <c r="F2951" s="3" t="s">
        <v>5248</v>
      </c>
      <c r="G2951" s="19" t="s">
        <v>5313</v>
      </c>
      <c r="H2951" s="2" t="s">
        <v>694</v>
      </c>
      <c r="I2951" s="4">
        <v>0</v>
      </c>
      <c r="J2951" s="5">
        <v>710000000</v>
      </c>
      <c r="K2951" s="5" t="s">
        <v>89</v>
      </c>
      <c r="L2951" s="2" t="s">
        <v>754</v>
      </c>
      <c r="M2951" s="6" t="s">
        <v>91</v>
      </c>
      <c r="N2951" s="7" t="s">
        <v>92</v>
      </c>
      <c r="O2951" s="7" t="s">
        <v>93</v>
      </c>
      <c r="P2951" s="3" t="s">
        <v>673</v>
      </c>
      <c r="Q2951" s="8" t="s">
        <v>3383</v>
      </c>
      <c r="R2951" s="7" t="s">
        <v>3384</v>
      </c>
      <c r="S2951" s="9">
        <v>2</v>
      </c>
      <c r="T2951" s="9">
        <v>1897</v>
      </c>
      <c r="U2951" s="9">
        <v>0</v>
      </c>
      <c r="V2951" s="9">
        <f t="shared" si="1900"/>
        <v>0</v>
      </c>
      <c r="W2951" s="7"/>
      <c r="X2951" s="2">
        <v>2016</v>
      </c>
      <c r="Y2951" s="2" t="s">
        <v>8493</v>
      </c>
    </row>
    <row r="2952" spans="1:25" s="11" customFormat="1" ht="89.25" customHeight="1" outlineLevel="1" x14ac:dyDescent="0.25">
      <c r="A2952" s="1"/>
      <c r="B2952" s="2" t="s">
        <v>8597</v>
      </c>
      <c r="C2952" s="3" t="s">
        <v>83</v>
      </c>
      <c r="D2952" s="3" t="s">
        <v>5311</v>
      </c>
      <c r="E2952" s="3" t="s">
        <v>5312</v>
      </c>
      <c r="F2952" s="3" t="s">
        <v>5248</v>
      </c>
      <c r="G2952" s="19" t="s">
        <v>5313</v>
      </c>
      <c r="H2952" s="2" t="s">
        <v>694</v>
      </c>
      <c r="I2952" s="4">
        <v>0</v>
      </c>
      <c r="J2952" s="5">
        <v>710000000</v>
      </c>
      <c r="K2952" s="5" t="s">
        <v>89</v>
      </c>
      <c r="L2952" s="2" t="s">
        <v>1735</v>
      </c>
      <c r="M2952" s="6" t="s">
        <v>91</v>
      </c>
      <c r="N2952" s="7" t="s">
        <v>92</v>
      </c>
      <c r="O2952" s="7" t="s">
        <v>93</v>
      </c>
      <c r="P2952" s="3" t="s">
        <v>673</v>
      </c>
      <c r="Q2952" s="8" t="s">
        <v>3383</v>
      </c>
      <c r="R2952" s="7" t="s">
        <v>3384</v>
      </c>
      <c r="S2952" s="9">
        <v>2</v>
      </c>
      <c r="T2952" s="9">
        <v>2098.1999999999998</v>
      </c>
      <c r="U2952" s="9">
        <f t="shared" ref="U2952" si="2023">T2952*S2952</f>
        <v>4196.3999999999996</v>
      </c>
      <c r="V2952" s="9">
        <f t="shared" ref="V2952" si="2024">U2952*1.12</f>
        <v>4699.9679999999998</v>
      </c>
      <c r="W2952" s="7"/>
      <c r="X2952" s="2">
        <v>2016</v>
      </c>
      <c r="Y2952" s="2"/>
    </row>
    <row r="2953" spans="1:25" s="11" customFormat="1" ht="89.25" customHeight="1" outlineLevel="1" x14ac:dyDescent="0.25">
      <c r="A2953" s="1"/>
      <c r="B2953" s="2" t="s">
        <v>7230</v>
      </c>
      <c r="C2953" s="3" t="s">
        <v>83</v>
      </c>
      <c r="D2953" s="3" t="s">
        <v>5314</v>
      </c>
      <c r="E2953" s="3" t="s">
        <v>5315</v>
      </c>
      <c r="F2953" s="3" t="s">
        <v>5241</v>
      </c>
      <c r="G2953" s="3" t="s">
        <v>5316</v>
      </c>
      <c r="H2953" s="2" t="s">
        <v>694</v>
      </c>
      <c r="I2953" s="4">
        <v>0</v>
      </c>
      <c r="J2953" s="5">
        <v>710000000</v>
      </c>
      <c r="K2953" s="5" t="s">
        <v>89</v>
      </c>
      <c r="L2953" s="2" t="s">
        <v>754</v>
      </c>
      <c r="M2953" s="6" t="s">
        <v>91</v>
      </c>
      <c r="N2953" s="7" t="s">
        <v>92</v>
      </c>
      <c r="O2953" s="7" t="s">
        <v>93</v>
      </c>
      <c r="P2953" s="3" t="s">
        <v>673</v>
      </c>
      <c r="Q2953" s="8" t="s">
        <v>3383</v>
      </c>
      <c r="R2953" s="7" t="s">
        <v>3384</v>
      </c>
      <c r="S2953" s="9">
        <v>6</v>
      </c>
      <c r="T2953" s="9">
        <v>598</v>
      </c>
      <c r="U2953" s="9">
        <v>0</v>
      </c>
      <c r="V2953" s="9">
        <f t="shared" si="1900"/>
        <v>0</v>
      </c>
      <c r="W2953" s="7"/>
      <c r="X2953" s="2">
        <v>2016</v>
      </c>
      <c r="Y2953" s="2" t="s">
        <v>8493</v>
      </c>
    </row>
    <row r="2954" spans="1:25" s="11" customFormat="1" ht="89.25" customHeight="1" outlineLevel="1" x14ac:dyDescent="0.25">
      <c r="A2954" s="1"/>
      <c r="B2954" s="2" t="s">
        <v>8598</v>
      </c>
      <c r="C2954" s="3" t="s">
        <v>83</v>
      </c>
      <c r="D2954" s="3" t="s">
        <v>5314</v>
      </c>
      <c r="E2954" s="3" t="s">
        <v>5315</v>
      </c>
      <c r="F2954" s="3" t="s">
        <v>5241</v>
      </c>
      <c r="G2954" s="3" t="s">
        <v>5316</v>
      </c>
      <c r="H2954" s="2" t="s">
        <v>694</v>
      </c>
      <c r="I2954" s="4">
        <v>0</v>
      </c>
      <c r="J2954" s="5">
        <v>710000000</v>
      </c>
      <c r="K2954" s="5" t="s">
        <v>89</v>
      </c>
      <c r="L2954" s="2" t="s">
        <v>1735</v>
      </c>
      <c r="M2954" s="6" t="s">
        <v>91</v>
      </c>
      <c r="N2954" s="7" t="s">
        <v>92</v>
      </c>
      <c r="O2954" s="7" t="s">
        <v>93</v>
      </c>
      <c r="P2954" s="3" t="s">
        <v>673</v>
      </c>
      <c r="Q2954" s="8" t="s">
        <v>3383</v>
      </c>
      <c r="R2954" s="7" t="s">
        <v>3384</v>
      </c>
      <c r="S2954" s="9">
        <v>6</v>
      </c>
      <c r="T2954" s="9">
        <v>714.3</v>
      </c>
      <c r="U2954" s="9">
        <f t="shared" ref="U2954" si="2025">T2954*S2954</f>
        <v>4285.7999999999993</v>
      </c>
      <c r="V2954" s="9">
        <f t="shared" ref="V2954" si="2026">U2954*1.12</f>
        <v>4800.0959999999995</v>
      </c>
      <c r="W2954" s="7"/>
      <c r="X2954" s="2">
        <v>2016</v>
      </c>
      <c r="Y2954" s="2"/>
    </row>
    <row r="2955" spans="1:25" s="11" customFormat="1" ht="89.25" customHeight="1" outlineLevel="1" x14ac:dyDescent="0.25">
      <c r="A2955" s="1"/>
      <c r="B2955" s="2" t="s">
        <v>7231</v>
      </c>
      <c r="C2955" s="3" t="s">
        <v>83</v>
      </c>
      <c r="D2955" s="3" t="s">
        <v>5317</v>
      </c>
      <c r="E2955" s="3" t="s">
        <v>5318</v>
      </c>
      <c r="F2955" s="3" t="s">
        <v>2398</v>
      </c>
      <c r="G2955" s="19" t="s">
        <v>5319</v>
      </c>
      <c r="H2955" s="2" t="s">
        <v>694</v>
      </c>
      <c r="I2955" s="4">
        <v>0</v>
      </c>
      <c r="J2955" s="5">
        <v>710000000</v>
      </c>
      <c r="K2955" s="5" t="s">
        <v>89</v>
      </c>
      <c r="L2955" s="2" t="s">
        <v>754</v>
      </c>
      <c r="M2955" s="6" t="s">
        <v>91</v>
      </c>
      <c r="N2955" s="7" t="s">
        <v>92</v>
      </c>
      <c r="O2955" s="7" t="s">
        <v>93</v>
      </c>
      <c r="P2955" s="3" t="s">
        <v>673</v>
      </c>
      <c r="Q2955" s="8" t="s">
        <v>3383</v>
      </c>
      <c r="R2955" s="7" t="s">
        <v>3384</v>
      </c>
      <c r="S2955" s="9">
        <v>7</v>
      </c>
      <c r="T2955" s="9">
        <v>304</v>
      </c>
      <c r="U2955" s="9">
        <v>0</v>
      </c>
      <c r="V2955" s="9">
        <f t="shared" ref="V2955:V3081" si="2027">U2955*1.12</f>
        <v>0</v>
      </c>
      <c r="W2955" s="7"/>
      <c r="X2955" s="2">
        <v>2016</v>
      </c>
      <c r="Y2955" s="2" t="s">
        <v>8493</v>
      </c>
    </row>
    <row r="2956" spans="1:25" s="11" customFormat="1" ht="89.25" customHeight="1" outlineLevel="1" x14ac:dyDescent="0.25">
      <c r="A2956" s="1"/>
      <c r="B2956" s="2" t="s">
        <v>8599</v>
      </c>
      <c r="C2956" s="3" t="s">
        <v>83</v>
      </c>
      <c r="D2956" s="3" t="s">
        <v>5317</v>
      </c>
      <c r="E2956" s="3" t="s">
        <v>5318</v>
      </c>
      <c r="F2956" s="3" t="s">
        <v>2398</v>
      </c>
      <c r="G2956" s="19" t="s">
        <v>5319</v>
      </c>
      <c r="H2956" s="2" t="s">
        <v>694</v>
      </c>
      <c r="I2956" s="4">
        <v>0</v>
      </c>
      <c r="J2956" s="5">
        <v>710000000</v>
      </c>
      <c r="K2956" s="5" t="s">
        <v>89</v>
      </c>
      <c r="L2956" s="2" t="s">
        <v>1735</v>
      </c>
      <c r="M2956" s="6" t="s">
        <v>91</v>
      </c>
      <c r="N2956" s="7" t="s">
        <v>92</v>
      </c>
      <c r="O2956" s="7" t="s">
        <v>93</v>
      </c>
      <c r="P2956" s="3" t="s">
        <v>673</v>
      </c>
      <c r="Q2956" s="8" t="s">
        <v>3383</v>
      </c>
      <c r="R2956" s="7" t="s">
        <v>3384</v>
      </c>
      <c r="S2956" s="9">
        <v>7</v>
      </c>
      <c r="T2956" s="9">
        <v>446.4</v>
      </c>
      <c r="U2956" s="9">
        <f t="shared" ref="U2956" si="2028">T2956*S2956</f>
        <v>3124.7999999999997</v>
      </c>
      <c r="V2956" s="9">
        <f t="shared" ref="V2956" si="2029">U2956*1.12</f>
        <v>3499.7759999999998</v>
      </c>
      <c r="W2956" s="7"/>
      <c r="X2956" s="2">
        <v>2016</v>
      </c>
      <c r="Y2956" s="2"/>
    </row>
    <row r="2957" spans="1:25" s="11" customFormat="1" ht="89.25" customHeight="1" outlineLevel="1" x14ac:dyDescent="0.25">
      <c r="A2957" s="1"/>
      <c r="B2957" s="2" t="s">
        <v>7232</v>
      </c>
      <c r="C2957" s="3" t="s">
        <v>83</v>
      </c>
      <c r="D2957" s="3" t="s">
        <v>5320</v>
      </c>
      <c r="E2957" s="3" t="s">
        <v>5321</v>
      </c>
      <c r="F2957" s="3" t="s">
        <v>5252</v>
      </c>
      <c r="G2957" s="3" t="s">
        <v>5322</v>
      </c>
      <c r="H2957" s="2" t="s">
        <v>694</v>
      </c>
      <c r="I2957" s="4">
        <v>0</v>
      </c>
      <c r="J2957" s="5">
        <v>710000000</v>
      </c>
      <c r="K2957" s="5" t="s">
        <v>89</v>
      </c>
      <c r="L2957" s="2" t="s">
        <v>754</v>
      </c>
      <c r="M2957" s="6" t="s">
        <v>91</v>
      </c>
      <c r="N2957" s="7" t="s">
        <v>92</v>
      </c>
      <c r="O2957" s="7" t="s">
        <v>93</v>
      </c>
      <c r="P2957" s="3" t="s">
        <v>673</v>
      </c>
      <c r="Q2957" s="8" t="s">
        <v>3383</v>
      </c>
      <c r="R2957" s="7" t="s">
        <v>3384</v>
      </c>
      <c r="S2957" s="9">
        <v>40</v>
      </c>
      <c r="T2957" s="9">
        <v>58</v>
      </c>
      <c r="U2957" s="9">
        <v>0</v>
      </c>
      <c r="V2957" s="9">
        <f t="shared" si="2027"/>
        <v>0</v>
      </c>
      <c r="W2957" s="7"/>
      <c r="X2957" s="2">
        <v>2016</v>
      </c>
      <c r="Y2957" s="2" t="s">
        <v>8493</v>
      </c>
    </row>
    <row r="2958" spans="1:25" s="11" customFormat="1" ht="89.25" customHeight="1" outlineLevel="1" x14ac:dyDescent="0.25">
      <c r="A2958" s="1"/>
      <c r="B2958" s="2" t="s">
        <v>8854</v>
      </c>
      <c r="C2958" s="3" t="s">
        <v>83</v>
      </c>
      <c r="D2958" s="3" t="s">
        <v>5320</v>
      </c>
      <c r="E2958" s="3" t="s">
        <v>5321</v>
      </c>
      <c r="F2958" s="3" t="s">
        <v>5252</v>
      </c>
      <c r="G2958" s="3" t="s">
        <v>5322</v>
      </c>
      <c r="H2958" s="2" t="s">
        <v>694</v>
      </c>
      <c r="I2958" s="4">
        <v>0</v>
      </c>
      <c r="J2958" s="5">
        <v>710000000</v>
      </c>
      <c r="K2958" s="5" t="s">
        <v>89</v>
      </c>
      <c r="L2958" s="2" t="s">
        <v>1735</v>
      </c>
      <c r="M2958" s="6" t="s">
        <v>91</v>
      </c>
      <c r="N2958" s="7" t="s">
        <v>92</v>
      </c>
      <c r="O2958" s="7" t="s">
        <v>93</v>
      </c>
      <c r="P2958" s="3" t="s">
        <v>673</v>
      </c>
      <c r="Q2958" s="8" t="s">
        <v>3383</v>
      </c>
      <c r="R2958" s="7" t="s">
        <v>3384</v>
      </c>
      <c r="S2958" s="9">
        <v>40</v>
      </c>
      <c r="T2958" s="9">
        <v>62.5</v>
      </c>
      <c r="U2958" s="9">
        <f t="shared" ref="U2958" si="2030">T2958*S2958</f>
        <v>2500</v>
      </c>
      <c r="V2958" s="9">
        <f t="shared" ref="V2958" si="2031">U2958*1.12</f>
        <v>2800.0000000000005</v>
      </c>
      <c r="W2958" s="7"/>
      <c r="X2958" s="2">
        <v>2016</v>
      </c>
      <c r="Y2958" s="2"/>
    </row>
    <row r="2959" spans="1:25" s="11" customFormat="1" ht="89.25" customHeight="1" outlineLevel="1" x14ac:dyDescent="0.25">
      <c r="A2959" s="1"/>
      <c r="B2959" s="2" t="s">
        <v>7233</v>
      </c>
      <c r="C2959" s="3" t="s">
        <v>83</v>
      </c>
      <c r="D2959" s="3" t="s">
        <v>5323</v>
      </c>
      <c r="E2959" s="3" t="s">
        <v>5324</v>
      </c>
      <c r="F2959" s="3" t="s">
        <v>5290</v>
      </c>
      <c r="G2959" s="19" t="s">
        <v>5325</v>
      </c>
      <c r="H2959" s="2" t="s">
        <v>694</v>
      </c>
      <c r="I2959" s="4">
        <v>0</v>
      </c>
      <c r="J2959" s="5">
        <v>710000000</v>
      </c>
      <c r="K2959" s="5" t="s">
        <v>89</v>
      </c>
      <c r="L2959" s="2" t="s">
        <v>754</v>
      </c>
      <c r="M2959" s="6" t="s">
        <v>91</v>
      </c>
      <c r="N2959" s="7" t="s">
        <v>92</v>
      </c>
      <c r="O2959" s="7" t="s">
        <v>93</v>
      </c>
      <c r="P2959" s="3" t="s">
        <v>673</v>
      </c>
      <c r="Q2959" s="8" t="s">
        <v>3383</v>
      </c>
      <c r="R2959" s="7" t="s">
        <v>3384</v>
      </c>
      <c r="S2959" s="9">
        <v>4</v>
      </c>
      <c r="T2959" s="9">
        <v>71</v>
      </c>
      <c r="U2959" s="9">
        <v>0</v>
      </c>
      <c r="V2959" s="9">
        <f t="shared" si="2027"/>
        <v>0</v>
      </c>
      <c r="W2959" s="7"/>
      <c r="X2959" s="2">
        <v>2016</v>
      </c>
      <c r="Y2959" s="2" t="s">
        <v>8493</v>
      </c>
    </row>
    <row r="2960" spans="1:25" s="11" customFormat="1" ht="89.25" customHeight="1" outlineLevel="1" x14ac:dyDescent="0.25">
      <c r="A2960" s="1"/>
      <c r="B2960" s="2" t="s">
        <v>8600</v>
      </c>
      <c r="C2960" s="3" t="s">
        <v>83</v>
      </c>
      <c r="D2960" s="3" t="s">
        <v>5323</v>
      </c>
      <c r="E2960" s="3" t="s">
        <v>5324</v>
      </c>
      <c r="F2960" s="3" t="s">
        <v>5290</v>
      </c>
      <c r="G2960" s="19" t="s">
        <v>5325</v>
      </c>
      <c r="H2960" s="2" t="s">
        <v>694</v>
      </c>
      <c r="I2960" s="4">
        <v>0</v>
      </c>
      <c r="J2960" s="5">
        <v>710000000</v>
      </c>
      <c r="K2960" s="5" t="s">
        <v>89</v>
      </c>
      <c r="L2960" s="2" t="s">
        <v>1735</v>
      </c>
      <c r="M2960" s="6" t="s">
        <v>91</v>
      </c>
      <c r="N2960" s="7" t="s">
        <v>92</v>
      </c>
      <c r="O2960" s="7" t="s">
        <v>93</v>
      </c>
      <c r="P2960" s="3" t="s">
        <v>673</v>
      </c>
      <c r="Q2960" s="8" t="s">
        <v>3383</v>
      </c>
      <c r="R2960" s="7" t="s">
        <v>3384</v>
      </c>
      <c r="S2960" s="9">
        <v>4</v>
      </c>
      <c r="T2960" s="9">
        <v>89.3</v>
      </c>
      <c r="U2960" s="9">
        <f t="shared" ref="U2960" si="2032">T2960*S2960</f>
        <v>357.2</v>
      </c>
      <c r="V2960" s="9">
        <f t="shared" ref="V2960" si="2033">U2960*1.12</f>
        <v>400.06400000000002</v>
      </c>
      <c r="W2960" s="7"/>
      <c r="X2960" s="2">
        <v>2016</v>
      </c>
      <c r="Y2960" s="2"/>
    </row>
    <row r="2961" spans="1:25" s="11" customFormat="1" ht="89.25" customHeight="1" outlineLevel="1" x14ac:dyDescent="0.25">
      <c r="A2961" s="1"/>
      <c r="B2961" s="2" t="s">
        <v>7234</v>
      </c>
      <c r="C2961" s="3" t="s">
        <v>83</v>
      </c>
      <c r="D2961" s="3" t="s">
        <v>5326</v>
      </c>
      <c r="E2961" s="3" t="s">
        <v>5327</v>
      </c>
      <c r="F2961" s="3" t="s">
        <v>5328</v>
      </c>
      <c r="G2961" s="3" t="s">
        <v>5329</v>
      </c>
      <c r="H2961" s="2" t="s">
        <v>694</v>
      </c>
      <c r="I2961" s="4">
        <v>0</v>
      </c>
      <c r="J2961" s="5">
        <v>710000000</v>
      </c>
      <c r="K2961" s="5" t="s">
        <v>89</v>
      </c>
      <c r="L2961" s="2" t="s">
        <v>754</v>
      </c>
      <c r="M2961" s="6" t="s">
        <v>91</v>
      </c>
      <c r="N2961" s="7" t="s">
        <v>92</v>
      </c>
      <c r="O2961" s="7" t="s">
        <v>93</v>
      </c>
      <c r="P2961" s="3" t="s">
        <v>673</v>
      </c>
      <c r="Q2961" s="8" t="s">
        <v>522</v>
      </c>
      <c r="R2961" s="7" t="s">
        <v>523</v>
      </c>
      <c r="S2961" s="9">
        <v>6</v>
      </c>
      <c r="T2961" s="9">
        <v>714</v>
      </c>
      <c r="U2961" s="9">
        <v>0</v>
      </c>
      <c r="V2961" s="9">
        <f t="shared" si="2027"/>
        <v>0</v>
      </c>
      <c r="W2961" s="7"/>
      <c r="X2961" s="2">
        <v>2016</v>
      </c>
      <c r="Y2961" s="2" t="s">
        <v>8493</v>
      </c>
    </row>
    <row r="2962" spans="1:25" s="11" customFormat="1" ht="89.25" customHeight="1" outlineLevel="1" x14ac:dyDescent="0.25">
      <c r="A2962" s="1"/>
      <c r="B2962" s="2" t="s">
        <v>8601</v>
      </c>
      <c r="C2962" s="3" t="s">
        <v>83</v>
      </c>
      <c r="D2962" s="3" t="s">
        <v>5326</v>
      </c>
      <c r="E2962" s="3" t="s">
        <v>5327</v>
      </c>
      <c r="F2962" s="3" t="s">
        <v>5328</v>
      </c>
      <c r="G2962" s="3" t="s">
        <v>5329</v>
      </c>
      <c r="H2962" s="2" t="s">
        <v>694</v>
      </c>
      <c r="I2962" s="4">
        <v>0</v>
      </c>
      <c r="J2962" s="5">
        <v>710000000</v>
      </c>
      <c r="K2962" s="5" t="s">
        <v>89</v>
      </c>
      <c r="L2962" s="2" t="s">
        <v>1735</v>
      </c>
      <c r="M2962" s="6" t="s">
        <v>91</v>
      </c>
      <c r="N2962" s="7" t="s">
        <v>92</v>
      </c>
      <c r="O2962" s="7" t="s">
        <v>93</v>
      </c>
      <c r="P2962" s="3" t="s">
        <v>673</v>
      </c>
      <c r="Q2962" s="8" t="s">
        <v>522</v>
      </c>
      <c r="R2962" s="7" t="s">
        <v>523</v>
      </c>
      <c r="S2962" s="9">
        <v>6</v>
      </c>
      <c r="T2962" s="9">
        <v>1071.4000000000001</v>
      </c>
      <c r="U2962" s="9">
        <f t="shared" ref="U2962" si="2034">T2962*S2962</f>
        <v>6428.4000000000005</v>
      </c>
      <c r="V2962" s="9">
        <f t="shared" ref="V2962" si="2035">U2962*1.12</f>
        <v>7199.8080000000009</v>
      </c>
      <c r="W2962" s="7"/>
      <c r="X2962" s="2">
        <v>2016</v>
      </c>
      <c r="Y2962" s="2"/>
    </row>
    <row r="2963" spans="1:25" s="11" customFormat="1" ht="89.25" customHeight="1" outlineLevel="1" x14ac:dyDescent="0.25">
      <c r="A2963" s="1"/>
      <c r="B2963" s="2" t="s">
        <v>7235</v>
      </c>
      <c r="C2963" s="3" t="s">
        <v>83</v>
      </c>
      <c r="D2963" s="3" t="s">
        <v>5330</v>
      </c>
      <c r="E2963" s="3" t="s">
        <v>5331</v>
      </c>
      <c r="F2963" s="3" t="s">
        <v>5252</v>
      </c>
      <c r="G2963" s="19" t="s">
        <v>5332</v>
      </c>
      <c r="H2963" s="2" t="s">
        <v>694</v>
      </c>
      <c r="I2963" s="4">
        <v>0</v>
      </c>
      <c r="J2963" s="5">
        <v>710000000</v>
      </c>
      <c r="K2963" s="5" t="s">
        <v>89</v>
      </c>
      <c r="L2963" s="2" t="s">
        <v>754</v>
      </c>
      <c r="M2963" s="6" t="s">
        <v>91</v>
      </c>
      <c r="N2963" s="7" t="s">
        <v>92</v>
      </c>
      <c r="O2963" s="7" t="s">
        <v>93</v>
      </c>
      <c r="P2963" s="3" t="s">
        <v>673</v>
      </c>
      <c r="Q2963" s="8" t="s">
        <v>3383</v>
      </c>
      <c r="R2963" s="7" t="s">
        <v>3384</v>
      </c>
      <c r="S2963" s="9">
        <v>8</v>
      </c>
      <c r="T2963" s="9">
        <v>71</v>
      </c>
      <c r="U2963" s="9">
        <v>0</v>
      </c>
      <c r="V2963" s="9">
        <f t="shared" si="2027"/>
        <v>0</v>
      </c>
      <c r="W2963" s="7"/>
      <c r="X2963" s="2">
        <v>2016</v>
      </c>
      <c r="Y2963" s="2" t="s">
        <v>8493</v>
      </c>
    </row>
    <row r="2964" spans="1:25" s="11" customFormat="1" ht="89.25" customHeight="1" outlineLevel="1" x14ac:dyDescent="0.25">
      <c r="A2964" s="1"/>
      <c r="B2964" s="2" t="s">
        <v>8602</v>
      </c>
      <c r="C2964" s="3" t="s">
        <v>83</v>
      </c>
      <c r="D2964" s="3" t="s">
        <v>5330</v>
      </c>
      <c r="E2964" s="3" t="s">
        <v>5331</v>
      </c>
      <c r="F2964" s="3" t="s">
        <v>5252</v>
      </c>
      <c r="G2964" s="19" t="s">
        <v>5332</v>
      </c>
      <c r="H2964" s="2" t="s">
        <v>694</v>
      </c>
      <c r="I2964" s="4">
        <v>0</v>
      </c>
      <c r="J2964" s="5">
        <v>710000000</v>
      </c>
      <c r="K2964" s="5" t="s">
        <v>89</v>
      </c>
      <c r="L2964" s="2" t="s">
        <v>1735</v>
      </c>
      <c r="M2964" s="6" t="s">
        <v>91</v>
      </c>
      <c r="N2964" s="7" t="s">
        <v>92</v>
      </c>
      <c r="O2964" s="7" t="s">
        <v>93</v>
      </c>
      <c r="P2964" s="3" t="s">
        <v>673</v>
      </c>
      <c r="Q2964" s="8" t="s">
        <v>3383</v>
      </c>
      <c r="R2964" s="7" t="s">
        <v>3384</v>
      </c>
      <c r="S2964" s="9">
        <v>8</v>
      </c>
      <c r="T2964" s="9">
        <v>107.1</v>
      </c>
      <c r="U2964" s="9">
        <f t="shared" ref="U2964" si="2036">T2964*S2964</f>
        <v>856.8</v>
      </c>
      <c r="V2964" s="9">
        <f t="shared" ref="V2964" si="2037">U2964*1.12</f>
        <v>959.61599999999999</v>
      </c>
      <c r="W2964" s="7"/>
      <c r="X2964" s="2">
        <v>2016</v>
      </c>
      <c r="Y2964" s="2"/>
    </row>
    <row r="2965" spans="1:25" s="11" customFormat="1" ht="89.25" customHeight="1" outlineLevel="1" x14ac:dyDescent="0.25">
      <c r="A2965" s="1"/>
      <c r="B2965" s="2" t="s">
        <v>7236</v>
      </c>
      <c r="C2965" s="3" t="s">
        <v>83</v>
      </c>
      <c r="D2965" s="3" t="s">
        <v>5333</v>
      </c>
      <c r="E2965" s="3" t="s">
        <v>5334</v>
      </c>
      <c r="F2965" s="3" t="s">
        <v>5237</v>
      </c>
      <c r="G2965" s="3" t="s">
        <v>5256</v>
      </c>
      <c r="H2965" s="2" t="s">
        <v>694</v>
      </c>
      <c r="I2965" s="4">
        <v>0</v>
      </c>
      <c r="J2965" s="5">
        <v>710000000</v>
      </c>
      <c r="K2965" s="5" t="s">
        <v>89</v>
      </c>
      <c r="L2965" s="2" t="s">
        <v>754</v>
      </c>
      <c r="M2965" s="6" t="s">
        <v>91</v>
      </c>
      <c r="N2965" s="7" t="s">
        <v>92</v>
      </c>
      <c r="O2965" s="7" t="s">
        <v>93</v>
      </c>
      <c r="P2965" s="3" t="s">
        <v>673</v>
      </c>
      <c r="Q2965" s="8" t="s">
        <v>522</v>
      </c>
      <c r="R2965" s="7" t="s">
        <v>523</v>
      </c>
      <c r="S2965" s="9">
        <v>10</v>
      </c>
      <c r="T2965" s="9">
        <v>103</v>
      </c>
      <c r="U2965" s="9">
        <v>0</v>
      </c>
      <c r="V2965" s="9">
        <f t="shared" si="2027"/>
        <v>0</v>
      </c>
      <c r="W2965" s="7"/>
      <c r="X2965" s="2">
        <v>2016</v>
      </c>
      <c r="Y2965" s="2" t="s">
        <v>8493</v>
      </c>
    </row>
    <row r="2966" spans="1:25" s="11" customFormat="1" ht="89.25" customHeight="1" outlineLevel="1" x14ac:dyDescent="0.25">
      <c r="A2966" s="1"/>
      <c r="B2966" s="2" t="s">
        <v>8603</v>
      </c>
      <c r="C2966" s="3" t="s">
        <v>83</v>
      </c>
      <c r="D2966" s="3" t="s">
        <v>5333</v>
      </c>
      <c r="E2966" s="3" t="s">
        <v>5334</v>
      </c>
      <c r="F2966" s="3" t="s">
        <v>5237</v>
      </c>
      <c r="G2966" s="3" t="s">
        <v>5256</v>
      </c>
      <c r="H2966" s="2" t="s">
        <v>694</v>
      </c>
      <c r="I2966" s="4">
        <v>0</v>
      </c>
      <c r="J2966" s="5">
        <v>710000000</v>
      </c>
      <c r="K2966" s="5" t="s">
        <v>89</v>
      </c>
      <c r="L2966" s="2" t="s">
        <v>1735</v>
      </c>
      <c r="M2966" s="6" t="s">
        <v>91</v>
      </c>
      <c r="N2966" s="7" t="s">
        <v>92</v>
      </c>
      <c r="O2966" s="7" t="s">
        <v>93</v>
      </c>
      <c r="P2966" s="3" t="s">
        <v>673</v>
      </c>
      <c r="Q2966" s="8" t="s">
        <v>522</v>
      </c>
      <c r="R2966" s="7" t="s">
        <v>523</v>
      </c>
      <c r="S2966" s="9">
        <v>10</v>
      </c>
      <c r="T2966" s="9">
        <v>250</v>
      </c>
      <c r="U2966" s="9">
        <f t="shared" ref="U2966" si="2038">T2966*S2966</f>
        <v>2500</v>
      </c>
      <c r="V2966" s="9">
        <f t="shared" ref="V2966" si="2039">U2966*1.12</f>
        <v>2800.0000000000005</v>
      </c>
      <c r="W2966" s="7"/>
      <c r="X2966" s="2">
        <v>2016</v>
      </c>
      <c r="Y2966" s="2"/>
    </row>
    <row r="2967" spans="1:25" s="11" customFormat="1" ht="89.25" customHeight="1" outlineLevel="1" x14ac:dyDescent="0.25">
      <c r="A2967" s="1"/>
      <c r="B2967" s="2" t="s">
        <v>7237</v>
      </c>
      <c r="C2967" s="3" t="s">
        <v>83</v>
      </c>
      <c r="D2967" s="3" t="s">
        <v>5335</v>
      </c>
      <c r="E2967" s="3" t="s">
        <v>5336</v>
      </c>
      <c r="F2967" s="3" t="s">
        <v>5337</v>
      </c>
      <c r="G2967" s="19" t="s">
        <v>5338</v>
      </c>
      <c r="H2967" s="2" t="s">
        <v>694</v>
      </c>
      <c r="I2967" s="4">
        <v>0</v>
      </c>
      <c r="J2967" s="5">
        <v>710000000</v>
      </c>
      <c r="K2967" s="5" t="s">
        <v>89</v>
      </c>
      <c r="L2967" s="2" t="s">
        <v>754</v>
      </c>
      <c r="M2967" s="6" t="s">
        <v>91</v>
      </c>
      <c r="N2967" s="7" t="s">
        <v>92</v>
      </c>
      <c r="O2967" s="7" t="s">
        <v>93</v>
      </c>
      <c r="P2967" s="3" t="s">
        <v>673</v>
      </c>
      <c r="Q2967" s="8" t="s">
        <v>522</v>
      </c>
      <c r="R2967" s="7" t="s">
        <v>523</v>
      </c>
      <c r="S2967" s="9">
        <v>2</v>
      </c>
      <c r="T2967" s="9">
        <v>1741</v>
      </c>
      <c r="U2967" s="9">
        <v>0</v>
      </c>
      <c r="V2967" s="9">
        <f t="shared" si="2027"/>
        <v>0</v>
      </c>
      <c r="W2967" s="7"/>
      <c r="X2967" s="2">
        <v>2016</v>
      </c>
      <c r="Y2967" s="2" t="s">
        <v>8493</v>
      </c>
    </row>
    <row r="2968" spans="1:25" s="11" customFormat="1" ht="89.25" customHeight="1" outlineLevel="1" x14ac:dyDescent="0.25">
      <c r="A2968" s="1"/>
      <c r="B2968" s="2" t="s">
        <v>8604</v>
      </c>
      <c r="C2968" s="3" t="s">
        <v>83</v>
      </c>
      <c r="D2968" s="3" t="s">
        <v>5335</v>
      </c>
      <c r="E2968" s="3" t="s">
        <v>5336</v>
      </c>
      <c r="F2968" s="3" t="s">
        <v>5337</v>
      </c>
      <c r="G2968" s="19" t="s">
        <v>5338</v>
      </c>
      <c r="H2968" s="2" t="s">
        <v>694</v>
      </c>
      <c r="I2968" s="4">
        <v>0</v>
      </c>
      <c r="J2968" s="5">
        <v>710000000</v>
      </c>
      <c r="K2968" s="5" t="s">
        <v>89</v>
      </c>
      <c r="L2968" s="2" t="s">
        <v>1735</v>
      </c>
      <c r="M2968" s="6" t="s">
        <v>91</v>
      </c>
      <c r="N2968" s="7" t="s">
        <v>92</v>
      </c>
      <c r="O2968" s="7" t="s">
        <v>93</v>
      </c>
      <c r="P2968" s="3" t="s">
        <v>673</v>
      </c>
      <c r="Q2968" s="8" t="s">
        <v>522</v>
      </c>
      <c r="R2968" s="7" t="s">
        <v>523</v>
      </c>
      <c r="S2968" s="9">
        <v>2</v>
      </c>
      <c r="T2968" s="9">
        <v>1928</v>
      </c>
      <c r="U2968" s="9">
        <f t="shared" ref="U2968" si="2040">T2968*S2968</f>
        <v>3856</v>
      </c>
      <c r="V2968" s="9">
        <f t="shared" ref="V2968" si="2041">U2968*1.12</f>
        <v>4318.72</v>
      </c>
      <c r="W2968" s="7"/>
      <c r="X2968" s="2">
        <v>2016</v>
      </c>
      <c r="Y2968" s="2"/>
    </row>
    <row r="2969" spans="1:25" s="11" customFormat="1" ht="89.25" customHeight="1" outlineLevel="1" x14ac:dyDescent="0.25">
      <c r="A2969" s="1"/>
      <c r="B2969" s="2" t="s">
        <v>7238</v>
      </c>
      <c r="C2969" s="3" t="s">
        <v>83</v>
      </c>
      <c r="D2969" s="3" t="s">
        <v>5339</v>
      </c>
      <c r="E2969" s="3" t="s">
        <v>5340</v>
      </c>
      <c r="F2969" s="3" t="s">
        <v>5270</v>
      </c>
      <c r="G2969" s="19"/>
      <c r="H2969" s="2" t="s">
        <v>694</v>
      </c>
      <c r="I2969" s="4">
        <v>0</v>
      </c>
      <c r="J2969" s="5">
        <v>710000000</v>
      </c>
      <c r="K2969" s="5" t="s">
        <v>89</v>
      </c>
      <c r="L2969" s="2" t="s">
        <v>754</v>
      </c>
      <c r="M2969" s="6" t="s">
        <v>91</v>
      </c>
      <c r="N2969" s="7" t="s">
        <v>92</v>
      </c>
      <c r="O2969" s="7" t="s">
        <v>93</v>
      </c>
      <c r="P2969" s="3" t="s">
        <v>673</v>
      </c>
      <c r="Q2969" s="8" t="s">
        <v>522</v>
      </c>
      <c r="R2969" s="7" t="s">
        <v>523</v>
      </c>
      <c r="S2969" s="9">
        <v>9</v>
      </c>
      <c r="T2969" s="9">
        <v>71</v>
      </c>
      <c r="U2969" s="9">
        <v>0</v>
      </c>
      <c r="V2969" s="9">
        <f t="shared" si="2027"/>
        <v>0</v>
      </c>
      <c r="W2969" s="7"/>
      <c r="X2969" s="2">
        <v>2016</v>
      </c>
      <c r="Y2969" s="2" t="s">
        <v>8493</v>
      </c>
    </row>
    <row r="2970" spans="1:25" s="11" customFormat="1" ht="89.25" customHeight="1" outlineLevel="1" x14ac:dyDescent="0.25">
      <c r="A2970" s="1"/>
      <c r="B2970" s="2" t="s">
        <v>8693</v>
      </c>
      <c r="C2970" s="3" t="s">
        <v>83</v>
      </c>
      <c r="D2970" s="3" t="s">
        <v>5339</v>
      </c>
      <c r="E2970" s="3" t="s">
        <v>5340</v>
      </c>
      <c r="F2970" s="3" t="s">
        <v>5270</v>
      </c>
      <c r="G2970" s="19"/>
      <c r="H2970" s="2" t="s">
        <v>694</v>
      </c>
      <c r="I2970" s="4">
        <v>0</v>
      </c>
      <c r="J2970" s="5">
        <v>710000000</v>
      </c>
      <c r="K2970" s="5" t="s">
        <v>89</v>
      </c>
      <c r="L2970" s="2" t="s">
        <v>1735</v>
      </c>
      <c r="M2970" s="6" t="s">
        <v>91</v>
      </c>
      <c r="N2970" s="7" t="s">
        <v>92</v>
      </c>
      <c r="O2970" s="7" t="s">
        <v>93</v>
      </c>
      <c r="P2970" s="3" t="s">
        <v>673</v>
      </c>
      <c r="Q2970" s="8" t="s">
        <v>522</v>
      </c>
      <c r="R2970" s="7" t="s">
        <v>523</v>
      </c>
      <c r="S2970" s="9">
        <v>9</v>
      </c>
      <c r="T2970" s="9">
        <v>98.2</v>
      </c>
      <c r="U2970" s="9">
        <f t="shared" ref="U2970" si="2042">T2970*S2970</f>
        <v>883.80000000000007</v>
      </c>
      <c r="V2970" s="9">
        <f t="shared" ref="V2970" si="2043">U2970*1.12</f>
        <v>989.85600000000022</v>
      </c>
      <c r="W2970" s="7"/>
      <c r="X2970" s="2">
        <v>2016</v>
      </c>
      <c r="Y2970" s="2"/>
    </row>
    <row r="2971" spans="1:25" s="11" customFormat="1" ht="89.25" customHeight="1" outlineLevel="1" x14ac:dyDescent="0.25">
      <c r="A2971" s="1"/>
      <c r="B2971" s="2" t="s">
        <v>7239</v>
      </c>
      <c r="C2971" s="3" t="s">
        <v>83</v>
      </c>
      <c r="D2971" s="3" t="s">
        <v>5341</v>
      </c>
      <c r="E2971" s="3" t="s">
        <v>5342</v>
      </c>
      <c r="F2971" s="3" t="s">
        <v>5252</v>
      </c>
      <c r="G2971" s="3" t="s">
        <v>5245</v>
      </c>
      <c r="H2971" s="2" t="s">
        <v>694</v>
      </c>
      <c r="I2971" s="4">
        <v>0</v>
      </c>
      <c r="J2971" s="5">
        <v>710000000</v>
      </c>
      <c r="K2971" s="5" t="s">
        <v>89</v>
      </c>
      <c r="L2971" s="2" t="s">
        <v>754</v>
      </c>
      <c r="M2971" s="6" t="s">
        <v>91</v>
      </c>
      <c r="N2971" s="7" t="s">
        <v>92</v>
      </c>
      <c r="O2971" s="7" t="s">
        <v>93</v>
      </c>
      <c r="P2971" s="3" t="s">
        <v>673</v>
      </c>
      <c r="Q2971" s="8" t="s">
        <v>522</v>
      </c>
      <c r="R2971" s="7" t="s">
        <v>523</v>
      </c>
      <c r="S2971" s="9">
        <v>5</v>
      </c>
      <c r="T2971" s="9">
        <v>346</v>
      </c>
      <c r="U2971" s="9">
        <v>0</v>
      </c>
      <c r="V2971" s="9">
        <f t="shared" si="2027"/>
        <v>0</v>
      </c>
      <c r="W2971" s="7"/>
      <c r="X2971" s="2">
        <v>2016</v>
      </c>
      <c r="Y2971" s="2" t="s">
        <v>8493</v>
      </c>
    </row>
    <row r="2972" spans="1:25" s="11" customFormat="1" ht="89.25" customHeight="1" outlineLevel="1" x14ac:dyDescent="0.25">
      <c r="A2972" s="1"/>
      <c r="B2972" s="2" t="s">
        <v>8605</v>
      </c>
      <c r="C2972" s="3" t="s">
        <v>83</v>
      </c>
      <c r="D2972" s="3" t="s">
        <v>5341</v>
      </c>
      <c r="E2972" s="3" t="s">
        <v>5342</v>
      </c>
      <c r="F2972" s="3" t="s">
        <v>5252</v>
      </c>
      <c r="G2972" s="3" t="s">
        <v>5245</v>
      </c>
      <c r="H2972" s="2" t="s">
        <v>694</v>
      </c>
      <c r="I2972" s="4">
        <v>0</v>
      </c>
      <c r="J2972" s="5">
        <v>710000000</v>
      </c>
      <c r="K2972" s="5" t="s">
        <v>89</v>
      </c>
      <c r="L2972" s="2" t="s">
        <v>1735</v>
      </c>
      <c r="M2972" s="6" t="s">
        <v>91</v>
      </c>
      <c r="N2972" s="7" t="s">
        <v>92</v>
      </c>
      <c r="O2972" s="7" t="s">
        <v>93</v>
      </c>
      <c r="P2972" s="3" t="s">
        <v>673</v>
      </c>
      <c r="Q2972" s="8" t="s">
        <v>522</v>
      </c>
      <c r="R2972" s="7" t="s">
        <v>523</v>
      </c>
      <c r="S2972" s="9">
        <v>5</v>
      </c>
      <c r="T2972" s="9">
        <v>473.2</v>
      </c>
      <c r="U2972" s="9">
        <f t="shared" ref="U2972" si="2044">T2972*S2972</f>
        <v>2366</v>
      </c>
      <c r="V2972" s="9">
        <f t="shared" ref="V2972" si="2045">U2972*1.12</f>
        <v>2649.92</v>
      </c>
      <c r="W2972" s="7"/>
      <c r="X2972" s="2">
        <v>2016</v>
      </c>
      <c r="Y2972" s="2"/>
    </row>
    <row r="2973" spans="1:25" s="11" customFormat="1" ht="89.25" customHeight="1" outlineLevel="1" x14ac:dyDescent="0.25">
      <c r="A2973" s="1"/>
      <c r="B2973" s="2" t="s">
        <v>7240</v>
      </c>
      <c r="C2973" s="3" t="s">
        <v>83</v>
      </c>
      <c r="D2973" s="3" t="s">
        <v>5343</v>
      </c>
      <c r="E2973" s="3" t="s">
        <v>5344</v>
      </c>
      <c r="F2973" s="3" t="s">
        <v>5252</v>
      </c>
      <c r="G2973" s="3" t="s">
        <v>5345</v>
      </c>
      <c r="H2973" s="2" t="s">
        <v>694</v>
      </c>
      <c r="I2973" s="4">
        <v>0</v>
      </c>
      <c r="J2973" s="5">
        <v>710000000</v>
      </c>
      <c r="K2973" s="5" t="s">
        <v>89</v>
      </c>
      <c r="L2973" s="2" t="s">
        <v>754</v>
      </c>
      <c r="M2973" s="6" t="s">
        <v>91</v>
      </c>
      <c r="N2973" s="7" t="s">
        <v>92</v>
      </c>
      <c r="O2973" s="7" t="s">
        <v>93</v>
      </c>
      <c r="P2973" s="3" t="s">
        <v>673</v>
      </c>
      <c r="Q2973" s="8" t="s">
        <v>3383</v>
      </c>
      <c r="R2973" s="7" t="s">
        <v>3384</v>
      </c>
      <c r="S2973" s="9">
        <v>25</v>
      </c>
      <c r="T2973" s="9">
        <v>54</v>
      </c>
      <c r="U2973" s="9">
        <v>0</v>
      </c>
      <c r="V2973" s="9">
        <f t="shared" si="2027"/>
        <v>0</v>
      </c>
      <c r="W2973" s="7"/>
      <c r="X2973" s="2">
        <v>2016</v>
      </c>
      <c r="Y2973" s="2" t="s">
        <v>8493</v>
      </c>
    </row>
    <row r="2974" spans="1:25" s="11" customFormat="1" ht="89.25" customHeight="1" outlineLevel="1" x14ac:dyDescent="0.25">
      <c r="A2974" s="1"/>
      <c r="B2974" s="2" t="s">
        <v>8606</v>
      </c>
      <c r="C2974" s="3" t="s">
        <v>83</v>
      </c>
      <c r="D2974" s="3" t="s">
        <v>5343</v>
      </c>
      <c r="E2974" s="3" t="s">
        <v>5344</v>
      </c>
      <c r="F2974" s="3" t="s">
        <v>5252</v>
      </c>
      <c r="G2974" s="3" t="s">
        <v>5345</v>
      </c>
      <c r="H2974" s="2" t="s">
        <v>694</v>
      </c>
      <c r="I2974" s="4">
        <v>0</v>
      </c>
      <c r="J2974" s="5">
        <v>710000000</v>
      </c>
      <c r="K2974" s="5" t="s">
        <v>89</v>
      </c>
      <c r="L2974" s="2" t="s">
        <v>1735</v>
      </c>
      <c r="M2974" s="6" t="s">
        <v>91</v>
      </c>
      <c r="N2974" s="7" t="s">
        <v>92</v>
      </c>
      <c r="O2974" s="7" t="s">
        <v>93</v>
      </c>
      <c r="P2974" s="3" t="s">
        <v>673</v>
      </c>
      <c r="Q2974" s="8" t="s">
        <v>3383</v>
      </c>
      <c r="R2974" s="7" t="s">
        <v>3384</v>
      </c>
      <c r="S2974" s="9">
        <v>25</v>
      </c>
      <c r="T2974" s="9">
        <v>75.900000000000006</v>
      </c>
      <c r="U2974" s="9">
        <f t="shared" ref="U2974" si="2046">T2974*S2974</f>
        <v>1897.5000000000002</v>
      </c>
      <c r="V2974" s="9">
        <f t="shared" ref="V2974" si="2047">U2974*1.12</f>
        <v>2125.2000000000003</v>
      </c>
      <c r="W2974" s="7"/>
      <c r="X2974" s="2">
        <v>2016</v>
      </c>
      <c r="Y2974" s="2"/>
    </row>
    <row r="2975" spans="1:25" s="11" customFormat="1" ht="89.25" customHeight="1" outlineLevel="1" x14ac:dyDescent="0.25">
      <c r="A2975" s="1"/>
      <c r="B2975" s="2" t="s">
        <v>7241</v>
      </c>
      <c r="C2975" s="3" t="s">
        <v>83</v>
      </c>
      <c r="D2975" s="3" t="s">
        <v>5346</v>
      </c>
      <c r="E2975" s="3" t="s">
        <v>5347</v>
      </c>
      <c r="F2975" s="3" t="s">
        <v>5252</v>
      </c>
      <c r="G2975" s="3" t="s">
        <v>5348</v>
      </c>
      <c r="H2975" s="2" t="s">
        <v>694</v>
      </c>
      <c r="I2975" s="4">
        <v>0</v>
      </c>
      <c r="J2975" s="5">
        <v>710000000</v>
      </c>
      <c r="K2975" s="5" t="s">
        <v>89</v>
      </c>
      <c r="L2975" s="2" t="s">
        <v>754</v>
      </c>
      <c r="M2975" s="6" t="s">
        <v>91</v>
      </c>
      <c r="N2975" s="7" t="s">
        <v>92</v>
      </c>
      <c r="O2975" s="7" t="s">
        <v>93</v>
      </c>
      <c r="P2975" s="3" t="s">
        <v>673</v>
      </c>
      <c r="Q2975" s="8" t="s">
        <v>522</v>
      </c>
      <c r="R2975" s="7" t="s">
        <v>523</v>
      </c>
      <c r="S2975" s="9">
        <v>2</v>
      </c>
      <c r="T2975" s="9">
        <v>267.89999999999998</v>
      </c>
      <c r="U2975" s="9">
        <v>0</v>
      </c>
      <c r="V2975" s="9">
        <f t="shared" si="2027"/>
        <v>0</v>
      </c>
      <c r="W2975" s="7"/>
      <c r="X2975" s="2">
        <v>2016</v>
      </c>
      <c r="Y2975" s="2" t="s">
        <v>8493</v>
      </c>
    </row>
    <row r="2976" spans="1:25" s="11" customFormat="1" ht="89.25" customHeight="1" outlineLevel="1" x14ac:dyDescent="0.25">
      <c r="A2976" s="1"/>
      <c r="B2976" s="2" t="s">
        <v>8607</v>
      </c>
      <c r="C2976" s="3" t="s">
        <v>83</v>
      </c>
      <c r="D2976" s="3" t="s">
        <v>5346</v>
      </c>
      <c r="E2976" s="3" t="s">
        <v>5347</v>
      </c>
      <c r="F2976" s="3" t="s">
        <v>5252</v>
      </c>
      <c r="G2976" s="3" t="s">
        <v>5348</v>
      </c>
      <c r="H2976" s="2" t="s">
        <v>694</v>
      </c>
      <c r="I2976" s="4">
        <v>0</v>
      </c>
      <c r="J2976" s="5">
        <v>710000000</v>
      </c>
      <c r="K2976" s="5" t="s">
        <v>89</v>
      </c>
      <c r="L2976" s="2" t="s">
        <v>1735</v>
      </c>
      <c r="M2976" s="6" t="s">
        <v>91</v>
      </c>
      <c r="N2976" s="7" t="s">
        <v>92</v>
      </c>
      <c r="O2976" s="7" t="s">
        <v>93</v>
      </c>
      <c r="P2976" s="3" t="s">
        <v>673</v>
      </c>
      <c r="Q2976" s="8" t="s">
        <v>522</v>
      </c>
      <c r="R2976" s="7" t="s">
        <v>523</v>
      </c>
      <c r="S2976" s="9">
        <v>2</v>
      </c>
      <c r="T2976" s="9">
        <v>205</v>
      </c>
      <c r="U2976" s="9">
        <f t="shared" ref="U2976" si="2048">T2976*S2976</f>
        <v>410</v>
      </c>
      <c r="V2976" s="9">
        <f t="shared" ref="V2976" si="2049">U2976*1.12</f>
        <v>459.20000000000005</v>
      </c>
      <c r="W2976" s="7"/>
      <c r="X2976" s="2">
        <v>2016</v>
      </c>
      <c r="Y2976" s="2"/>
    </row>
    <row r="2977" spans="1:25" s="11" customFormat="1" ht="89.25" customHeight="1" outlineLevel="1" x14ac:dyDescent="0.25">
      <c r="A2977" s="1"/>
      <c r="B2977" s="2" t="s">
        <v>7242</v>
      </c>
      <c r="C2977" s="3" t="s">
        <v>83</v>
      </c>
      <c r="D2977" s="3" t="s">
        <v>5349</v>
      </c>
      <c r="E2977" s="3" t="s">
        <v>5350</v>
      </c>
      <c r="F2977" s="3" t="s">
        <v>5237</v>
      </c>
      <c r="G2977" s="19"/>
      <c r="H2977" s="2" t="s">
        <v>694</v>
      </c>
      <c r="I2977" s="4">
        <v>0</v>
      </c>
      <c r="J2977" s="5">
        <v>710000000</v>
      </c>
      <c r="K2977" s="5" t="s">
        <v>89</v>
      </c>
      <c r="L2977" s="2" t="s">
        <v>754</v>
      </c>
      <c r="M2977" s="6" t="s">
        <v>91</v>
      </c>
      <c r="N2977" s="7" t="s">
        <v>92</v>
      </c>
      <c r="O2977" s="7" t="s">
        <v>93</v>
      </c>
      <c r="P2977" s="3" t="s">
        <v>673</v>
      </c>
      <c r="Q2977" s="8" t="s">
        <v>522</v>
      </c>
      <c r="R2977" s="7" t="s">
        <v>523</v>
      </c>
      <c r="S2977" s="9">
        <v>5</v>
      </c>
      <c r="T2977" s="9">
        <v>455</v>
      </c>
      <c r="U2977" s="9">
        <v>0</v>
      </c>
      <c r="V2977" s="9">
        <f t="shared" si="2027"/>
        <v>0</v>
      </c>
      <c r="W2977" s="7"/>
      <c r="X2977" s="2">
        <v>2016</v>
      </c>
      <c r="Y2977" s="2" t="s">
        <v>8493</v>
      </c>
    </row>
    <row r="2978" spans="1:25" s="11" customFormat="1" ht="89.25" customHeight="1" outlineLevel="1" x14ac:dyDescent="0.25">
      <c r="A2978" s="1"/>
      <c r="B2978" s="2" t="s">
        <v>8608</v>
      </c>
      <c r="C2978" s="3" t="s">
        <v>83</v>
      </c>
      <c r="D2978" s="3" t="s">
        <v>5349</v>
      </c>
      <c r="E2978" s="3" t="s">
        <v>5350</v>
      </c>
      <c r="F2978" s="3" t="s">
        <v>5237</v>
      </c>
      <c r="G2978" s="19"/>
      <c r="H2978" s="2" t="s">
        <v>694</v>
      </c>
      <c r="I2978" s="4">
        <v>0</v>
      </c>
      <c r="J2978" s="5">
        <v>710000000</v>
      </c>
      <c r="K2978" s="5" t="s">
        <v>89</v>
      </c>
      <c r="L2978" s="2" t="s">
        <v>1735</v>
      </c>
      <c r="M2978" s="6" t="s">
        <v>91</v>
      </c>
      <c r="N2978" s="7" t="s">
        <v>92</v>
      </c>
      <c r="O2978" s="7" t="s">
        <v>93</v>
      </c>
      <c r="P2978" s="3" t="s">
        <v>673</v>
      </c>
      <c r="Q2978" s="8" t="s">
        <v>522</v>
      </c>
      <c r="R2978" s="7" t="s">
        <v>523</v>
      </c>
      <c r="S2978" s="9">
        <v>5</v>
      </c>
      <c r="T2978" s="9">
        <v>553.6</v>
      </c>
      <c r="U2978" s="9">
        <f t="shared" ref="U2978" si="2050">T2978*S2978</f>
        <v>2768</v>
      </c>
      <c r="V2978" s="9">
        <f t="shared" ref="V2978" si="2051">U2978*1.12</f>
        <v>3100.1600000000003</v>
      </c>
      <c r="W2978" s="7"/>
      <c r="X2978" s="2">
        <v>2016</v>
      </c>
      <c r="Y2978" s="2"/>
    </row>
    <row r="2979" spans="1:25" s="11" customFormat="1" ht="89.25" customHeight="1" outlineLevel="1" x14ac:dyDescent="0.25">
      <c r="A2979" s="1"/>
      <c r="B2979" s="2" t="s">
        <v>7243</v>
      </c>
      <c r="C2979" s="3" t="s">
        <v>83</v>
      </c>
      <c r="D2979" s="3" t="s">
        <v>5351</v>
      </c>
      <c r="E2979" s="3" t="s">
        <v>121</v>
      </c>
      <c r="F2979" s="3" t="s">
        <v>5352</v>
      </c>
      <c r="G2979" s="19" t="s">
        <v>5313</v>
      </c>
      <c r="H2979" s="2" t="s">
        <v>694</v>
      </c>
      <c r="I2979" s="4">
        <v>0</v>
      </c>
      <c r="J2979" s="5">
        <v>710000000</v>
      </c>
      <c r="K2979" s="5" t="s">
        <v>89</v>
      </c>
      <c r="L2979" s="2" t="s">
        <v>754</v>
      </c>
      <c r="M2979" s="6" t="s">
        <v>91</v>
      </c>
      <c r="N2979" s="7" t="s">
        <v>92</v>
      </c>
      <c r="O2979" s="7" t="s">
        <v>93</v>
      </c>
      <c r="P2979" s="3" t="s">
        <v>673</v>
      </c>
      <c r="Q2979" s="8" t="s">
        <v>3383</v>
      </c>
      <c r="R2979" s="7" t="s">
        <v>3384</v>
      </c>
      <c r="S2979" s="9">
        <v>12</v>
      </c>
      <c r="T2979" s="9">
        <v>758</v>
      </c>
      <c r="U2979" s="9">
        <v>0</v>
      </c>
      <c r="V2979" s="9">
        <f t="shared" si="2027"/>
        <v>0</v>
      </c>
      <c r="W2979" s="7"/>
      <c r="X2979" s="2">
        <v>2016</v>
      </c>
      <c r="Y2979" s="2" t="s">
        <v>8493</v>
      </c>
    </row>
    <row r="2980" spans="1:25" s="11" customFormat="1" ht="89.25" customHeight="1" outlineLevel="1" x14ac:dyDescent="0.25">
      <c r="A2980" s="1"/>
      <c r="B2980" s="2" t="s">
        <v>8609</v>
      </c>
      <c r="C2980" s="3" t="s">
        <v>83</v>
      </c>
      <c r="D2980" s="3" t="s">
        <v>5351</v>
      </c>
      <c r="E2980" s="3" t="s">
        <v>121</v>
      </c>
      <c r="F2980" s="3" t="s">
        <v>5352</v>
      </c>
      <c r="G2980" s="19" t="s">
        <v>5313</v>
      </c>
      <c r="H2980" s="2" t="s">
        <v>694</v>
      </c>
      <c r="I2980" s="4">
        <v>0</v>
      </c>
      <c r="J2980" s="5">
        <v>710000000</v>
      </c>
      <c r="K2980" s="5" t="s">
        <v>89</v>
      </c>
      <c r="L2980" s="2" t="s">
        <v>1735</v>
      </c>
      <c r="M2980" s="6" t="s">
        <v>91</v>
      </c>
      <c r="N2980" s="7" t="s">
        <v>92</v>
      </c>
      <c r="O2980" s="7" t="s">
        <v>93</v>
      </c>
      <c r="P2980" s="3" t="s">
        <v>673</v>
      </c>
      <c r="Q2980" s="8" t="s">
        <v>3383</v>
      </c>
      <c r="R2980" s="7" t="s">
        <v>3384</v>
      </c>
      <c r="S2980" s="9">
        <v>12</v>
      </c>
      <c r="T2980" s="9">
        <v>875</v>
      </c>
      <c r="U2980" s="9">
        <f t="shared" ref="U2980" si="2052">T2980*S2980</f>
        <v>10500</v>
      </c>
      <c r="V2980" s="9">
        <f t="shared" ref="V2980" si="2053">U2980*1.12</f>
        <v>11760.000000000002</v>
      </c>
      <c r="W2980" s="7"/>
      <c r="X2980" s="2">
        <v>2016</v>
      </c>
      <c r="Y2980" s="2"/>
    </row>
    <row r="2981" spans="1:25" s="11" customFormat="1" ht="89.25" customHeight="1" outlineLevel="1" x14ac:dyDescent="0.25">
      <c r="A2981" s="1"/>
      <c r="B2981" s="2" t="s">
        <v>7244</v>
      </c>
      <c r="C2981" s="3" t="s">
        <v>83</v>
      </c>
      <c r="D2981" s="3" t="s">
        <v>5353</v>
      </c>
      <c r="E2981" s="3" t="s">
        <v>5354</v>
      </c>
      <c r="F2981" s="3" t="s">
        <v>5252</v>
      </c>
      <c r="G2981" s="19" t="s">
        <v>5355</v>
      </c>
      <c r="H2981" s="2" t="s">
        <v>694</v>
      </c>
      <c r="I2981" s="4">
        <v>0</v>
      </c>
      <c r="J2981" s="5">
        <v>710000000</v>
      </c>
      <c r="K2981" s="5" t="s">
        <v>89</v>
      </c>
      <c r="L2981" s="2" t="s">
        <v>754</v>
      </c>
      <c r="M2981" s="6" t="s">
        <v>91</v>
      </c>
      <c r="N2981" s="7" t="s">
        <v>92</v>
      </c>
      <c r="O2981" s="7" t="s">
        <v>93</v>
      </c>
      <c r="P2981" s="3" t="s">
        <v>673</v>
      </c>
      <c r="Q2981" s="8" t="s">
        <v>3383</v>
      </c>
      <c r="R2981" s="7" t="s">
        <v>3384</v>
      </c>
      <c r="S2981" s="9">
        <v>10</v>
      </c>
      <c r="T2981" s="9">
        <v>71</v>
      </c>
      <c r="U2981" s="9">
        <v>0</v>
      </c>
      <c r="V2981" s="9">
        <f t="shared" si="2027"/>
        <v>0</v>
      </c>
      <c r="W2981" s="7"/>
      <c r="X2981" s="2">
        <v>2016</v>
      </c>
      <c r="Y2981" s="2" t="s">
        <v>8493</v>
      </c>
    </row>
    <row r="2982" spans="1:25" s="11" customFormat="1" ht="89.25" customHeight="1" outlineLevel="1" x14ac:dyDescent="0.25">
      <c r="A2982" s="1"/>
      <c r="B2982" s="2" t="s">
        <v>8610</v>
      </c>
      <c r="C2982" s="3" t="s">
        <v>83</v>
      </c>
      <c r="D2982" s="3" t="s">
        <v>5353</v>
      </c>
      <c r="E2982" s="3" t="s">
        <v>5354</v>
      </c>
      <c r="F2982" s="3" t="s">
        <v>5252</v>
      </c>
      <c r="G2982" s="19" t="s">
        <v>5355</v>
      </c>
      <c r="H2982" s="2" t="s">
        <v>694</v>
      </c>
      <c r="I2982" s="4">
        <v>0</v>
      </c>
      <c r="J2982" s="5">
        <v>710000000</v>
      </c>
      <c r="K2982" s="5" t="s">
        <v>89</v>
      </c>
      <c r="L2982" s="2" t="s">
        <v>1735</v>
      </c>
      <c r="M2982" s="6" t="s">
        <v>91</v>
      </c>
      <c r="N2982" s="7" t="s">
        <v>92</v>
      </c>
      <c r="O2982" s="7" t="s">
        <v>93</v>
      </c>
      <c r="P2982" s="3" t="s">
        <v>673</v>
      </c>
      <c r="Q2982" s="8" t="s">
        <v>3383</v>
      </c>
      <c r="R2982" s="7" t="s">
        <v>3384</v>
      </c>
      <c r="S2982" s="9">
        <v>10</v>
      </c>
      <c r="T2982" s="9">
        <v>89.3</v>
      </c>
      <c r="U2982" s="9">
        <f t="shared" ref="U2982" si="2054">T2982*S2982</f>
        <v>893</v>
      </c>
      <c r="V2982" s="9">
        <f t="shared" ref="V2982" si="2055">U2982*1.12</f>
        <v>1000.1600000000001</v>
      </c>
      <c r="W2982" s="7"/>
      <c r="X2982" s="2">
        <v>2016</v>
      </c>
      <c r="Y2982" s="2"/>
    </row>
    <row r="2983" spans="1:25" s="11" customFormat="1" ht="89.25" customHeight="1" outlineLevel="1" x14ac:dyDescent="0.25">
      <c r="A2983" s="1"/>
      <c r="B2983" s="2" t="s">
        <v>7245</v>
      </c>
      <c r="C2983" s="3" t="s">
        <v>83</v>
      </c>
      <c r="D2983" s="3" t="s">
        <v>5246</v>
      </c>
      <c r="E2983" s="3" t="s">
        <v>5247</v>
      </c>
      <c r="F2983" s="3" t="s">
        <v>5248</v>
      </c>
      <c r="G2983" s="19" t="s">
        <v>5356</v>
      </c>
      <c r="H2983" s="2" t="s">
        <v>694</v>
      </c>
      <c r="I2983" s="4">
        <v>0</v>
      </c>
      <c r="J2983" s="5">
        <v>710000000</v>
      </c>
      <c r="K2983" s="5" t="s">
        <v>89</v>
      </c>
      <c r="L2983" s="2" t="s">
        <v>754</v>
      </c>
      <c r="M2983" s="6" t="s">
        <v>91</v>
      </c>
      <c r="N2983" s="7" t="s">
        <v>92</v>
      </c>
      <c r="O2983" s="7" t="s">
        <v>93</v>
      </c>
      <c r="P2983" s="3" t="s">
        <v>673</v>
      </c>
      <c r="Q2983" s="8" t="s">
        <v>3383</v>
      </c>
      <c r="R2983" s="7" t="s">
        <v>3384</v>
      </c>
      <c r="S2983" s="9">
        <v>2</v>
      </c>
      <c r="T2983" s="9">
        <v>964</v>
      </c>
      <c r="U2983" s="9">
        <v>0</v>
      </c>
      <c r="V2983" s="9">
        <f t="shared" si="2027"/>
        <v>0</v>
      </c>
      <c r="W2983" s="7"/>
      <c r="X2983" s="2">
        <v>2016</v>
      </c>
      <c r="Y2983" s="2" t="s">
        <v>8493</v>
      </c>
    </row>
    <row r="2984" spans="1:25" s="11" customFormat="1" ht="89.25" customHeight="1" outlineLevel="1" x14ac:dyDescent="0.25">
      <c r="A2984" s="1"/>
      <c r="B2984" s="2" t="s">
        <v>8611</v>
      </c>
      <c r="C2984" s="3" t="s">
        <v>83</v>
      </c>
      <c r="D2984" s="3" t="s">
        <v>5246</v>
      </c>
      <c r="E2984" s="3" t="s">
        <v>5247</v>
      </c>
      <c r="F2984" s="3" t="s">
        <v>5248</v>
      </c>
      <c r="G2984" s="19" t="s">
        <v>5356</v>
      </c>
      <c r="H2984" s="2" t="s">
        <v>694</v>
      </c>
      <c r="I2984" s="4">
        <v>0</v>
      </c>
      <c r="J2984" s="5">
        <v>710000000</v>
      </c>
      <c r="K2984" s="5" t="s">
        <v>89</v>
      </c>
      <c r="L2984" s="2" t="s">
        <v>1735</v>
      </c>
      <c r="M2984" s="6" t="s">
        <v>91</v>
      </c>
      <c r="N2984" s="7" t="s">
        <v>92</v>
      </c>
      <c r="O2984" s="7" t="s">
        <v>93</v>
      </c>
      <c r="P2984" s="3" t="s">
        <v>673</v>
      </c>
      <c r="Q2984" s="8" t="s">
        <v>3383</v>
      </c>
      <c r="R2984" s="7" t="s">
        <v>3384</v>
      </c>
      <c r="S2984" s="9">
        <v>2</v>
      </c>
      <c r="T2984" s="9">
        <v>1232.0999999999999</v>
      </c>
      <c r="U2984" s="9">
        <f t="shared" ref="U2984" si="2056">T2984*S2984</f>
        <v>2464.1999999999998</v>
      </c>
      <c r="V2984" s="9">
        <f t="shared" ref="V2984" si="2057">U2984*1.12</f>
        <v>2759.904</v>
      </c>
      <c r="W2984" s="7"/>
      <c r="X2984" s="2">
        <v>2016</v>
      </c>
      <c r="Y2984" s="2"/>
    </row>
    <row r="2985" spans="1:25" s="11" customFormat="1" ht="89.25" customHeight="1" outlineLevel="1" x14ac:dyDescent="0.25">
      <c r="A2985" s="1"/>
      <c r="B2985" s="2" t="s">
        <v>7246</v>
      </c>
      <c r="C2985" s="3" t="s">
        <v>83</v>
      </c>
      <c r="D2985" s="3" t="s">
        <v>5357</v>
      </c>
      <c r="E2985" s="3" t="s">
        <v>5358</v>
      </c>
      <c r="F2985" s="3" t="s">
        <v>5359</v>
      </c>
      <c r="G2985" s="3" t="s">
        <v>5360</v>
      </c>
      <c r="H2985" s="2" t="s">
        <v>694</v>
      </c>
      <c r="I2985" s="4">
        <v>0</v>
      </c>
      <c r="J2985" s="5">
        <v>710000000</v>
      </c>
      <c r="K2985" s="5" t="s">
        <v>89</v>
      </c>
      <c r="L2985" s="2" t="s">
        <v>754</v>
      </c>
      <c r="M2985" s="6" t="s">
        <v>91</v>
      </c>
      <c r="N2985" s="7" t="s">
        <v>92</v>
      </c>
      <c r="O2985" s="7" t="s">
        <v>93</v>
      </c>
      <c r="P2985" s="3" t="s">
        <v>673</v>
      </c>
      <c r="Q2985" s="8">
        <v>796</v>
      </c>
      <c r="R2985" s="7" t="s">
        <v>118</v>
      </c>
      <c r="S2985" s="9">
        <v>2</v>
      </c>
      <c r="T2985" s="9">
        <v>4.5</v>
      </c>
      <c r="U2985" s="9">
        <v>0</v>
      </c>
      <c r="V2985" s="9">
        <f t="shared" si="2027"/>
        <v>0</v>
      </c>
      <c r="W2985" s="7"/>
      <c r="X2985" s="2">
        <v>2016</v>
      </c>
      <c r="Y2985" s="2" t="s">
        <v>8493</v>
      </c>
    </row>
    <row r="2986" spans="1:25" s="11" customFormat="1" ht="89.25" customHeight="1" outlineLevel="1" x14ac:dyDescent="0.25">
      <c r="A2986" s="1"/>
      <c r="B2986" s="2" t="s">
        <v>8612</v>
      </c>
      <c r="C2986" s="3" t="s">
        <v>83</v>
      </c>
      <c r="D2986" s="3" t="s">
        <v>5357</v>
      </c>
      <c r="E2986" s="3" t="s">
        <v>5358</v>
      </c>
      <c r="F2986" s="3" t="s">
        <v>5359</v>
      </c>
      <c r="G2986" s="3" t="s">
        <v>5360</v>
      </c>
      <c r="H2986" s="2" t="s">
        <v>694</v>
      </c>
      <c r="I2986" s="4">
        <v>0</v>
      </c>
      <c r="J2986" s="5">
        <v>710000000</v>
      </c>
      <c r="K2986" s="5" t="s">
        <v>89</v>
      </c>
      <c r="L2986" s="2" t="s">
        <v>1735</v>
      </c>
      <c r="M2986" s="6" t="s">
        <v>91</v>
      </c>
      <c r="N2986" s="7" t="s">
        <v>92</v>
      </c>
      <c r="O2986" s="7" t="s">
        <v>93</v>
      </c>
      <c r="P2986" s="3" t="s">
        <v>673</v>
      </c>
      <c r="Q2986" s="8">
        <v>796</v>
      </c>
      <c r="R2986" s="7" t="s">
        <v>118</v>
      </c>
      <c r="S2986" s="9">
        <v>2</v>
      </c>
      <c r="T2986" s="9">
        <v>296</v>
      </c>
      <c r="U2986" s="9">
        <f t="shared" ref="U2986" si="2058">T2986*S2986</f>
        <v>592</v>
      </c>
      <c r="V2986" s="9">
        <f t="shared" ref="V2986" si="2059">U2986*1.12</f>
        <v>663.04000000000008</v>
      </c>
      <c r="W2986" s="7"/>
      <c r="X2986" s="2">
        <v>2016</v>
      </c>
      <c r="Y2986" s="2"/>
    </row>
    <row r="2987" spans="1:25" s="11" customFormat="1" ht="89.25" customHeight="1" outlineLevel="1" x14ac:dyDescent="0.25">
      <c r="A2987" s="1"/>
      <c r="B2987" s="2" t="s">
        <v>7247</v>
      </c>
      <c r="C2987" s="3" t="s">
        <v>83</v>
      </c>
      <c r="D2987" s="3" t="s">
        <v>5361</v>
      </c>
      <c r="E2987" s="3" t="s">
        <v>5362</v>
      </c>
      <c r="F2987" s="3" t="s">
        <v>5252</v>
      </c>
      <c r="G2987" s="3" t="s">
        <v>5363</v>
      </c>
      <c r="H2987" s="2" t="s">
        <v>694</v>
      </c>
      <c r="I2987" s="4">
        <v>0</v>
      </c>
      <c r="J2987" s="5">
        <v>710000000</v>
      </c>
      <c r="K2987" s="5" t="s">
        <v>89</v>
      </c>
      <c r="L2987" s="2" t="s">
        <v>754</v>
      </c>
      <c r="M2987" s="6" t="s">
        <v>91</v>
      </c>
      <c r="N2987" s="7" t="s">
        <v>92</v>
      </c>
      <c r="O2987" s="7" t="s">
        <v>93</v>
      </c>
      <c r="P2987" s="3" t="s">
        <v>673</v>
      </c>
      <c r="Q2987" s="8" t="s">
        <v>3383</v>
      </c>
      <c r="R2987" s="7" t="s">
        <v>3384</v>
      </c>
      <c r="S2987" s="9">
        <v>11</v>
      </c>
      <c r="T2987" s="9">
        <v>27</v>
      </c>
      <c r="U2987" s="9">
        <v>0</v>
      </c>
      <c r="V2987" s="9">
        <f t="shared" si="2027"/>
        <v>0</v>
      </c>
      <c r="W2987" s="7"/>
      <c r="X2987" s="2">
        <v>2016</v>
      </c>
      <c r="Y2987" s="2" t="s">
        <v>8493</v>
      </c>
    </row>
    <row r="2988" spans="1:25" s="11" customFormat="1" ht="89.25" customHeight="1" outlineLevel="1" x14ac:dyDescent="0.25">
      <c r="A2988" s="1"/>
      <c r="B2988" s="2" t="s">
        <v>8613</v>
      </c>
      <c r="C2988" s="3" t="s">
        <v>83</v>
      </c>
      <c r="D2988" s="3" t="s">
        <v>5361</v>
      </c>
      <c r="E2988" s="3" t="s">
        <v>5362</v>
      </c>
      <c r="F2988" s="3" t="s">
        <v>5252</v>
      </c>
      <c r="G2988" s="3" t="s">
        <v>5363</v>
      </c>
      <c r="H2988" s="2" t="s">
        <v>694</v>
      </c>
      <c r="I2988" s="4">
        <v>0</v>
      </c>
      <c r="J2988" s="5">
        <v>710000000</v>
      </c>
      <c r="K2988" s="5" t="s">
        <v>89</v>
      </c>
      <c r="L2988" s="2" t="s">
        <v>1735</v>
      </c>
      <c r="M2988" s="6" t="s">
        <v>91</v>
      </c>
      <c r="N2988" s="7" t="s">
        <v>92</v>
      </c>
      <c r="O2988" s="7" t="s">
        <v>93</v>
      </c>
      <c r="P2988" s="3" t="s">
        <v>673</v>
      </c>
      <c r="Q2988" s="8" t="s">
        <v>3383</v>
      </c>
      <c r="R2988" s="7" t="s">
        <v>3384</v>
      </c>
      <c r="S2988" s="9">
        <v>11</v>
      </c>
      <c r="T2988" s="9">
        <v>53.6</v>
      </c>
      <c r="U2988" s="9">
        <f t="shared" ref="U2988" si="2060">T2988*S2988</f>
        <v>589.6</v>
      </c>
      <c r="V2988" s="9">
        <f t="shared" ref="V2988" si="2061">U2988*1.12</f>
        <v>660.35200000000009</v>
      </c>
      <c r="W2988" s="7"/>
      <c r="X2988" s="2">
        <v>2016</v>
      </c>
      <c r="Y2988" s="2"/>
    </row>
    <row r="2989" spans="1:25" s="11" customFormat="1" ht="89.25" customHeight="1" outlineLevel="1" x14ac:dyDescent="0.25">
      <c r="A2989" s="1"/>
      <c r="B2989" s="2" t="s">
        <v>7248</v>
      </c>
      <c r="C2989" s="3" t="s">
        <v>83</v>
      </c>
      <c r="D2989" s="3" t="s">
        <v>5364</v>
      </c>
      <c r="E2989" s="3" t="s">
        <v>5365</v>
      </c>
      <c r="F2989" s="3" t="s">
        <v>5252</v>
      </c>
      <c r="G2989" s="3" t="s">
        <v>5366</v>
      </c>
      <c r="H2989" s="2" t="s">
        <v>694</v>
      </c>
      <c r="I2989" s="4">
        <v>0</v>
      </c>
      <c r="J2989" s="5">
        <v>710000000</v>
      </c>
      <c r="K2989" s="5" t="s">
        <v>89</v>
      </c>
      <c r="L2989" s="2" t="s">
        <v>754</v>
      </c>
      <c r="M2989" s="6" t="s">
        <v>91</v>
      </c>
      <c r="N2989" s="7" t="s">
        <v>92</v>
      </c>
      <c r="O2989" s="7" t="s">
        <v>93</v>
      </c>
      <c r="P2989" s="3" t="s">
        <v>673</v>
      </c>
      <c r="Q2989" s="8" t="s">
        <v>522</v>
      </c>
      <c r="R2989" s="7" t="s">
        <v>523</v>
      </c>
      <c r="S2989" s="9">
        <v>3</v>
      </c>
      <c r="T2989" s="9">
        <v>205</v>
      </c>
      <c r="U2989" s="9">
        <v>0</v>
      </c>
      <c r="V2989" s="9">
        <f t="shared" si="2027"/>
        <v>0</v>
      </c>
      <c r="W2989" s="7"/>
      <c r="X2989" s="2">
        <v>2016</v>
      </c>
      <c r="Y2989" s="2" t="s">
        <v>8493</v>
      </c>
    </row>
    <row r="2990" spans="1:25" s="11" customFormat="1" ht="89.25" customHeight="1" outlineLevel="1" x14ac:dyDescent="0.25">
      <c r="A2990" s="1"/>
      <c r="B2990" s="2" t="s">
        <v>8614</v>
      </c>
      <c r="C2990" s="3" t="s">
        <v>83</v>
      </c>
      <c r="D2990" s="3" t="s">
        <v>5364</v>
      </c>
      <c r="E2990" s="3" t="s">
        <v>5365</v>
      </c>
      <c r="F2990" s="3" t="s">
        <v>5252</v>
      </c>
      <c r="G2990" s="3" t="s">
        <v>5366</v>
      </c>
      <c r="H2990" s="2" t="s">
        <v>694</v>
      </c>
      <c r="I2990" s="4">
        <v>0</v>
      </c>
      <c r="J2990" s="5">
        <v>710000000</v>
      </c>
      <c r="K2990" s="5" t="s">
        <v>89</v>
      </c>
      <c r="L2990" s="2" t="s">
        <v>1735</v>
      </c>
      <c r="M2990" s="6" t="s">
        <v>91</v>
      </c>
      <c r="N2990" s="7" t="s">
        <v>92</v>
      </c>
      <c r="O2990" s="7" t="s">
        <v>93</v>
      </c>
      <c r="P2990" s="3" t="s">
        <v>673</v>
      </c>
      <c r="Q2990" s="8" t="s">
        <v>522</v>
      </c>
      <c r="R2990" s="7" t="s">
        <v>523</v>
      </c>
      <c r="S2990" s="9">
        <v>3</v>
      </c>
      <c r="T2990" s="9">
        <v>254.5</v>
      </c>
      <c r="U2990" s="9">
        <f t="shared" ref="U2990" si="2062">T2990*S2990</f>
        <v>763.5</v>
      </c>
      <c r="V2990" s="9">
        <f t="shared" ref="V2990" si="2063">U2990*1.12</f>
        <v>855.12000000000012</v>
      </c>
      <c r="W2990" s="7"/>
      <c r="X2990" s="2">
        <v>2016</v>
      </c>
      <c r="Y2990" s="2"/>
    </row>
    <row r="2991" spans="1:25" s="11" customFormat="1" ht="89.25" customHeight="1" outlineLevel="1" x14ac:dyDescent="0.25">
      <c r="A2991" s="1"/>
      <c r="B2991" s="2" t="s">
        <v>7249</v>
      </c>
      <c r="C2991" s="3" t="s">
        <v>83</v>
      </c>
      <c r="D2991" s="3" t="s">
        <v>5367</v>
      </c>
      <c r="E2991" s="3" t="s">
        <v>5368</v>
      </c>
      <c r="F2991" s="3" t="s">
        <v>5237</v>
      </c>
      <c r="G2991" s="3" t="s">
        <v>5369</v>
      </c>
      <c r="H2991" s="2" t="s">
        <v>694</v>
      </c>
      <c r="I2991" s="4">
        <v>0</v>
      </c>
      <c r="J2991" s="5">
        <v>710000000</v>
      </c>
      <c r="K2991" s="5" t="s">
        <v>89</v>
      </c>
      <c r="L2991" s="2" t="s">
        <v>754</v>
      </c>
      <c r="M2991" s="6" t="s">
        <v>91</v>
      </c>
      <c r="N2991" s="7" t="s">
        <v>92</v>
      </c>
      <c r="O2991" s="7" t="s">
        <v>93</v>
      </c>
      <c r="P2991" s="3" t="s">
        <v>673</v>
      </c>
      <c r="Q2991" s="8" t="s">
        <v>522</v>
      </c>
      <c r="R2991" s="7" t="s">
        <v>523</v>
      </c>
      <c r="S2991" s="9">
        <v>2</v>
      </c>
      <c r="T2991" s="9">
        <v>1411</v>
      </c>
      <c r="U2991" s="9">
        <v>0</v>
      </c>
      <c r="V2991" s="9">
        <f t="shared" si="2027"/>
        <v>0</v>
      </c>
      <c r="W2991" s="7"/>
      <c r="X2991" s="2">
        <v>2016</v>
      </c>
      <c r="Y2991" s="2" t="s">
        <v>8493</v>
      </c>
    </row>
    <row r="2992" spans="1:25" s="11" customFormat="1" ht="89.25" customHeight="1" outlineLevel="1" x14ac:dyDescent="0.25">
      <c r="A2992" s="1"/>
      <c r="B2992" s="2" t="s">
        <v>8615</v>
      </c>
      <c r="C2992" s="3" t="s">
        <v>83</v>
      </c>
      <c r="D2992" s="3" t="s">
        <v>5367</v>
      </c>
      <c r="E2992" s="3" t="s">
        <v>5368</v>
      </c>
      <c r="F2992" s="3" t="s">
        <v>5237</v>
      </c>
      <c r="G2992" s="3" t="s">
        <v>5369</v>
      </c>
      <c r="H2992" s="2" t="s">
        <v>694</v>
      </c>
      <c r="I2992" s="4">
        <v>0</v>
      </c>
      <c r="J2992" s="5">
        <v>710000000</v>
      </c>
      <c r="K2992" s="5" t="s">
        <v>89</v>
      </c>
      <c r="L2992" s="2" t="s">
        <v>1735</v>
      </c>
      <c r="M2992" s="6" t="s">
        <v>91</v>
      </c>
      <c r="N2992" s="7" t="s">
        <v>92</v>
      </c>
      <c r="O2992" s="7" t="s">
        <v>93</v>
      </c>
      <c r="P2992" s="3" t="s">
        <v>673</v>
      </c>
      <c r="Q2992" s="8" t="s">
        <v>522</v>
      </c>
      <c r="R2992" s="7" t="s">
        <v>523</v>
      </c>
      <c r="S2992" s="9">
        <v>2</v>
      </c>
      <c r="T2992" s="9">
        <v>1625</v>
      </c>
      <c r="U2992" s="9">
        <f t="shared" ref="U2992" si="2064">T2992*S2992</f>
        <v>3250</v>
      </c>
      <c r="V2992" s="9">
        <f t="shared" ref="V2992" si="2065">U2992*1.12</f>
        <v>3640.0000000000005</v>
      </c>
      <c r="W2992" s="7"/>
      <c r="X2992" s="2">
        <v>2016</v>
      </c>
      <c r="Y2992" s="2"/>
    </row>
    <row r="2993" spans="1:25" s="11" customFormat="1" ht="89.25" customHeight="1" outlineLevel="1" x14ac:dyDescent="0.25">
      <c r="A2993" s="1"/>
      <c r="B2993" s="2" t="s">
        <v>7250</v>
      </c>
      <c r="C2993" s="3" t="s">
        <v>83</v>
      </c>
      <c r="D2993" s="3" t="s">
        <v>5370</v>
      </c>
      <c r="E2993" s="3" t="s">
        <v>5371</v>
      </c>
      <c r="F2993" s="3" t="s">
        <v>5270</v>
      </c>
      <c r="G2993" s="3" t="s">
        <v>5372</v>
      </c>
      <c r="H2993" s="2" t="s">
        <v>694</v>
      </c>
      <c r="I2993" s="4">
        <v>0</v>
      </c>
      <c r="J2993" s="5">
        <v>710000000</v>
      </c>
      <c r="K2993" s="5" t="s">
        <v>89</v>
      </c>
      <c r="L2993" s="2" t="s">
        <v>754</v>
      </c>
      <c r="M2993" s="6" t="s">
        <v>91</v>
      </c>
      <c r="N2993" s="7" t="s">
        <v>92</v>
      </c>
      <c r="O2993" s="7" t="s">
        <v>93</v>
      </c>
      <c r="P2993" s="3" t="s">
        <v>673</v>
      </c>
      <c r="Q2993" s="8" t="s">
        <v>522</v>
      </c>
      <c r="R2993" s="7" t="s">
        <v>523</v>
      </c>
      <c r="S2993" s="9">
        <v>6</v>
      </c>
      <c r="T2993" s="9">
        <v>179</v>
      </c>
      <c r="U2993" s="9">
        <v>0</v>
      </c>
      <c r="V2993" s="9">
        <f t="shared" si="2027"/>
        <v>0</v>
      </c>
      <c r="W2993" s="7"/>
      <c r="X2993" s="2">
        <v>2016</v>
      </c>
      <c r="Y2993" s="2" t="s">
        <v>8493</v>
      </c>
    </row>
    <row r="2994" spans="1:25" s="11" customFormat="1" ht="89.25" customHeight="1" outlineLevel="1" x14ac:dyDescent="0.25">
      <c r="A2994" s="1"/>
      <c r="B2994" s="2" t="s">
        <v>8616</v>
      </c>
      <c r="C2994" s="3" t="s">
        <v>83</v>
      </c>
      <c r="D2994" s="3" t="s">
        <v>5370</v>
      </c>
      <c r="E2994" s="3" t="s">
        <v>5371</v>
      </c>
      <c r="F2994" s="3" t="s">
        <v>5270</v>
      </c>
      <c r="G2994" s="3" t="s">
        <v>5372</v>
      </c>
      <c r="H2994" s="2" t="s">
        <v>694</v>
      </c>
      <c r="I2994" s="4">
        <v>0</v>
      </c>
      <c r="J2994" s="5">
        <v>710000000</v>
      </c>
      <c r="K2994" s="5" t="s">
        <v>89</v>
      </c>
      <c r="L2994" s="2" t="s">
        <v>1735</v>
      </c>
      <c r="M2994" s="6" t="s">
        <v>91</v>
      </c>
      <c r="N2994" s="7" t="s">
        <v>92</v>
      </c>
      <c r="O2994" s="7" t="s">
        <v>93</v>
      </c>
      <c r="P2994" s="3" t="s">
        <v>673</v>
      </c>
      <c r="Q2994" s="8" t="s">
        <v>522</v>
      </c>
      <c r="R2994" s="7" t="s">
        <v>523</v>
      </c>
      <c r="S2994" s="9">
        <v>6</v>
      </c>
      <c r="T2994" s="9">
        <v>250</v>
      </c>
      <c r="U2994" s="9">
        <f t="shared" ref="U2994" si="2066">T2994*S2994</f>
        <v>1500</v>
      </c>
      <c r="V2994" s="9">
        <f t="shared" ref="V2994" si="2067">U2994*1.12</f>
        <v>1680.0000000000002</v>
      </c>
      <c r="W2994" s="7"/>
      <c r="X2994" s="2">
        <v>2016</v>
      </c>
      <c r="Y2994" s="2"/>
    </row>
    <row r="2995" spans="1:25" s="11" customFormat="1" ht="89.25" customHeight="1" outlineLevel="1" x14ac:dyDescent="0.25">
      <c r="A2995" s="1"/>
      <c r="B2995" s="2" t="s">
        <v>7251</v>
      </c>
      <c r="C2995" s="3" t="s">
        <v>83</v>
      </c>
      <c r="D2995" s="3" t="s">
        <v>5373</v>
      </c>
      <c r="E2995" s="3" t="s">
        <v>5374</v>
      </c>
      <c r="F2995" s="3" t="s">
        <v>5375</v>
      </c>
      <c r="G2995" s="3" t="s">
        <v>5376</v>
      </c>
      <c r="H2995" s="2" t="s">
        <v>694</v>
      </c>
      <c r="I2995" s="4">
        <v>0</v>
      </c>
      <c r="J2995" s="5">
        <v>710000000</v>
      </c>
      <c r="K2995" s="5" t="s">
        <v>89</v>
      </c>
      <c r="L2995" s="2" t="s">
        <v>754</v>
      </c>
      <c r="M2995" s="6" t="s">
        <v>91</v>
      </c>
      <c r="N2995" s="7" t="s">
        <v>92</v>
      </c>
      <c r="O2995" s="7" t="s">
        <v>93</v>
      </c>
      <c r="P2995" s="3" t="s">
        <v>673</v>
      </c>
      <c r="Q2995" s="8" t="s">
        <v>522</v>
      </c>
      <c r="R2995" s="7" t="s">
        <v>523</v>
      </c>
      <c r="S2995" s="9">
        <v>5</v>
      </c>
      <c r="T2995" s="9">
        <v>491</v>
      </c>
      <c r="U2995" s="9">
        <v>0</v>
      </c>
      <c r="V2995" s="9">
        <f t="shared" si="2027"/>
        <v>0</v>
      </c>
      <c r="W2995" s="7"/>
      <c r="X2995" s="2">
        <v>2016</v>
      </c>
      <c r="Y2995" s="2" t="s">
        <v>8493</v>
      </c>
    </row>
    <row r="2996" spans="1:25" s="11" customFormat="1" ht="89.25" customHeight="1" outlineLevel="1" x14ac:dyDescent="0.25">
      <c r="A2996" s="1"/>
      <c r="B2996" s="2" t="s">
        <v>8617</v>
      </c>
      <c r="C2996" s="3" t="s">
        <v>83</v>
      </c>
      <c r="D2996" s="3" t="s">
        <v>5373</v>
      </c>
      <c r="E2996" s="3" t="s">
        <v>5374</v>
      </c>
      <c r="F2996" s="3" t="s">
        <v>5375</v>
      </c>
      <c r="G2996" s="3" t="s">
        <v>5376</v>
      </c>
      <c r="H2996" s="2" t="s">
        <v>694</v>
      </c>
      <c r="I2996" s="4">
        <v>0</v>
      </c>
      <c r="J2996" s="5">
        <v>710000000</v>
      </c>
      <c r="K2996" s="5" t="s">
        <v>89</v>
      </c>
      <c r="L2996" s="2" t="s">
        <v>1735</v>
      </c>
      <c r="M2996" s="6" t="s">
        <v>91</v>
      </c>
      <c r="N2996" s="7" t="s">
        <v>92</v>
      </c>
      <c r="O2996" s="7" t="s">
        <v>93</v>
      </c>
      <c r="P2996" s="3" t="s">
        <v>673</v>
      </c>
      <c r="Q2996" s="8" t="s">
        <v>522</v>
      </c>
      <c r="R2996" s="7" t="s">
        <v>523</v>
      </c>
      <c r="S2996" s="9">
        <v>5</v>
      </c>
      <c r="T2996" s="9">
        <v>607.1</v>
      </c>
      <c r="U2996" s="9">
        <f t="shared" ref="U2996" si="2068">T2996*S2996</f>
        <v>3035.5</v>
      </c>
      <c r="V2996" s="9">
        <f t="shared" ref="V2996" si="2069">U2996*1.12</f>
        <v>3399.76</v>
      </c>
      <c r="W2996" s="7"/>
      <c r="X2996" s="2">
        <v>2016</v>
      </c>
      <c r="Y2996" s="2"/>
    </row>
    <row r="2997" spans="1:25" s="11" customFormat="1" ht="89.25" customHeight="1" outlineLevel="1" x14ac:dyDescent="0.25">
      <c r="A2997" s="1"/>
      <c r="B2997" s="2" t="s">
        <v>7252</v>
      </c>
      <c r="C2997" s="3" t="s">
        <v>83</v>
      </c>
      <c r="D2997" s="3" t="s">
        <v>5377</v>
      </c>
      <c r="E2997" s="3" t="s">
        <v>5378</v>
      </c>
      <c r="F2997" s="3" t="s">
        <v>5237</v>
      </c>
      <c r="G2997" s="3" t="s">
        <v>5379</v>
      </c>
      <c r="H2997" s="2" t="s">
        <v>694</v>
      </c>
      <c r="I2997" s="4">
        <v>0</v>
      </c>
      <c r="J2997" s="5">
        <v>710000000</v>
      </c>
      <c r="K2997" s="5" t="s">
        <v>89</v>
      </c>
      <c r="L2997" s="2" t="s">
        <v>754</v>
      </c>
      <c r="M2997" s="6" t="s">
        <v>91</v>
      </c>
      <c r="N2997" s="7" t="s">
        <v>92</v>
      </c>
      <c r="O2997" s="7" t="s">
        <v>93</v>
      </c>
      <c r="P2997" s="3" t="s">
        <v>673</v>
      </c>
      <c r="Q2997" s="8" t="s">
        <v>522</v>
      </c>
      <c r="R2997" s="7" t="s">
        <v>523</v>
      </c>
      <c r="S2997" s="9">
        <v>2</v>
      </c>
      <c r="T2997" s="9">
        <v>63</v>
      </c>
      <c r="U2997" s="9">
        <v>0</v>
      </c>
      <c r="V2997" s="9">
        <f t="shared" si="2027"/>
        <v>0</v>
      </c>
      <c r="W2997" s="7"/>
      <c r="X2997" s="2">
        <v>2016</v>
      </c>
      <c r="Y2997" s="2" t="s">
        <v>8493</v>
      </c>
    </row>
    <row r="2998" spans="1:25" s="11" customFormat="1" ht="89.25" customHeight="1" outlineLevel="1" x14ac:dyDescent="0.25">
      <c r="A2998" s="1"/>
      <c r="B2998" s="2" t="s">
        <v>8618</v>
      </c>
      <c r="C2998" s="3" t="s">
        <v>83</v>
      </c>
      <c r="D2998" s="3" t="s">
        <v>5377</v>
      </c>
      <c r="E2998" s="3" t="s">
        <v>5378</v>
      </c>
      <c r="F2998" s="3" t="s">
        <v>5237</v>
      </c>
      <c r="G2998" s="3" t="s">
        <v>5379</v>
      </c>
      <c r="H2998" s="2" t="s">
        <v>694</v>
      </c>
      <c r="I2998" s="4">
        <v>0</v>
      </c>
      <c r="J2998" s="5">
        <v>710000000</v>
      </c>
      <c r="K2998" s="5" t="s">
        <v>89</v>
      </c>
      <c r="L2998" s="2" t="s">
        <v>1735</v>
      </c>
      <c r="M2998" s="6" t="s">
        <v>91</v>
      </c>
      <c r="N2998" s="7" t="s">
        <v>92</v>
      </c>
      <c r="O2998" s="7" t="s">
        <v>93</v>
      </c>
      <c r="P2998" s="3" t="s">
        <v>673</v>
      </c>
      <c r="Q2998" s="8" t="s">
        <v>522</v>
      </c>
      <c r="R2998" s="7" t="s">
        <v>523</v>
      </c>
      <c r="S2998" s="9">
        <v>2</v>
      </c>
      <c r="T2998" s="9">
        <v>116.1</v>
      </c>
      <c r="U2998" s="9">
        <f t="shared" ref="U2998" si="2070">T2998*S2998</f>
        <v>232.2</v>
      </c>
      <c r="V2998" s="9">
        <f t="shared" ref="V2998" si="2071">U2998*1.12</f>
        <v>260.06400000000002</v>
      </c>
      <c r="W2998" s="7"/>
      <c r="X2998" s="2">
        <v>2016</v>
      </c>
      <c r="Y2998" s="2"/>
    </row>
    <row r="2999" spans="1:25" s="11" customFormat="1" ht="89.25" customHeight="1" outlineLevel="1" x14ac:dyDescent="0.25">
      <c r="A2999" s="1"/>
      <c r="B2999" s="2" t="s">
        <v>7253</v>
      </c>
      <c r="C2999" s="3" t="s">
        <v>83</v>
      </c>
      <c r="D2999" s="3" t="s">
        <v>5380</v>
      </c>
      <c r="E2999" s="3" t="s">
        <v>5381</v>
      </c>
      <c r="F2999" s="3" t="s">
        <v>2398</v>
      </c>
      <c r="G2999" s="3" t="s">
        <v>5382</v>
      </c>
      <c r="H2999" s="2" t="s">
        <v>694</v>
      </c>
      <c r="I2999" s="4">
        <v>0</v>
      </c>
      <c r="J2999" s="5">
        <v>710000000</v>
      </c>
      <c r="K2999" s="5" t="s">
        <v>89</v>
      </c>
      <c r="L2999" s="2" t="s">
        <v>754</v>
      </c>
      <c r="M2999" s="6" t="s">
        <v>91</v>
      </c>
      <c r="N2999" s="7" t="s">
        <v>92</v>
      </c>
      <c r="O2999" s="7" t="s">
        <v>93</v>
      </c>
      <c r="P2999" s="3" t="s">
        <v>673</v>
      </c>
      <c r="Q2999" s="8" t="s">
        <v>3383</v>
      </c>
      <c r="R2999" s="7" t="s">
        <v>3384</v>
      </c>
      <c r="S2999" s="9">
        <v>2</v>
      </c>
      <c r="T2999" s="9">
        <v>795</v>
      </c>
      <c r="U2999" s="9">
        <v>0</v>
      </c>
      <c r="V2999" s="9">
        <f t="shared" si="2027"/>
        <v>0</v>
      </c>
      <c r="W2999" s="7"/>
      <c r="X2999" s="2">
        <v>2016</v>
      </c>
      <c r="Y2999" s="2" t="s">
        <v>8493</v>
      </c>
    </row>
    <row r="3000" spans="1:25" s="11" customFormat="1" ht="89.25" customHeight="1" outlineLevel="1" x14ac:dyDescent="0.25">
      <c r="A3000" s="1"/>
      <c r="B3000" s="2" t="s">
        <v>8619</v>
      </c>
      <c r="C3000" s="3" t="s">
        <v>83</v>
      </c>
      <c r="D3000" s="3" t="s">
        <v>5380</v>
      </c>
      <c r="E3000" s="3" t="s">
        <v>5381</v>
      </c>
      <c r="F3000" s="3" t="s">
        <v>2398</v>
      </c>
      <c r="G3000" s="3" t="s">
        <v>5382</v>
      </c>
      <c r="H3000" s="2" t="s">
        <v>694</v>
      </c>
      <c r="I3000" s="4">
        <v>0</v>
      </c>
      <c r="J3000" s="5">
        <v>710000000</v>
      </c>
      <c r="K3000" s="5" t="s">
        <v>89</v>
      </c>
      <c r="L3000" s="2" t="s">
        <v>1735</v>
      </c>
      <c r="M3000" s="6" t="s">
        <v>91</v>
      </c>
      <c r="N3000" s="7" t="s">
        <v>92</v>
      </c>
      <c r="O3000" s="7" t="s">
        <v>93</v>
      </c>
      <c r="P3000" s="3" t="s">
        <v>673</v>
      </c>
      <c r="Q3000" s="8" t="s">
        <v>3383</v>
      </c>
      <c r="R3000" s="7" t="s">
        <v>3384</v>
      </c>
      <c r="S3000" s="9">
        <v>2</v>
      </c>
      <c r="T3000" s="9">
        <v>937.5</v>
      </c>
      <c r="U3000" s="9">
        <f t="shared" ref="U3000" si="2072">T3000*S3000</f>
        <v>1875</v>
      </c>
      <c r="V3000" s="9">
        <f t="shared" ref="V3000" si="2073">U3000*1.12</f>
        <v>2100</v>
      </c>
      <c r="W3000" s="7"/>
      <c r="X3000" s="2">
        <v>2016</v>
      </c>
      <c r="Y3000" s="2"/>
    </row>
    <row r="3001" spans="1:25" s="11" customFormat="1" ht="89.25" customHeight="1" outlineLevel="1" x14ac:dyDescent="0.25">
      <c r="A3001" s="1"/>
      <c r="B3001" s="2" t="s">
        <v>7254</v>
      </c>
      <c r="C3001" s="3" t="s">
        <v>83</v>
      </c>
      <c r="D3001" s="3" t="s">
        <v>5383</v>
      </c>
      <c r="E3001" s="3" t="s">
        <v>5384</v>
      </c>
      <c r="F3001" s="3" t="s">
        <v>5237</v>
      </c>
      <c r="G3001" s="3" t="s">
        <v>5385</v>
      </c>
      <c r="H3001" s="2" t="s">
        <v>694</v>
      </c>
      <c r="I3001" s="4">
        <v>0</v>
      </c>
      <c r="J3001" s="5">
        <v>710000000</v>
      </c>
      <c r="K3001" s="5" t="s">
        <v>89</v>
      </c>
      <c r="L3001" s="2" t="s">
        <v>754</v>
      </c>
      <c r="M3001" s="6" t="s">
        <v>91</v>
      </c>
      <c r="N3001" s="7" t="s">
        <v>92</v>
      </c>
      <c r="O3001" s="7" t="s">
        <v>93</v>
      </c>
      <c r="P3001" s="3" t="s">
        <v>673</v>
      </c>
      <c r="Q3001" s="8" t="s">
        <v>522</v>
      </c>
      <c r="R3001" s="7" t="s">
        <v>523</v>
      </c>
      <c r="S3001" s="9">
        <v>37</v>
      </c>
      <c r="T3001" s="9">
        <v>107</v>
      </c>
      <c r="U3001" s="9">
        <v>0</v>
      </c>
      <c r="V3001" s="9">
        <f t="shared" si="2027"/>
        <v>0</v>
      </c>
      <c r="W3001" s="7"/>
      <c r="X3001" s="2">
        <v>2016</v>
      </c>
      <c r="Y3001" s="2" t="s">
        <v>8493</v>
      </c>
    </row>
    <row r="3002" spans="1:25" s="11" customFormat="1" ht="89.25" customHeight="1" outlineLevel="1" x14ac:dyDescent="0.25">
      <c r="A3002" s="1"/>
      <c r="B3002" s="2" t="s">
        <v>8620</v>
      </c>
      <c r="C3002" s="3" t="s">
        <v>83</v>
      </c>
      <c r="D3002" s="3" t="s">
        <v>5383</v>
      </c>
      <c r="E3002" s="3" t="s">
        <v>5384</v>
      </c>
      <c r="F3002" s="3" t="s">
        <v>5237</v>
      </c>
      <c r="G3002" s="3" t="s">
        <v>5385</v>
      </c>
      <c r="H3002" s="2" t="s">
        <v>694</v>
      </c>
      <c r="I3002" s="4">
        <v>0</v>
      </c>
      <c r="J3002" s="5">
        <v>710000000</v>
      </c>
      <c r="K3002" s="5" t="s">
        <v>89</v>
      </c>
      <c r="L3002" s="2" t="s">
        <v>1735</v>
      </c>
      <c r="M3002" s="6" t="s">
        <v>91</v>
      </c>
      <c r="N3002" s="7" t="s">
        <v>92</v>
      </c>
      <c r="O3002" s="7" t="s">
        <v>93</v>
      </c>
      <c r="P3002" s="3" t="s">
        <v>673</v>
      </c>
      <c r="Q3002" s="8" t="s">
        <v>522</v>
      </c>
      <c r="R3002" s="7" t="s">
        <v>523</v>
      </c>
      <c r="S3002" s="9">
        <v>37</v>
      </c>
      <c r="T3002" s="9">
        <v>125</v>
      </c>
      <c r="U3002" s="9">
        <f t="shared" ref="U3002" si="2074">T3002*S3002</f>
        <v>4625</v>
      </c>
      <c r="V3002" s="9">
        <f t="shared" ref="V3002" si="2075">U3002*1.12</f>
        <v>5180.0000000000009</v>
      </c>
      <c r="W3002" s="7"/>
      <c r="X3002" s="2">
        <v>2016</v>
      </c>
      <c r="Y3002" s="2"/>
    </row>
    <row r="3003" spans="1:25" s="11" customFormat="1" ht="89.25" customHeight="1" outlineLevel="1" x14ac:dyDescent="0.25">
      <c r="A3003" s="1"/>
      <c r="B3003" s="2" t="s">
        <v>7255</v>
      </c>
      <c r="C3003" s="3" t="s">
        <v>83</v>
      </c>
      <c r="D3003" s="3" t="s">
        <v>5386</v>
      </c>
      <c r="E3003" s="3" t="s">
        <v>5387</v>
      </c>
      <c r="F3003" s="3" t="s">
        <v>5237</v>
      </c>
      <c r="G3003" s="3" t="s">
        <v>5388</v>
      </c>
      <c r="H3003" s="2" t="s">
        <v>694</v>
      </c>
      <c r="I3003" s="4">
        <v>0</v>
      </c>
      <c r="J3003" s="5">
        <v>710000000</v>
      </c>
      <c r="K3003" s="5" t="s">
        <v>89</v>
      </c>
      <c r="L3003" s="2" t="s">
        <v>754</v>
      </c>
      <c r="M3003" s="6" t="s">
        <v>91</v>
      </c>
      <c r="N3003" s="7" t="s">
        <v>92</v>
      </c>
      <c r="O3003" s="7" t="s">
        <v>93</v>
      </c>
      <c r="P3003" s="3" t="s">
        <v>673</v>
      </c>
      <c r="Q3003" s="8" t="s">
        <v>522</v>
      </c>
      <c r="R3003" s="7" t="s">
        <v>523</v>
      </c>
      <c r="S3003" s="9">
        <v>11</v>
      </c>
      <c r="T3003" s="9">
        <v>36</v>
      </c>
      <c r="U3003" s="9">
        <v>0</v>
      </c>
      <c r="V3003" s="9">
        <f t="shared" si="2027"/>
        <v>0</v>
      </c>
      <c r="W3003" s="7"/>
      <c r="X3003" s="2">
        <v>2016</v>
      </c>
      <c r="Y3003" s="2" t="s">
        <v>8493</v>
      </c>
    </row>
    <row r="3004" spans="1:25" s="11" customFormat="1" ht="89.25" customHeight="1" outlineLevel="1" x14ac:dyDescent="0.25">
      <c r="A3004" s="1"/>
      <c r="B3004" s="2" t="s">
        <v>8621</v>
      </c>
      <c r="C3004" s="3" t="s">
        <v>83</v>
      </c>
      <c r="D3004" s="3" t="s">
        <v>5386</v>
      </c>
      <c r="E3004" s="3" t="s">
        <v>5387</v>
      </c>
      <c r="F3004" s="3" t="s">
        <v>5237</v>
      </c>
      <c r="G3004" s="3" t="s">
        <v>5388</v>
      </c>
      <c r="H3004" s="2" t="s">
        <v>694</v>
      </c>
      <c r="I3004" s="4">
        <v>0</v>
      </c>
      <c r="J3004" s="5">
        <v>710000000</v>
      </c>
      <c r="K3004" s="5" t="s">
        <v>89</v>
      </c>
      <c r="L3004" s="2" t="s">
        <v>1735</v>
      </c>
      <c r="M3004" s="6" t="s">
        <v>91</v>
      </c>
      <c r="N3004" s="7" t="s">
        <v>92</v>
      </c>
      <c r="O3004" s="7" t="s">
        <v>93</v>
      </c>
      <c r="P3004" s="3" t="s">
        <v>673</v>
      </c>
      <c r="Q3004" s="8" t="s">
        <v>522</v>
      </c>
      <c r="R3004" s="7" t="s">
        <v>523</v>
      </c>
      <c r="S3004" s="9">
        <v>11</v>
      </c>
      <c r="T3004" s="9">
        <v>58</v>
      </c>
      <c r="U3004" s="9">
        <f t="shared" ref="U3004" si="2076">T3004*S3004</f>
        <v>638</v>
      </c>
      <c r="V3004" s="9">
        <f t="shared" ref="V3004" si="2077">U3004*1.12</f>
        <v>714.56000000000006</v>
      </c>
      <c r="W3004" s="7"/>
      <c r="X3004" s="2">
        <v>2016</v>
      </c>
      <c r="Y3004" s="2"/>
    </row>
    <row r="3005" spans="1:25" s="11" customFormat="1" ht="89.25" customHeight="1" outlineLevel="1" x14ac:dyDescent="0.25">
      <c r="A3005" s="1"/>
      <c r="B3005" s="2" t="s">
        <v>7256</v>
      </c>
      <c r="C3005" s="3" t="s">
        <v>83</v>
      </c>
      <c r="D3005" s="3" t="s">
        <v>5389</v>
      </c>
      <c r="E3005" s="3" t="s">
        <v>5387</v>
      </c>
      <c r="F3005" s="3" t="s">
        <v>5252</v>
      </c>
      <c r="G3005" s="3" t="s">
        <v>5390</v>
      </c>
      <c r="H3005" s="2" t="s">
        <v>694</v>
      </c>
      <c r="I3005" s="4">
        <v>0</v>
      </c>
      <c r="J3005" s="5">
        <v>710000000</v>
      </c>
      <c r="K3005" s="5" t="s">
        <v>89</v>
      </c>
      <c r="L3005" s="2" t="s">
        <v>754</v>
      </c>
      <c r="M3005" s="6" t="s">
        <v>91</v>
      </c>
      <c r="N3005" s="7" t="s">
        <v>92</v>
      </c>
      <c r="O3005" s="7" t="s">
        <v>93</v>
      </c>
      <c r="P3005" s="3" t="s">
        <v>673</v>
      </c>
      <c r="Q3005" s="8" t="s">
        <v>3383</v>
      </c>
      <c r="R3005" s="7" t="s">
        <v>3384</v>
      </c>
      <c r="S3005" s="9">
        <v>12</v>
      </c>
      <c r="T3005" s="9">
        <v>114</v>
      </c>
      <c r="U3005" s="9">
        <v>0</v>
      </c>
      <c r="V3005" s="9">
        <f t="shared" si="2027"/>
        <v>0</v>
      </c>
      <c r="W3005" s="7"/>
      <c r="X3005" s="2">
        <v>2016</v>
      </c>
      <c r="Y3005" s="2" t="s">
        <v>8493</v>
      </c>
    </row>
    <row r="3006" spans="1:25" s="11" customFormat="1" ht="89.25" customHeight="1" outlineLevel="1" x14ac:dyDescent="0.25">
      <c r="A3006" s="1"/>
      <c r="B3006" s="2" t="s">
        <v>8622</v>
      </c>
      <c r="C3006" s="3" t="s">
        <v>83</v>
      </c>
      <c r="D3006" s="3" t="s">
        <v>5389</v>
      </c>
      <c r="E3006" s="3" t="s">
        <v>5387</v>
      </c>
      <c r="F3006" s="3" t="s">
        <v>5252</v>
      </c>
      <c r="G3006" s="3" t="s">
        <v>5390</v>
      </c>
      <c r="H3006" s="2" t="s">
        <v>694</v>
      </c>
      <c r="I3006" s="4">
        <v>0</v>
      </c>
      <c r="J3006" s="5">
        <v>710000000</v>
      </c>
      <c r="K3006" s="5" t="s">
        <v>89</v>
      </c>
      <c r="L3006" s="2" t="s">
        <v>1735</v>
      </c>
      <c r="M3006" s="6" t="s">
        <v>91</v>
      </c>
      <c r="N3006" s="7" t="s">
        <v>92</v>
      </c>
      <c r="O3006" s="7" t="s">
        <v>93</v>
      </c>
      <c r="P3006" s="3" t="s">
        <v>673</v>
      </c>
      <c r="Q3006" s="8" t="s">
        <v>3383</v>
      </c>
      <c r="R3006" s="7" t="s">
        <v>3384</v>
      </c>
      <c r="S3006" s="9">
        <v>12</v>
      </c>
      <c r="T3006" s="9">
        <v>267.89999999999998</v>
      </c>
      <c r="U3006" s="9">
        <f t="shared" ref="U3006" si="2078">T3006*S3006</f>
        <v>3214.7999999999997</v>
      </c>
      <c r="V3006" s="9">
        <f t="shared" ref="V3006" si="2079">U3006*1.12</f>
        <v>3600.576</v>
      </c>
      <c r="W3006" s="7"/>
      <c r="X3006" s="2">
        <v>2016</v>
      </c>
      <c r="Y3006" s="2"/>
    </row>
    <row r="3007" spans="1:25" s="11" customFormat="1" ht="89.25" customHeight="1" outlineLevel="1" x14ac:dyDescent="0.25">
      <c r="A3007" s="1"/>
      <c r="B3007" s="2" t="s">
        <v>7257</v>
      </c>
      <c r="C3007" s="3" t="s">
        <v>83</v>
      </c>
      <c r="D3007" s="3" t="s">
        <v>5391</v>
      </c>
      <c r="E3007" s="3" t="s">
        <v>5392</v>
      </c>
      <c r="F3007" s="3" t="s">
        <v>5393</v>
      </c>
      <c r="G3007" s="3" t="s">
        <v>5356</v>
      </c>
      <c r="H3007" s="2" t="s">
        <v>694</v>
      </c>
      <c r="I3007" s="4">
        <v>0</v>
      </c>
      <c r="J3007" s="5">
        <v>710000000</v>
      </c>
      <c r="K3007" s="5" t="s">
        <v>89</v>
      </c>
      <c r="L3007" s="2" t="s">
        <v>754</v>
      </c>
      <c r="M3007" s="6" t="s">
        <v>91</v>
      </c>
      <c r="N3007" s="7" t="s">
        <v>92</v>
      </c>
      <c r="O3007" s="7" t="s">
        <v>93</v>
      </c>
      <c r="P3007" s="3" t="s">
        <v>673</v>
      </c>
      <c r="Q3007" s="8" t="s">
        <v>3383</v>
      </c>
      <c r="R3007" s="7" t="s">
        <v>3384</v>
      </c>
      <c r="S3007" s="9">
        <v>31</v>
      </c>
      <c r="T3007" s="9">
        <v>1384</v>
      </c>
      <c r="U3007" s="9">
        <v>0</v>
      </c>
      <c r="V3007" s="9">
        <f t="shared" si="2027"/>
        <v>0</v>
      </c>
      <c r="W3007" s="7"/>
      <c r="X3007" s="2">
        <v>2016</v>
      </c>
      <c r="Y3007" s="2" t="s">
        <v>8493</v>
      </c>
    </row>
    <row r="3008" spans="1:25" s="11" customFormat="1" ht="89.25" customHeight="1" outlineLevel="1" x14ac:dyDescent="0.25">
      <c r="A3008" s="1"/>
      <c r="B3008" s="2" t="s">
        <v>8623</v>
      </c>
      <c r="C3008" s="3" t="s">
        <v>83</v>
      </c>
      <c r="D3008" s="3" t="s">
        <v>5391</v>
      </c>
      <c r="E3008" s="3" t="s">
        <v>5392</v>
      </c>
      <c r="F3008" s="3" t="s">
        <v>5393</v>
      </c>
      <c r="G3008" s="3" t="s">
        <v>5356</v>
      </c>
      <c r="H3008" s="2" t="s">
        <v>694</v>
      </c>
      <c r="I3008" s="4">
        <v>0</v>
      </c>
      <c r="J3008" s="5">
        <v>710000000</v>
      </c>
      <c r="K3008" s="5" t="s">
        <v>89</v>
      </c>
      <c r="L3008" s="2" t="s">
        <v>1735</v>
      </c>
      <c r="M3008" s="6" t="s">
        <v>91</v>
      </c>
      <c r="N3008" s="7" t="s">
        <v>92</v>
      </c>
      <c r="O3008" s="7" t="s">
        <v>93</v>
      </c>
      <c r="P3008" s="3" t="s">
        <v>673</v>
      </c>
      <c r="Q3008" s="8" t="s">
        <v>3383</v>
      </c>
      <c r="R3008" s="7" t="s">
        <v>3384</v>
      </c>
      <c r="S3008" s="9">
        <v>31</v>
      </c>
      <c r="T3008" s="9">
        <v>1437.5</v>
      </c>
      <c r="U3008" s="9">
        <f t="shared" ref="U3008" si="2080">T3008*S3008</f>
        <v>44562.5</v>
      </c>
      <c r="V3008" s="9">
        <f t="shared" ref="V3008" si="2081">U3008*1.12</f>
        <v>49910.000000000007</v>
      </c>
      <c r="W3008" s="7"/>
      <c r="X3008" s="2">
        <v>2016</v>
      </c>
      <c r="Y3008" s="2"/>
    </row>
    <row r="3009" spans="1:25" s="11" customFormat="1" ht="89.25" customHeight="1" outlineLevel="1" x14ac:dyDescent="0.25">
      <c r="A3009" s="1"/>
      <c r="B3009" s="2" t="s">
        <v>7258</v>
      </c>
      <c r="C3009" s="3" t="s">
        <v>83</v>
      </c>
      <c r="D3009" s="3" t="s">
        <v>5394</v>
      </c>
      <c r="E3009" s="3" t="s">
        <v>5395</v>
      </c>
      <c r="F3009" s="3" t="s">
        <v>5252</v>
      </c>
      <c r="G3009" s="3" t="s">
        <v>5396</v>
      </c>
      <c r="H3009" s="2" t="s">
        <v>694</v>
      </c>
      <c r="I3009" s="4">
        <v>0</v>
      </c>
      <c r="J3009" s="5">
        <v>710000000</v>
      </c>
      <c r="K3009" s="5" t="s">
        <v>89</v>
      </c>
      <c r="L3009" s="2" t="s">
        <v>754</v>
      </c>
      <c r="M3009" s="6" t="s">
        <v>91</v>
      </c>
      <c r="N3009" s="7" t="s">
        <v>92</v>
      </c>
      <c r="O3009" s="7" t="s">
        <v>93</v>
      </c>
      <c r="P3009" s="3" t="s">
        <v>673</v>
      </c>
      <c r="Q3009" s="8" t="s">
        <v>3383</v>
      </c>
      <c r="R3009" s="7" t="s">
        <v>3384</v>
      </c>
      <c r="S3009" s="9">
        <v>30</v>
      </c>
      <c r="T3009" s="9">
        <v>31</v>
      </c>
      <c r="U3009" s="9">
        <v>0</v>
      </c>
      <c r="V3009" s="9">
        <f t="shared" si="2027"/>
        <v>0</v>
      </c>
      <c r="W3009" s="7"/>
      <c r="X3009" s="2">
        <v>2016</v>
      </c>
      <c r="Y3009" s="2" t="s">
        <v>8493</v>
      </c>
    </row>
    <row r="3010" spans="1:25" s="11" customFormat="1" ht="89.25" customHeight="1" outlineLevel="1" x14ac:dyDescent="0.25">
      <c r="A3010" s="1"/>
      <c r="B3010" s="2" t="s">
        <v>8624</v>
      </c>
      <c r="C3010" s="3" t="s">
        <v>83</v>
      </c>
      <c r="D3010" s="3" t="s">
        <v>5394</v>
      </c>
      <c r="E3010" s="3" t="s">
        <v>5395</v>
      </c>
      <c r="F3010" s="3" t="s">
        <v>5252</v>
      </c>
      <c r="G3010" s="3" t="s">
        <v>5396</v>
      </c>
      <c r="H3010" s="2" t="s">
        <v>694</v>
      </c>
      <c r="I3010" s="4">
        <v>0</v>
      </c>
      <c r="J3010" s="5">
        <v>710000000</v>
      </c>
      <c r="K3010" s="5" t="s">
        <v>89</v>
      </c>
      <c r="L3010" s="2" t="s">
        <v>1735</v>
      </c>
      <c r="M3010" s="6" t="s">
        <v>91</v>
      </c>
      <c r="N3010" s="7" t="s">
        <v>92</v>
      </c>
      <c r="O3010" s="7" t="s">
        <v>93</v>
      </c>
      <c r="P3010" s="3" t="s">
        <v>673</v>
      </c>
      <c r="Q3010" s="8" t="s">
        <v>3383</v>
      </c>
      <c r="R3010" s="7" t="s">
        <v>3384</v>
      </c>
      <c r="S3010" s="9">
        <v>30</v>
      </c>
      <c r="T3010" s="9">
        <v>35.700000000000003</v>
      </c>
      <c r="U3010" s="9">
        <f t="shared" ref="U3010" si="2082">T3010*S3010</f>
        <v>1071</v>
      </c>
      <c r="V3010" s="9">
        <f t="shared" ref="V3010" si="2083">U3010*1.12</f>
        <v>1199.5200000000002</v>
      </c>
      <c r="W3010" s="7"/>
      <c r="X3010" s="2">
        <v>2016</v>
      </c>
      <c r="Y3010" s="2"/>
    </row>
    <row r="3011" spans="1:25" s="11" customFormat="1" ht="89.25" customHeight="1" outlineLevel="1" x14ac:dyDescent="0.25">
      <c r="A3011" s="1"/>
      <c r="B3011" s="2" t="s">
        <v>7259</v>
      </c>
      <c r="C3011" s="3" t="s">
        <v>83</v>
      </c>
      <c r="D3011" s="3" t="s">
        <v>5397</v>
      </c>
      <c r="E3011" s="3" t="s">
        <v>5398</v>
      </c>
      <c r="F3011" s="3" t="s">
        <v>5259</v>
      </c>
      <c r="G3011" s="3" t="s">
        <v>5399</v>
      </c>
      <c r="H3011" s="2" t="s">
        <v>694</v>
      </c>
      <c r="I3011" s="4">
        <v>0</v>
      </c>
      <c r="J3011" s="5">
        <v>710000000</v>
      </c>
      <c r="K3011" s="5" t="s">
        <v>89</v>
      </c>
      <c r="L3011" s="2" t="s">
        <v>754</v>
      </c>
      <c r="M3011" s="6" t="s">
        <v>91</v>
      </c>
      <c r="N3011" s="7" t="s">
        <v>92</v>
      </c>
      <c r="O3011" s="7" t="s">
        <v>93</v>
      </c>
      <c r="P3011" s="3" t="s">
        <v>673</v>
      </c>
      <c r="Q3011" s="8" t="s">
        <v>522</v>
      </c>
      <c r="R3011" s="7" t="s">
        <v>523</v>
      </c>
      <c r="S3011" s="9">
        <v>5</v>
      </c>
      <c r="T3011" s="9">
        <v>223</v>
      </c>
      <c r="U3011" s="9">
        <v>0</v>
      </c>
      <c r="V3011" s="9">
        <f t="shared" si="2027"/>
        <v>0</v>
      </c>
      <c r="W3011" s="7"/>
      <c r="X3011" s="2">
        <v>2016</v>
      </c>
      <c r="Y3011" s="2" t="s">
        <v>8493</v>
      </c>
    </row>
    <row r="3012" spans="1:25" s="11" customFormat="1" ht="89.25" customHeight="1" outlineLevel="1" x14ac:dyDescent="0.25">
      <c r="A3012" s="1"/>
      <c r="B3012" s="2" t="s">
        <v>8625</v>
      </c>
      <c r="C3012" s="3" t="s">
        <v>83</v>
      </c>
      <c r="D3012" s="3" t="s">
        <v>5397</v>
      </c>
      <c r="E3012" s="3" t="s">
        <v>5398</v>
      </c>
      <c r="F3012" s="3" t="s">
        <v>5259</v>
      </c>
      <c r="G3012" s="3" t="s">
        <v>5399</v>
      </c>
      <c r="H3012" s="2" t="s">
        <v>694</v>
      </c>
      <c r="I3012" s="4">
        <v>0</v>
      </c>
      <c r="J3012" s="5">
        <v>710000000</v>
      </c>
      <c r="K3012" s="5" t="s">
        <v>89</v>
      </c>
      <c r="L3012" s="2" t="s">
        <v>1735</v>
      </c>
      <c r="M3012" s="6" t="s">
        <v>91</v>
      </c>
      <c r="N3012" s="7" t="s">
        <v>92</v>
      </c>
      <c r="O3012" s="7" t="s">
        <v>93</v>
      </c>
      <c r="P3012" s="3" t="s">
        <v>673</v>
      </c>
      <c r="Q3012" s="8" t="s">
        <v>522</v>
      </c>
      <c r="R3012" s="7" t="s">
        <v>523</v>
      </c>
      <c r="S3012" s="9">
        <v>5</v>
      </c>
      <c r="T3012" s="9">
        <v>321.39999999999998</v>
      </c>
      <c r="U3012" s="9">
        <f t="shared" ref="U3012" si="2084">T3012*S3012</f>
        <v>1607</v>
      </c>
      <c r="V3012" s="9">
        <f t="shared" ref="V3012" si="2085">U3012*1.12</f>
        <v>1799.8400000000001</v>
      </c>
      <c r="W3012" s="7"/>
      <c r="X3012" s="2">
        <v>2016</v>
      </c>
      <c r="Y3012" s="2"/>
    </row>
    <row r="3013" spans="1:25" s="11" customFormat="1" ht="89.25" customHeight="1" outlineLevel="1" x14ac:dyDescent="0.25">
      <c r="A3013" s="1"/>
      <c r="B3013" s="2" t="s">
        <v>7260</v>
      </c>
      <c r="C3013" s="3" t="s">
        <v>83</v>
      </c>
      <c r="D3013" s="3" t="s">
        <v>5400</v>
      </c>
      <c r="E3013" s="3" t="s">
        <v>5401</v>
      </c>
      <c r="F3013" s="3" t="s">
        <v>5328</v>
      </c>
      <c r="G3013" s="3" t="s">
        <v>5402</v>
      </c>
      <c r="H3013" s="2" t="s">
        <v>694</v>
      </c>
      <c r="I3013" s="4">
        <v>0</v>
      </c>
      <c r="J3013" s="5">
        <v>710000000</v>
      </c>
      <c r="K3013" s="5" t="s">
        <v>89</v>
      </c>
      <c r="L3013" s="2" t="s">
        <v>754</v>
      </c>
      <c r="M3013" s="6" t="s">
        <v>91</v>
      </c>
      <c r="N3013" s="7" t="s">
        <v>92</v>
      </c>
      <c r="O3013" s="7" t="s">
        <v>93</v>
      </c>
      <c r="P3013" s="3" t="s">
        <v>673</v>
      </c>
      <c r="Q3013" s="8" t="s">
        <v>522</v>
      </c>
      <c r="R3013" s="7" t="s">
        <v>523</v>
      </c>
      <c r="S3013" s="9">
        <v>5</v>
      </c>
      <c r="T3013" s="9">
        <v>1250</v>
      </c>
      <c r="U3013" s="9">
        <v>0</v>
      </c>
      <c r="V3013" s="9">
        <f t="shared" si="2027"/>
        <v>0</v>
      </c>
      <c r="W3013" s="7"/>
      <c r="X3013" s="2">
        <v>2016</v>
      </c>
      <c r="Y3013" s="2" t="s">
        <v>8493</v>
      </c>
    </row>
    <row r="3014" spans="1:25" s="11" customFormat="1" ht="89.25" customHeight="1" outlineLevel="1" x14ac:dyDescent="0.25">
      <c r="A3014" s="1"/>
      <c r="B3014" s="2" t="s">
        <v>8626</v>
      </c>
      <c r="C3014" s="3" t="s">
        <v>83</v>
      </c>
      <c r="D3014" s="3" t="s">
        <v>5400</v>
      </c>
      <c r="E3014" s="3" t="s">
        <v>5401</v>
      </c>
      <c r="F3014" s="3" t="s">
        <v>5328</v>
      </c>
      <c r="G3014" s="3" t="s">
        <v>5402</v>
      </c>
      <c r="H3014" s="2" t="s">
        <v>694</v>
      </c>
      <c r="I3014" s="4">
        <v>0</v>
      </c>
      <c r="J3014" s="5">
        <v>710000000</v>
      </c>
      <c r="K3014" s="5" t="s">
        <v>89</v>
      </c>
      <c r="L3014" s="2" t="s">
        <v>1735</v>
      </c>
      <c r="M3014" s="6" t="s">
        <v>91</v>
      </c>
      <c r="N3014" s="7" t="s">
        <v>92</v>
      </c>
      <c r="O3014" s="7" t="s">
        <v>93</v>
      </c>
      <c r="P3014" s="3" t="s">
        <v>673</v>
      </c>
      <c r="Q3014" s="8" t="s">
        <v>522</v>
      </c>
      <c r="R3014" s="7" t="s">
        <v>523</v>
      </c>
      <c r="S3014" s="9">
        <v>5</v>
      </c>
      <c r="T3014" s="9">
        <v>1446.4</v>
      </c>
      <c r="U3014" s="9">
        <f t="shared" ref="U3014" si="2086">T3014*S3014</f>
        <v>7232</v>
      </c>
      <c r="V3014" s="9">
        <f t="shared" ref="V3014" si="2087">U3014*1.12</f>
        <v>8099.8400000000011</v>
      </c>
      <c r="W3014" s="7"/>
      <c r="X3014" s="2">
        <v>2016</v>
      </c>
      <c r="Y3014" s="2"/>
    </row>
    <row r="3015" spans="1:25" s="11" customFormat="1" ht="89.25" customHeight="1" outlineLevel="1" x14ac:dyDescent="0.25">
      <c r="A3015" s="1"/>
      <c r="B3015" s="2" t="s">
        <v>7261</v>
      </c>
      <c r="C3015" s="3" t="s">
        <v>83</v>
      </c>
      <c r="D3015" s="3" t="s">
        <v>5403</v>
      </c>
      <c r="E3015" s="3" t="s">
        <v>5404</v>
      </c>
      <c r="F3015" s="3" t="s">
        <v>5405</v>
      </c>
      <c r="G3015" s="3" t="s">
        <v>5406</v>
      </c>
      <c r="H3015" s="2" t="s">
        <v>694</v>
      </c>
      <c r="I3015" s="4">
        <v>0</v>
      </c>
      <c r="J3015" s="5">
        <v>710000000</v>
      </c>
      <c r="K3015" s="5" t="s">
        <v>89</v>
      </c>
      <c r="L3015" s="2" t="s">
        <v>754</v>
      </c>
      <c r="M3015" s="6" t="s">
        <v>91</v>
      </c>
      <c r="N3015" s="7" t="s">
        <v>92</v>
      </c>
      <c r="O3015" s="7" t="s">
        <v>93</v>
      </c>
      <c r="P3015" s="3" t="s">
        <v>673</v>
      </c>
      <c r="Q3015" s="8" t="s">
        <v>3383</v>
      </c>
      <c r="R3015" s="7" t="s">
        <v>3384</v>
      </c>
      <c r="S3015" s="9">
        <v>6</v>
      </c>
      <c r="T3015" s="9">
        <v>98</v>
      </c>
      <c r="U3015" s="9">
        <v>0</v>
      </c>
      <c r="V3015" s="9">
        <f t="shared" si="2027"/>
        <v>0</v>
      </c>
      <c r="W3015" s="7"/>
      <c r="X3015" s="2">
        <v>2016</v>
      </c>
      <c r="Y3015" s="2" t="s">
        <v>8493</v>
      </c>
    </row>
    <row r="3016" spans="1:25" s="11" customFormat="1" ht="89.25" customHeight="1" outlineLevel="1" x14ac:dyDescent="0.25">
      <c r="A3016" s="1"/>
      <c r="B3016" s="2" t="s">
        <v>8627</v>
      </c>
      <c r="C3016" s="3" t="s">
        <v>83</v>
      </c>
      <c r="D3016" s="3" t="s">
        <v>5403</v>
      </c>
      <c r="E3016" s="3" t="s">
        <v>5404</v>
      </c>
      <c r="F3016" s="3" t="s">
        <v>5405</v>
      </c>
      <c r="G3016" s="3" t="s">
        <v>5406</v>
      </c>
      <c r="H3016" s="2" t="s">
        <v>694</v>
      </c>
      <c r="I3016" s="4">
        <v>0</v>
      </c>
      <c r="J3016" s="5">
        <v>710000000</v>
      </c>
      <c r="K3016" s="5" t="s">
        <v>89</v>
      </c>
      <c r="L3016" s="2" t="s">
        <v>1735</v>
      </c>
      <c r="M3016" s="6" t="s">
        <v>91</v>
      </c>
      <c r="N3016" s="7" t="s">
        <v>92</v>
      </c>
      <c r="O3016" s="7" t="s">
        <v>93</v>
      </c>
      <c r="P3016" s="3" t="s">
        <v>673</v>
      </c>
      <c r="Q3016" s="8" t="s">
        <v>3383</v>
      </c>
      <c r="R3016" s="7" t="s">
        <v>3384</v>
      </c>
      <c r="S3016" s="9">
        <v>6</v>
      </c>
      <c r="T3016" s="9">
        <v>138.4</v>
      </c>
      <c r="U3016" s="9">
        <f t="shared" ref="U3016" si="2088">T3016*S3016</f>
        <v>830.40000000000009</v>
      </c>
      <c r="V3016" s="9">
        <f t="shared" ref="V3016" si="2089">U3016*1.12</f>
        <v>930.04800000000023</v>
      </c>
      <c r="W3016" s="7"/>
      <c r="X3016" s="2">
        <v>2016</v>
      </c>
      <c r="Y3016" s="2"/>
    </row>
    <row r="3017" spans="1:25" s="11" customFormat="1" ht="89.25" customHeight="1" outlineLevel="1" x14ac:dyDescent="0.25">
      <c r="A3017" s="1"/>
      <c r="B3017" s="2" t="s">
        <v>7262</v>
      </c>
      <c r="C3017" s="3" t="s">
        <v>83</v>
      </c>
      <c r="D3017" s="3" t="s">
        <v>5407</v>
      </c>
      <c r="E3017" s="3" t="s">
        <v>5408</v>
      </c>
      <c r="F3017" s="3" t="s">
        <v>5237</v>
      </c>
      <c r="G3017" s="3" t="s">
        <v>5409</v>
      </c>
      <c r="H3017" s="2" t="s">
        <v>694</v>
      </c>
      <c r="I3017" s="4">
        <v>0</v>
      </c>
      <c r="J3017" s="5">
        <v>710000000</v>
      </c>
      <c r="K3017" s="5" t="s">
        <v>89</v>
      </c>
      <c r="L3017" s="2" t="s">
        <v>754</v>
      </c>
      <c r="M3017" s="6" t="s">
        <v>91</v>
      </c>
      <c r="N3017" s="7" t="s">
        <v>92</v>
      </c>
      <c r="O3017" s="7" t="s">
        <v>93</v>
      </c>
      <c r="P3017" s="3" t="s">
        <v>673</v>
      </c>
      <c r="Q3017" s="8" t="s">
        <v>522</v>
      </c>
      <c r="R3017" s="7" t="s">
        <v>523</v>
      </c>
      <c r="S3017" s="9">
        <v>5</v>
      </c>
      <c r="T3017" s="9">
        <v>339</v>
      </c>
      <c r="U3017" s="9">
        <v>0</v>
      </c>
      <c r="V3017" s="9">
        <f t="shared" si="2027"/>
        <v>0</v>
      </c>
      <c r="W3017" s="7"/>
      <c r="X3017" s="2">
        <v>2016</v>
      </c>
      <c r="Y3017" s="2" t="s">
        <v>8493</v>
      </c>
    </row>
    <row r="3018" spans="1:25" s="11" customFormat="1" ht="89.25" customHeight="1" outlineLevel="1" x14ac:dyDescent="0.25">
      <c r="A3018" s="1"/>
      <c r="B3018" s="2" t="s">
        <v>8628</v>
      </c>
      <c r="C3018" s="3" t="s">
        <v>83</v>
      </c>
      <c r="D3018" s="3" t="s">
        <v>5407</v>
      </c>
      <c r="E3018" s="3" t="s">
        <v>5408</v>
      </c>
      <c r="F3018" s="3" t="s">
        <v>5237</v>
      </c>
      <c r="G3018" s="3" t="s">
        <v>5409</v>
      </c>
      <c r="H3018" s="2" t="s">
        <v>694</v>
      </c>
      <c r="I3018" s="4">
        <v>0</v>
      </c>
      <c r="J3018" s="5">
        <v>710000000</v>
      </c>
      <c r="K3018" s="5" t="s">
        <v>89</v>
      </c>
      <c r="L3018" s="2" t="s">
        <v>1735</v>
      </c>
      <c r="M3018" s="6" t="s">
        <v>91</v>
      </c>
      <c r="N3018" s="7" t="s">
        <v>92</v>
      </c>
      <c r="O3018" s="7" t="s">
        <v>93</v>
      </c>
      <c r="P3018" s="3" t="s">
        <v>673</v>
      </c>
      <c r="Q3018" s="8" t="s">
        <v>522</v>
      </c>
      <c r="R3018" s="7" t="s">
        <v>523</v>
      </c>
      <c r="S3018" s="9">
        <v>5</v>
      </c>
      <c r="T3018" s="9">
        <v>491.1</v>
      </c>
      <c r="U3018" s="9">
        <f t="shared" ref="U3018" si="2090">T3018*S3018</f>
        <v>2455.5</v>
      </c>
      <c r="V3018" s="9">
        <f t="shared" ref="V3018" si="2091">U3018*1.12</f>
        <v>2750.1600000000003</v>
      </c>
      <c r="W3018" s="7"/>
      <c r="X3018" s="2">
        <v>2016</v>
      </c>
      <c r="Y3018" s="2"/>
    </row>
    <row r="3019" spans="1:25" s="11" customFormat="1" ht="89.25" customHeight="1" outlineLevel="1" x14ac:dyDescent="0.25">
      <c r="A3019" s="1"/>
      <c r="B3019" s="2" t="s">
        <v>7263</v>
      </c>
      <c r="C3019" s="3" t="s">
        <v>83</v>
      </c>
      <c r="D3019" s="3" t="s">
        <v>5410</v>
      </c>
      <c r="E3019" s="3" t="s">
        <v>5411</v>
      </c>
      <c r="F3019" s="3" t="s">
        <v>5252</v>
      </c>
      <c r="G3019" s="19" t="s">
        <v>5412</v>
      </c>
      <c r="H3019" s="2" t="s">
        <v>694</v>
      </c>
      <c r="I3019" s="4">
        <v>0</v>
      </c>
      <c r="J3019" s="5">
        <v>710000000</v>
      </c>
      <c r="K3019" s="5" t="s">
        <v>89</v>
      </c>
      <c r="L3019" s="2" t="s">
        <v>754</v>
      </c>
      <c r="M3019" s="6" t="s">
        <v>91</v>
      </c>
      <c r="N3019" s="7" t="s">
        <v>92</v>
      </c>
      <c r="O3019" s="7" t="s">
        <v>93</v>
      </c>
      <c r="P3019" s="3" t="s">
        <v>673</v>
      </c>
      <c r="Q3019" s="8" t="s">
        <v>3383</v>
      </c>
      <c r="R3019" s="7" t="s">
        <v>3384</v>
      </c>
      <c r="S3019" s="9">
        <v>35</v>
      </c>
      <c r="T3019" s="9">
        <v>170</v>
      </c>
      <c r="U3019" s="9">
        <v>0</v>
      </c>
      <c r="V3019" s="9">
        <f t="shared" si="2027"/>
        <v>0</v>
      </c>
      <c r="W3019" s="7"/>
      <c r="X3019" s="2">
        <v>2016</v>
      </c>
      <c r="Y3019" s="2" t="s">
        <v>8493</v>
      </c>
    </row>
    <row r="3020" spans="1:25" s="11" customFormat="1" ht="89.25" customHeight="1" outlineLevel="1" x14ac:dyDescent="0.25">
      <c r="A3020" s="1"/>
      <c r="B3020" s="2" t="s">
        <v>8629</v>
      </c>
      <c r="C3020" s="3" t="s">
        <v>83</v>
      </c>
      <c r="D3020" s="3" t="s">
        <v>5410</v>
      </c>
      <c r="E3020" s="3" t="s">
        <v>5411</v>
      </c>
      <c r="F3020" s="3" t="s">
        <v>5252</v>
      </c>
      <c r="G3020" s="19" t="s">
        <v>5412</v>
      </c>
      <c r="H3020" s="2" t="s">
        <v>694</v>
      </c>
      <c r="I3020" s="4">
        <v>0</v>
      </c>
      <c r="J3020" s="5">
        <v>710000000</v>
      </c>
      <c r="K3020" s="5" t="s">
        <v>89</v>
      </c>
      <c r="L3020" s="2" t="s">
        <v>1735</v>
      </c>
      <c r="M3020" s="6" t="s">
        <v>91</v>
      </c>
      <c r="N3020" s="7" t="s">
        <v>92</v>
      </c>
      <c r="O3020" s="7" t="s">
        <v>93</v>
      </c>
      <c r="P3020" s="3" t="s">
        <v>673</v>
      </c>
      <c r="Q3020" s="8" t="s">
        <v>3383</v>
      </c>
      <c r="R3020" s="7" t="s">
        <v>3384</v>
      </c>
      <c r="S3020" s="9">
        <v>35</v>
      </c>
      <c r="T3020" s="9">
        <v>241.1</v>
      </c>
      <c r="U3020" s="9">
        <f t="shared" ref="U3020" si="2092">T3020*S3020</f>
        <v>8438.5</v>
      </c>
      <c r="V3020" s="9">
        <f t="shared" ref="V3020" si="2093">U3020*1.12</f>
        <v>9451.1200000000008</v>
      </c>
      <c r="W3020" s="7"/>
      <c r="X3020" s="2">
        <v>2016</v>
      </c>
      <c r="Y3020" s="2"/>
    </row>
    <row r="3021" spans="1:25" s="11" customFormat="1" ht="89.25" customHeight="1" outlineLevel="1" x14ac:dyDescent="0.25">
      <c r="A3021" s="1"/>
      <c r="B3021" s="2" t="s">
        <v>7264</v>
      </c>
      <c r="C3021" s="3" t="s">
        <v>83</v>
      </c>
      <c r="D3021" s="3" t="s">
        <v>5413</v>
      </c>
      <c r="E3021" s="3" t="s">
        <v>5414</v>
      </c>
      <c r="F3021" s="3" t="s">
        <v>5415</v>
      </c>
      <c r="G3021" s="19" t="s">
        <v>5319</v>
      </c>
      <c r="H3021" s="2" t="s">
        <v>694</v>
      </c>
      <c r="I3021" s="4">
        <v>0</v>
      </c>
      <c r="J3021" s="5">
        <v>710000000</v>
      </c>
      <c r="K3021" s="5" t="s">
        <v>89</v>
      </c>
      <c r="L3021" s="2" t="s">
        <v>754</v>
      </c>
      <c r="M3021" s="6" t="s">
        <v>91</v>
      </c>
      <c r="N3021" s="7" t="s">
        <v>92</v>
      </c>
      <c r="O3021" s="7" t="s">
        <v>93</v>
      </c>
      <c r="P3021" s="3" t="s">
        <v>673</v>
      </c>
      <c r="Q3021" s="8" t="s">
        <v>3383</v>
      </c>
      <c r="R3021" s="7" t="s">
        <v>3384</v>
      </c>
      <c r="S3021" s="9">
        <v>5</v>
      </c>
      <c r="T3021" s="9">
        <v>237</v>
      </c>
      <c r="U3021" s="9">
        <v>0</v>
      </c>
      <c r="V3021" s="9">
        <f t="shared" si="2027"/>
        <v>0</v>
      </c>
      <c r="W3021" s="7"/>
      <c r="X3021" s="2">
        <v>2016</v>
      </c>
      <c r="Y3021" s="2" t="s">
        <v>8493</v>
      </c>
    </row>
    <row r="3022" spans="1:25" s="11" customFormat="1" ht="89.25" customHeight="1" outlineLevel="1" x14ac:dyDescent="0.25">
      <c r="A3022" s="1"/>
      <c r="B3022" s="2" t="s">
        <v>8630</v>
      </c>
      <c r="C3022" s="3" t="s">
        <v>83</v>
      </c>
      <c r="D3022" s="3" t="s">
        <v>5413</v>
      </c>
      <c r="E3022" s="3" t="s">
        <v>5414</v>
      </c>
      <c r="F3022" s="3" t="s">
        <v>5415</v>
      </c>
      <c r="G3022" s="19" t="s">
        <v>5319</v>
      </c>
      <c r="H3022" s="2" t="s">
        <v>694</v>
      </c>
      <c r="I3022" s="4">
        <v>0</v>
      </c>
      <c r="J3022" s="5">
        <v>710000000</v>
      </c>
      <c r="K3022" s="5" t="s">
        <v>89</v>
      </c>
      <c r="L3022" s="2" t="s">
        <v>1735</v>
      </c>
      <c r="M3022" s="6" t="s">
        <v>91</v>
      </c>
      <c r="N3022" s="7" t="s">
        <v>92</v>
      </c>
      <c r="O3022" s="7" t="s">
        <v>93</v>
      </c>
      <c r="P3022" s="3" t="s">
        <v>673</v>
      </c>
      <c r="Q3022" s="8" t="s">
        <v>3383</v>
      </c>
      <c r="R3022" s="7" t="s">
        <v>3384</v>
      </c>
      <c r="S3022" s="9">
        <v>5</v>
      </c>
      <c r="T3022" s="9">
        <v>267.89999999999998</v>
      </c>
      <c r="U3022" s="9">
        <f t="shared" ref="U3022" si="2094">T3022*S3022</f>
        <v>1339.5</v>
      </c>
      <c r="V3022" s="9">
        <f t="shared" ref="V3022" si="2095">U3022*1.12</f>
        <v>1500.2400000000002</v>
      </c>
      <c r="W3022" s="7"/>
      <c r="X3022" s="2">
        <v>2016</v>
      </c>
      <c r="Y3022" s="2"/>
    </row>
    <row r="3023" spans="1:25" s="11" customFormat="1" ht="89.25" customHeight="1" outlineLevel="1" x14ac:dyDescent="0.25">
      <c r="A3023" s="1"/>
      <c r="B3023" s="2" t="s">
        <v>7265</v>
      </c>
      <c r="C3023" s="3" t="s">
        <v>83</v>
      </c>
      <c r="D3023" s="3" t="s">
        <v>5416</v>
      </c>
      <c r="E3023" s="3" t="s">
        <v>5417</v>
      </c>
      <c r="F3023" s="3" t="s">
        <v>5418</v>
      </c>
      <c r="G3023" s="3" t="s">
        <v>5419</v>
      </c>
      <c r="H3023" s="2" t="s">
        <v>694</v>
      </c>
      <c r="I3023" s="4">
        <v>0</v>
      </c>
      <c r="J3023" s="5">
        <v>710000000</v>
      </c>
      <c r="K3023" s="5" t="s">
        <v>89</v>
      </c>
      <c r="L3023" s="2" t="s">
        <v>754</v>
      </c>
      <c r="M3023" s="6" t="s">
        <v>91</v>
      </c>
      <c r="N3023" s="7" t="s">
        <v>92</v>
      </c>
      <c r="O3023" s="7" t="s">
        <v>93</v>
      </c>
      <c r="P3023" s="3" t="s">
        <v>673</v>
      </c>
      <c r="Q3023" s="8" t="s">
        <v>522</v>
      </c>
      <c r="R3023" s="7" t="s">
        <v>523</v>
      </c>
      <c r="S3023" s="9">
        <v>4</v>
      </c>
      <c r="T3023" s="9">
        <v>1531</v>
      </c>
      <c r="U3023" s="9">
        <v>0</v>
      </c>
      <c r="V3023" s="9">
        <f t="shared" si="2027"/>
        <v>0</v>
      </c>
      <c r="W3023" s="7"/>
      <c r="X3023" s="2">
        <v>2016</v>
      </c>
      <c r="Y3023" s="2" t="s">
        <v>8493</v>
      </c>
    </row>
    <row r="3024" spans="1:25" s="11" customFormat="1" ht="89.25" customHeight="1" outlineLevel="1" x14ac:dyDescent="0.25">
      <c r="A3024" s="1"/>
      <c r="B3024" s="2" t="s">
        <v>8631</v>
      </c>
      <c r="C3024" s="3" t="s">
        <v>83</v>
      </c>
      <c r="D3024" s="3" t="s">
        <v>5416</v>
      </c>
      <c r="E3024" s="3" t="s">
        <v>5417</v>
      </c>
      <c r="F3024" s="3" t="s">
        <v>5418</v>
      </c>
      <c r="G3024" s="3" t="s">
        <v>5419</v>
      </c>
      <c r="H3024" s="2" t="s">
        <v>694</v>
      </c>
      <c r="I3024" s="4">
        <v>0</v>
      </c>
      <c r="J3024" s="5">
        <v>710000000</v>
      </c>
      <c r="K3024" s="5" t="s">
        <v>89</v>
      </c>
      <c r="L3024" s="2" t="s">
        <v>1735</v>
      </c>
      <c r="M3024" s="6" t="s">
        <v>91</v>
      </c>
      <c r="N3024" s="7" t="s">
        <v>92</v>
      </c>
      <c r="O3024" s="7" t="s">
        <v>93</v>
      </c>
      <c r="P3024" s="3" t="s">
        <v>673</v>
      </c>
      <c r="Q3024" s="8" t="s">
        <v>522</v>
      </c>
      <c r="R3024" s="7" t="s">
        <v>523</v>
      </c>
      <c r="S3024" s="9">
        <v>4</v>
      </c>
      <c r="T3024" s="9">
        <v>2008.9</v>
      </c>
      <c r="U3024" s="9">
        <f t="shared" ref="U3024" si="2096">T3024*S3024</f>
        <v>8035.6</v>
      </c>
      <c r="V3024" s="9">
        <f t="shared" ref="V3024" si="2097">U3024*1.12</f>
        <v>8999.8720000000012</v>
      </c>
      <c r="W3024" s="7"/>
      <c r="X3024" s="2">
        <v>2016</v>
      </c>
      <c r="Y3024" s="2"/>
    </row>
    <row r="3025" spans="1:25" s="11" customFormat="1" ht="89.25" customHeight="1" outlineLevel="1" x14ac:dyDescent="0.25">
      <c r="A3025" s="1"/>
      <c r="B3025" s="2" t="s">
        <v>7266</v>
      </c>
      <c r="C3025" s="3" t="s">
        <v>83</v>
      </c>
      <c r="D3025" s="3" t="s">
        <v>5420</v>
      </c>
      <c r="E3025" s="3" t="s">
        <v>5421</v>
      </c>
      <c r="F3025" s="3" t="s">
        <v>5237</v>
      </c>
      <c r="G3025" s="3" t="s">
        <v>5422</v>
      </c>
      <c r="H3025" s="2" t="s">
        <v>694</v>
      </c>
      <c r="I3025" s="4">
        <v>0</v>
      </c>
      <c r="J3025" s="5">
        <v>710000000</v>
      </c>
      <c r="K3025" s="5" t="s">
        <v>89</v>
      </c>
      <c r="L3025" s="2" t="s">
        <v>754</v>
      </c>
      <c r="M3025" s="6" t="s">
        <v>91</v>
      </c>
      <c r="N3025" s="7" t="s">
        <v>92</v>
      </c>
      <c r="O3025" s="7" t="s">
        <v>93</v>
      </c>
      <c r="P3025" s="3" t="s">
        <v>673</v>
      </c>
      <c r="Q3025" s="8" t="s">
        <v>522</v>
      </c>
      <c r="R3025" s="7" t="s">
        <v>523</v>
      </c>
      <c r="S3025" s="9">
        <v>23</v>
      </c>
      <c r="T3025" s="9">
        <v>63</v>
      </c>
      <c r="U3025" s="9">
        <v>0</v>
      </c>
      <c r="V3025" s="9">
        <f t="shared" si="2027"/>
        <v>0</v>
      </c>
      <c r="W3025" s="7"/>
      <c r="X3025" s="2">
        <v>2016</v>
      </c>
      <c r="Y3025" s="2" t="s">
        <v>8493</v>
      </c>
    </row>
    <row r="3026" spans="1:25" s="11" customFormat="1" ht="89.25" customHeight="1" outlineLevel="1" x14ac:dyDescent="0.25">
      <c r="A3026" s="1"/>
      <c r="B3026" s="2" t="s">
        <v>8694</v>
      </c>
      <c r="C3026" s="3" t="s">
        <v>83</v>
      </c>
      <c r="D3026" s="3" t="s">
        <v>5420</v>
      </c>
      <c r="E3026" s="3" t="s">
        <v>5421</v>
      </c>
      <c r="F3026" s="3" t="s">
        <v>5237</v>
      </c>
      <c r="G3026" s="3" t="s">
        <v>5422</v>
      </c>
      <c r="H3026" s="2" t="s">
        <v>694</v>
      </c>
      <c r="I3026" s="4">
        <v>0</v>
      </c>
      <c r="J3026" s="5">
        <v>710000000</v>
      </c>
      <c r="K3026" s="5" t="s">
        <v>89</v>
      </c>
      <c r="L3026" s="2" t="s">
        <v>1735</v>
      </c>
      <c r="M3026" s="6" t="s">
        <v>91</v>
      </c>
      <c r="N3026" s="7" t="s">
        <v>92</v>
      </c>
      <c r="O3026" s="7" t="s">
        <v>93</v>
      </c>
      <c r="P3026" s="3" t="s">
        <v>673</v>
      </c>
      <c r="Q3026" s="8" t="s">
        <v>522</v>
      </c>
      <c r="R3026" s="7" t="s">
        <v>523</v>
      </c>
      <c r="S3026" s="9">
        <v>23</v>
      </c>
      <c r="T3026" s="9">
        <v>75.900000000000006</v>
      </c>
      <c r="U3026" s="9">
        <f t="shared" ref="U3026" si="2098">T3026*S3026</f>
        <v>1745.7</v>
      </c>
      <c r="V3026" s="9">
        <f t="shared" ref="V3026" si="2099">U3026*1.12</f>
        <v>1955.1840000000002</v>
      </c>
      <c r="W3026" s="7"/>
      <c r="X3026" s="2">
        <v>2016</v>
      </c>
      <c r="Y3026" s="2"/>
    </row>
    <row r="3027" spans="1:25" s="11" customFormat="1" ht="89.25" customHeight="1" outlineLevel="1" x14ac:dyDescent="0.25">
      <c r="A3027" s="1"/>
      <c r="B3027" s="2" t="s">
        <v>7267</v>
      </c>
      <c r="C3027" s="3" t="s">
        <v>83</v>
      </c>
      <c r="D3027" s="3" t="s">
        <v>5423</v>
      </c>
      <c r="E3027" s="3" t="s">
        <v>5421</v>
      </c>
      <c r="F3027" s="3" t="s">
        <v>5270</v>
      </c>
      <c r="G3027" s="3" t="s">
        <v>5424</v>
      </c>
      <c r="H3027" s="2" t="s">
        <v>694</v>
      </c>
      <c r="I3027" s="4">
        <v>0</v>
      </c>
      <c r="J3027" s="5">
        <v>710000000</v>
      </c>
      <c r="K3027" s="5" t="s">
        <v>89</v>
      </c>
      <c r="L3027" s="2" t="s">
        <v>754</v>
      </c>
      <c r="M3027" s="6" t="s">
        <v>91</v>
      </c>
      <c r="N3027" s="7" t="s">
        <v>92</v>
      </c>
      <c r="O3027" s="7" t="s">
        <v>93</v>
      </c>
      <c r="P3027" s="3" t="s">
        <v>673</v>
      </c>
      <c r="Q3027" s="8" t="s">
        <v>522</v>
      </c>
      <c r="R3027" s="7" t="s">
        <v>523</v>
      </c>
      <c r="S3027" s="9">
        <v>6</v>
      </c>
      <c r="T3027" s="9">
        <v>54</v>
      </c>
      <c r="U3027" s="9">
        <v>0</v>
      </c>
      <c r="V3027" s="9">
        <f t="shared" si="2027"/>
        <v>0</v>
      </c>
      <c r="W3027" s="7"/>
      <c r="X3027" s="2">
        <v>2016</v>
      </c>
      <c r="Y3027" s="2" t="s">
        <v>8493</v>
      </c>
    </row>
    <row r="3028" spans="1:25" s="11" customFormat="1" ht="89.25" customHeight="1" outlineLevel="1" x14ac:dyDescent="0.25">
      <c r="A3028" s="1"/>
      <c r="B3028" s="2" t="s">
        <v>8695</v>
      </c>
      <c r="C3028" s="3" t="s">
        <v>83</v>
      </c>
      <c r="D3028" s="3" t="s">
        <v>5423</v>
      </c>
      <c r="E3028" s="3" t="s">
        <v>5421</v>
      </c>
      <c r="F3028" s="3" t="s">
        <v>5270</v>
      </c>
      <c r="G3028" s="3" t="s">
        <v>5424</v>
      </c>
      <c r="H3028" s="2" t="s">
        <v>694</v>
      </c>
      <c r="I3028" s="4">
        <v>0</v>
      </c>
      <c r="J3028" s="5">
        <v>710000000</v>
      </c>
      <c r="K3028" s="5" t="s">
        <v>89</v>
      </c>
      <c r="L3028" s="2" t="s">
        <v>1735</v>
      </c>
      <c r="M3028" s="6" t="s">
        <v>91</v>
      </c>
      <c r="N3028" s="7" t="s">
        <v>92</v>
      </c>
      <c r="O3028" s="7" t="s">
        <v>93</v>
      </c>
      <c r="P3028" s="3" t="s">
        <v>673</v>
      </c>
      <c r="Q3028" s="8" t="s">
        <v>522</v>
      </c>
      <c r="R3028" s="7" t="s">
        <v>523</v>
      </c>
      <c r="S3028" s="9">
        <v>6</v>
      </c>
      <c r="T3028" s="9">
        <v>71.400000000000006</v>
      </c>
      <c r="U3028" s="9">
        <f t="shared" ref="U3028" si="2100">T3028*S3028</f>
        <v>428.40000000000003</v>
      </c>
      <c r="V3028" s="9">
        <f t="shared" ref="V3028" si="2101">U3028*1.12</f>
        <v>479.80800000000011</v>
      </c>
      <c r="W3028" s="7"/>
      <c r="X3028" s="2">
        <v>2016</v>
      </c>
      <c r="Y3028" s="2"/>
    </row>
    <row r="3029" spans="1:25" s="11" customFormat="1" ht="89.25" customHeight="1" outlineLevel="1" x14ac:dyDescent="0.25">
      <c r="A3029" s="1"/>
      <c r="B3029" s="2" t="s">
        <v>7268</v>
      </c>
      <c r="C3029" s="3" t="s">
        <v>83</v>
      </c>
      <c r="D3029" s="3" t="s">
        <v>5425</v>
      </c>
      <c r="E3029" s="3" t="s">
        <v>5426</v>
      </c>
      <c r="F3029" s="3" t="s">
        <v>5427</v>
      </c>
      <c r="G3029" s="3" t="s">
        <v>5427</v>
      </c>
      <c r="H3029" s="2" t="s">
        <v>694</v>
      </c>
      <c r="I3029" s="4">
        <v>0</v>
      </c>
      <c r="J3029" s="5">
        <v>710000000</v>
      </c>
      <c r="K3029" s="5" t="s">
        <v>89</v>
      </c>
      <c r="L3029" s="2" t="s">
        <v>754</v>
      </c>
      <c r="M3029" s="6" t="s">
        <v>91</v>
      </c>
      <c r="N3029" s="7" t="s">
        <v>92</v>
      </c>
      <c r="O3029" s="7" t="s">
        <v>93</v>
      </c>
      <c r="P3029" s="3" t="s">
        <v>673</v>
      </c>
      <c r="Q3029" s="8" t="s">
        <v>3383</v>
      </c>
      <c r="R3029" s="7" t="s">
        <v>3384</v>
      </c>
      <c r="S3029" s="9">
        <v>3</v>
      </c>
      <c r="T3029" s="9">
        <v>402</v>
      </c>
      <c r="U3029" s="9">
        <v>0</v>
      </c>
      <c r="V3029" s="9">
        <f t="shared" si="2027"/>
        <v>0</v>
      </c>
      <c r="W3029" s="7"/>
      <c r="X3029" s="2">
        <v>2016</v>
      </c>
      <c r="Y3029" s="2" t="s">
        <v>8493</v>
      </c>
    </row>
    <row r="3030" spans="1:25" s="11" customFormat="1" ht="89.25" customHeight="1" outlineLevel="1" x14ac:dyDescent="0.25">
      <c r="A3030" s="1"/>
      <c r="B3030" s="2" t="s">
        <v>8632</v>
      </c>
      <c r="C3030" s="3" t="s">
        <v>83</v>
      </c>
      <c r="D3030" s="3" t="s">
        <v>5425</v>
      </c>
      <c r="E3030" s="3" t="s">
        <v>5426</v>
      </c>
      <c r="F3030" s="3" t="s">
        <v>5427</v>
      </c>
      <c r="G3030" s="3" t="s">
        <v>5427</v>
      </c>
      <c r="H3030" s="2" t="s">
        <v>694</v>
      </c>
      <c r="I3030" s="4">
        <v>0</v>
      </c>
      <c r="J3030" s="5">
        <v>710000000</v>
      </c>
      <c r="K3030" s="5" t="s">
        <v>89</v>
      </c>
      <c r="L3030" s="2" t="s">
        <v>1735</v>
      </c>
      <c r="M3030" s="6" t="s">
        <v>91</v>
      </c>
      <c r="N3030" s="7" t="s">
        <v>92</v>
      </c>
      <c r="O3030" s="7" t="s">
        <v>93</v>
      </c>
      <c r="P3030" s="3" t="s">
        <v>673</v>
      </c>
      <c r="Q3030" s="8" t="s">
        <v>3383</v>
      </c>
      <c r="R3030" s="7" t="s">
        <v>3384</v>
      </c>
      <c r="S3030" s="9">
        <v>3</v>
      </c>
      <c r="T3030" s="9">
        <v>848.2</v>
      </c>
      <c r="U3030" s="9">
        <f t="shared" ref="U3030" si="2102">T3030*S3030</f>
        <v>2544.6000000000004</v>
      </c>
      <c r="V3030" s="9">
        <f t="shared" ref="V3030" si="2103">U3030*1.12</f>
        <v>2849.9520000000007</v>
      </c>
      <c r="W3030" s="7"/>
      <c r="X3030" s="2">
        <v>2016</v>
      </c>
      <c r="Y3030" s="2"/>
    </row>
    <row r="3031" spans="1:25" s="11" customFormat="1" ht="89.25" customHeight="1" outlineLevel="1" x14ac:dyDescent="0.25">
      <c r="A3031" s="1"/>
      <c r="B3031" s="2" t="s">
        <v>7269</v>
      </c>
      <c r="C3031" s="3" t="s">
        <v>83</v>
      </c>
      <c r="D3031" s="3" t="s">
        <v>5428</v>
      </c>
      <c r="E3031" s="3" t="s">
        <v>5429</v>
      </c>
      <c r="F3031" s="3" t="s">
        <v>5237</v>
      </c>
      <c r="G3031" s="3"/>
      <c r="H3031" s="2" t="s">
        <v>694</v>
      </c>
      <c r="I3031" s="4">
        <v>0</v>
      </c>
      <c r="J3031" s="5">
        <v>710000000</v>
      </c>
      <c r="K3031" s="5" t="s">
        <v>89</v>
      </c>
      <c r="L3031" s="2" t="s">
        <v>754</v>
      </c>
      <c r="M3031" s="6" t="s">
        <v>91</v>
      </c>
      <c r="N3031" s="7" t="s">
        <v>92</v>
      </c>
      <c r="O3031" s="7" t="s">
        <v>93</v>
      </c>
      <c r="P3031" s="3" t="s">
        <v>673</v>
      </c>
      <c r="Q3031" s="8" t="s">
        <v>522</v>
      </c>
      <c r="R3031" s="7" t="s">
        <v>523</v>
      </c>
      <c r="S3031" s="9">
        <v>2</v>
      </c>
      <c r="T3031" s="9">
        <v>107</v>
      </c>
      <c r="U3031" s="9">
        <v>0</v>
      </c>
      <c r="V3031" s="9">
        <f t="shared" si="2027"/>
        <v>0</v>
      </c>
      <c r="W3031" s="7"/>
      <c r="X3031" s="2">
        <v>2016</v>
      </c>
      <c r="Y3031" s="2" t="s">
        <v>8493</v>
      </c>
    </row>
    <row r="3032" spans="1:25" s="11" customFormat="1" ht="89.25" customHeight="1" outlineLevel="1" x14ac:dyDescent="0.25">
      <c r="A3032" s="1"/>
      <c r="B3032" s="2" t="s">
        <v>8633</v>
      </c>
      <c r="C3032" s="3" t="s">
        <v>83</v>
      </c>
      <c r="D3032" s="3" t="s">
        <v>5428</v>
      </c>
      <c r="E3032" s="3" t="s">
        <v>5429</v>
      </c>
      <c r="F3032" s="3" t="s">
        <v>5237</v>
      </c>
      <c r="G3032" s="3"/>
      <c r="H3032" s="2" t="s">
        <v>694</v>
      </c>
      <c r="I3032" s="4">
        <v>0</v>
      </c>
      <c r="J3032" s="5">
        <v>710000000</v>
      </c>
      <c r="K3032" s="5" t="s">
        <v>89</v>
      </c>
      <c r="L3032" s="2" t="s">
        <v>1735</v>
      </c>
      <c r="M3032" s="6" t="s">
        <v>91</v>
      </c>
      <c r="N3032" s="7" t="s">
        <v>92</v>
      </c>
      <c r="O3032" s="7" t="s">
        <v>93</v>
      </c>
      <c r="P3032" s="3" t="s">
        <v>673</v>
      </c>
      <c r="Q3032" s="8" t="s">
        <v>522</v>
      </c>
      <c r="R3032" s="7" t="s">
        <v>523</v>
      </c>
      <c r="S3032" s="9">
        <v>2</v>
      </c>
      <c r="T3032" s="9">
        <v>107.1</v>
      </c>
      <c r="U3032" s="9">
        <f t="shared" ref="U3032" si="2104">T3032*S3032</f>
        <v>214.2</v>
      </c>
      <c r="V3032" s="9">
        <f t="shared" ref="V3032" si="2105">U3032*1.12</f>
        <v>239.904</v>
      </c>
      <c r="W3032" s="7"/>
      <c r="X3032" s="2">
        <v>2016</v>
      </c>
      <c r="Y3032" s="2"/>
    </row>
    <row r="3033" spans="1:25" s="11" customFormat="1" ht="89.25" customHeight="1" outlineLevel="1" x14ac:dyDescent="0.25">
      <c r="A3033" s="1"/>
      <c r="B3033" s="2" t="s">
        <v>7270</v>
      </c>
      <c r="C3033" s="3" t="s">
        <v>83</v>
      </c>
      <c r="D3033" s="3" t="s">
        <v>5430</v>
      </c>
      <c r="E3033" s="3" t="s">
        <v>5431</v>
      </c>
      <c r="F3033" s="3" t="s">
        <v>5252</v>
      </c>
      <c r="G3033" s="3" t="s">
        <v>5432</v>
      </c>
      <c r="H3033" s="2" t="s">
        <v>694</v>
      </c>
      <c r="I3033" s="4">
        <v>0</v>
      </c>
      <c r="J3033" s="5">
        <v>710000000</v>
      </c>
      <c r="K3033" s="5" t="s">
        <v>89</v>
      </c>
      <c r="L3033" s="2" t="s">
        <v>754</v>
      </c>
      <c r="M3033" s="6" t="s">
        <v>91</v>
      </c>
      <c r="N3033" s="7" t="s">
        <v>92</v>
      </c>
      <c r="O3033" s="7" t="s">
        <v>93</v>
      </c>
      <c r="P3033" s="3" t="s">
        <v>673</v>
      </c>
      <c r="Q3033" s="8" t="s">
        <v>3383</v>
      </c>
      <c r="R3033" s="7" t="s">
        <v>3384</v>
      </c>
      <c r="S3033" s="9">
        <v>8</v>
      </c>
      <c r="T3033" s="9">
        <v>80</v>
      </c>
      <c r="U3033" s="9">
        <v>0</v>
      </c>
      <c r="V3033" s="9">
        <f t="shared" si="2027"/>
        <v>0</v>
      </c>
      <c r="W3033" s="7"/>
      <c r="X3033" s="2">
        <v>2016</v>
      </c>
      <c r="Y3033" s="2" t="s">
        <v>8493</v>
      </c>
    </row>
    <row r="3034" spans="1:25" s="11" customFormat="1" ht="89.25" customHeight="1" outlineLevel="1" x14ac:dyDescent="0.25">
      <c r="A3034" s="1"/>
      <c r="B3034" s="2" t="s">
        <v>8634</v>
      </c>
      <c r="C3034" s="3" t="s">
        <v>83</v>
      </c>
      <c r="D3034" s="3" t="s">
        <v>5430</v>
      </c>
      <c r="E3034" s="3" t="s">
        <v>5431</v>
      </c>
      <c r="F3034" s="3" t="s">
        <v>5252</v>
      </c>
      <c r="G3034" s="3" t="s">
        <v>5432</v>
      </c>
      <c r="H3034" s="2" t="s">
        <v>694</v>
      </c>
      <c r="I3034" s="4">
        <v>0</v>
      </c>
      <c r="J3034" s="5">
        <v>710000000</v>
      </c>
      <c r="K3034" s="5" t="s">
        <v>89</v>
      </c>
      <c r="L3034" s="2" t="s">
        <v>1735</v>
      </c>
      <c r="M3034" s="6" t="s">
        <v>91</v>
      </c>
      <c r="N3034" s="7" t="s">
        <v>92</v>
      </c>
      <c r="O3034" s="7" t="s">
        <v>93</v>
      </c>
      <c r="P3034" s="3" t="s">
        <v>673</v>
      </c>
      <c r="Q3034" s="8" t="s">
        <v>3383</v>
      </c>
      <c r="R3034" s="7" t="s">
        <v>3384</v>
      </c>
      <c r="S3034" s="9">
        <v>8</v>
      </c>
      <c r="T3034" s="9">
        <v>89.3</v>
      </c>
      <c r="U3034" s="9">
        <f t="shared" ref="U3034" si="2106">T3034*S3034</f>
        <v>714.4</v>
      </c>
      <c r="V3034" s="9">
        <f t="shared" ref="V3034" si="2107">U3034*1.12</f>
        <v>800.12800000000004</v>
      </c>
      <c r="W3034" s="7"/>
      <c r="X3034" s="2">
        <v>2016</v>
      </c>
      <c r="Y3034" s="2"/>
    </row>
    <row r="3035" spans="1:25" s="11" customFormat="1" ht="89.25" customHeight="1" outlineLevel="1" x14ac:dyDescent="0.25">
      <c r="A3035" s="1"/>
      <c r="B3035" s="2" t="s">
        <v>7271</v>
      </c>
      <c r="C3035" s="3" t="s">
        <v>83</v>
      </c>
      <c r="D3035" s="3" t="s">
        <v>5433</v>
      </c>
      <c r="E3035" s="3" t="s">
        <v>5434</v>
      </c>
      <c r="F3035" s="3" t="s">
        <v>5252</v>
      </c>
      <c r="G3035" s="3" t="s">
        <v>5435</v>
      </c>
      <c r="H3035" s="2" t="s">
        <v>694</v>
      </c>
      <c r="I3035" s="4">
        <v>0</v>
      </c>
      <c r="J3035" s="5">
        <v>710000000</v>
      </c>
      <c r="K3035" s="5" t="s">
        <v>89</v>
      </c>
      <c r="L3035" s="2" t="s">
        <v>754</v>
      </c>
      <c r="M3035" s="6" t="s">
        <v>91</v>
      </c>
      <c r="N3035" s="7" t="s">
        <v>92</v>
      </c>
      <c r="O3035" s="7" t="s">
        <v>93</v>
      </c>
      <c r="P3035" s="3" t="s">
        <v>673</v>
      </c>
      <c r="Q3035" s="8" t="s">
        <v>522</v>
      </c>
      <c r="R3035" s="7" t="s">
        <v>523</v>
      </c>
      <c r="S3035" s="9">
        <v>5</v>
      </c>
      <c r="T3035" s="9">
        <v>1098</v>
      </c>
      <c r="U3035" s="9">
        <v>0</v>
      </c>
      <c r="V3035" s="9">
        <f t="shared" si="2027"/>
        <v>0</v>
      </c>
      <c r="W3035" s="7"/>
      <c r="X3035" s="2">
        <v>2016</v>
      </c>
      <c r="Y3035" s="2" t="s">
        <v>8493</v>
      </c>
    </row>
    <row r="3036" spans="1:25" s="11" customFormat="1" ht="89.25" customHeight="1" outlineLevel="1" x14ac:dyDescent="0.25">
      <c r="A3036" s="1"/>
      <c r="B3036" s="2" t="s">
        <v>8635</v>
      </c>
      <c r="C3036" s="3" t="s">
        <v>83</v>
      </c>
      <c r="D3036" s="3" t="s">
        <v>5433</v>
      </c>
      <c r="E3036" s="3" t="s">
        <v>5434</v>
      </c>
      <c r="F3036" s="3" t="s">
        <v>5252</v>
      </c>
      <c r="G3036" s="3" t="s">
        <v>5435</v>
      </c>
      <c r="H3036" s="2" t="s">
        <v>694</v>
      </c>
      <c r="I3036" s="4">
        <v>0</v>
      </c>
      <c r="J3036" s="5">
        <v>710000000</v>
      </c>
      <c r="K3036" s="5" t="s">
        <v>89</v>
      </c>
      <c r="L3036" s="2" t="s">
        <v>1735</v>
      </c>
      <c r="M3036" s="6" t="s">
        <v>91</v>
      </c>
      <c r="N3036" s="7" t="s">
        <v>92</v>
      </c>
      <c r="O3036" s="7" t="s">
        <v>93</v>
      </c>
      <c r="P3036" s="3" t="s">
        <v>673</v>
      </c>
      <c r="Q3036" s="8" t="s">
        <v>522</v>
      </c>
      <c r="R3036" s="7" t="s">
        <v>523</v>
      </c>
      <c r="S3036" s="9">
        <v>5</v>
      </c>
      <c r="T3036" s="9">
        <v>1339.3</v>
      </c>
      <c r="U3036" s="9">
        <f t="shared" ref="U3036" si="2108">T3036*S3036</f>
        <v>6696.5</v>
      </c>
      <c r="V3036" s="9">
        <f t="shared" ref="V3036" si="2109">U3036*1.12</f>
        <v>7500.0800000000008</v>
      </c>
      <c r="W3036" s="7"/>
      <c r="X3036" s="2">
        <v>2016</v>
      </c>
      <c r="Y3036" s="2"/>
    </row>
    <row r="3037" spans="1:25" s="11" customFormat="1" ht="89.25" customHeight="1" outlineLevel="1" x14ac:dyDescent="0.25">
      <c r="A3037" s="1"/>
      <c r="B3037" s="2" t="s">
        <v>7272</v>
      </c>
      <c r="C3037" s="3" t="s">
        <v>83</v>
      </c>
      <c r="D3037" s="3" t="s">
        <v>5436</v>
      </c>
      <c r="E3037" s="3" t="s">
        <v>5434</v>
      </c>
      <c r="F3037" s="3" t="s">
        <v>5237</v>
      </c>
      <c r="G3037" s="3" t="s">
        <v>5437</v>
      </c>
      <c r="H3037" s="2" t="s">
        <v>694</v>
      </c>
      <c r="I3037" s="4">
        <v>0</v>
      </c>
      <c r="J3037" s="5">
        <v>710000000</v>
      </c>
      <c r="K3037" s="5" t="s">
        <v>89</v>
      </c>
      <c r="L3037" s="2" t="s">
        <v>754</v>
      </c>
      <c r="M3037" s="6" t="s">
        <v>91</v>
      </c>
      <c r="N3037" s="7" t="s">
        <v>92</v>
      </c>
      <c r="O3037" s="7" t="s">
        <v>93</v>
      </c>
      <c r="P3037" s="3" t="s">
        <v>673</v>
      </c>
      <c r="Q3037" s="8" t="s">
        <v>522</v>
      </c>
      <c r="R3037" s="7" t="s">
        <v>523</v>
      </c>
      <c r="S3037" s="9">
        <v>4</v>
      </c>
      <c r="T3037" s="9">
        <v>1161</v>
      </c>
      <c r="U3037" s="9">
        <v>0</v>
      </c>
      <c r="V3037" s="9">
        <f t="shared" si="2027"/>
        <v>0</v>
      </c>
      <c r="W3037" s="7"/>
      <c r="X3037" s="2">
        <v>2016</v>
      </c>
      <c r="Y3037" s="2" t="s">
        <v>8493</v>
      </c>
    </row>
    <row r="3038" spans="1:25" s="11" customFormat="1" ht="89.25" customHeight="1" outlineLevel="1" x14ac:dyDescent="0.25">
      <c r="A3038" s="1"/>
      <c r="B3038" s="2" t="s">
        <v>8636</v>
      </c>
      <c r="C3038" s="3" t="s">
        <v>83</v>
      </c>
      <c r="D3038" s="3" t="s">
        <v>5436</v>
      </c>
      <c r="E3038" s="3" t="s">
        <v>5434</v>
      </c>
      <c r="F3038" s="3" t="s">
        <v>5237</v>
      </c>
      <c r="G3038" s="3" t="s">
        <v>5437</v>
      </c>
      <c r="H3038" s="2" t="s">
        <v>694</v>
      </c>
      <c r="I3038" s="4">
        <v>0</v>
      </c>
      <c r="J3038" s="5">
        <v>710000000</v>
      </c>
      <c r="K3038" s="5" t="s">
        <v>89</v>
      </c>
      <c r="L3038" s="2" t="s">
        <v>1735</v>
      </c>
      <c r="M3038" s="6" t="s">
        <v>91</v>
      </c>
      <c r="N3038" s="7" t="s">
        <v>92</v>
      </c>
      <c r="O3038" s="7" t="s">
        <v>93</v>
      </c>
      <c r="P3038" s="3" t="s">
        <v>673</v>
      </c>
      <c r="Q3038" s="8" t="s">
        <v>522</v>
      </c>
      <c r="R3038" s="7" t="s">
        <v>523</v>
      </c>
      <c r="S3038" s="9">
        <v>4</v>
      </c>
      <c r="T3038" s="9">
        <v>1250</v>
      </c>
      <c r="U3038" s="9">
        <f t="shared" ref="U3038" si="2110">T3038*S3038</f>
        <v>5000</v>
      </c>
      <c r="V3038" s="9">
        <f t="shared" ref="V3038" si="2111">U3038*1.12</f>
        <v>5600.0000000000009</v>
      </c>
      <c r="W3038" s="7"/>
      <c r="X3038" s="2">
        <v>2016</v>
      </c>
      <c r="Y3038" s="2"/>
    </row>
    <row r="3039" spans="1:25" s="11" customFormat="1" ht="89.25" customHeight="1" outlineLevel="1" x14ac:dyDescent="0.25">
      <c r="A3039" s="1"/>
      <c r="B3039" s="2" t="s">
        <v>7273</v>
      </c>
      <c r="C3039" s="3" t="s">
        <v>83</v>
      </c>
      <c r="D3039" s="3" t="s">
        <v>5438</v>
      </c>
      <c r="E3039" s="3" t="s">
        <v>5258</v>
      </c>
      <c r="F3039" s="3" t="s">
        <v>5237</v>
      </c>
      <c r="G3039" s="3" t="s">
        <v>5439</v>
      </c>
      <c r="H3039" s="2" t="s">
        <v>694</v>
      </c>
      <c r="I3039" s="4">
        <v>0</v>
      </c>
      <c r="J3039" s="5">
        <v>710000000</v>
      </c>
      <c r="K3039" s="5" t="s">
        <v>89</v>
      </c>
      <c r="L3039" s="2" t="s">
        <v>754</v>
      </c>
      <c r="M3039" s="6" t="s">
        <v>91</v>
      </c>
      <c r="N3039" s="7" t="s">
        <v>92</v>
      </c>
      <c r="O3039" s="7" t="s">
        <v>93</v>
      </c>
      <c r="P3039" s="3" t="s">
        <v>673</v>
      </c>
      <c r="Q3039" s="8" t="s">
        <v>522</v>
      </c>
      <c r="R3039" s="7" t="s">
        <v>523</v>
      </c>
      <c r="S3039" s="9">
        <v>8</v>
      </c>
      <c r="T3039" s="9">
        <v>330</v>
      </c>
      <c r="U3039" s="9">
        <v>0</v>
      </c>
      <c r="V3039" s="9">
        <f t="shared" si="2027"/>
        <v>0</v>
      </c>
      <c r="W3039" s="7"/>
      <c r="X3039" s="2">
        <v>2016</v>
      </c>
      <c r="Y3039" s="2" t="s">
        <v>8493</v>
      </c>
    </row>
    <row r="3040" spans="1:25" s="11" customFormat="1" ht="89.25" customHeight="1" outlineLevel="1" x14ac:dyDescent="0.25">
      <c r="A3040" s="1"/>
      <c r="B3040" s="2" t="s">
        <v>8637</v>
      </c>
      <c r="C3040" s="3" t="s">
        <v>83</v>
      </c>
      <c r="D3040" s="3" t="s">
        <v>5438</v>
      </c>
      <c r="E3040" s="3" t="s">
        <v>5258</v>
      </c>
      <c r="F3040" s="3" t="s">
        <v>5237</v>
      </c>
      <c r="G3040" s="3" t="s">
        <v>5439</v>
      </c>
      <c r="H3040" s="2" t="s">
        <v>694</v>
      </c>
      <c r="I3040" s="4">
        <v>0</v>
      </c>
      <c r="J3040" s="5">
        <v>710000000</v>
      </c>
      <c r="K3040" s="5" t="s">
        <v>89</v>
      </c>
      <c r="L3040" s="2" t="s">
        <v>1735</v>
      </c>
      <c r="M3040" s="6" t="s">
        <v>91</v>
      </c>
      <c r="N3040" s="7" t="s">
        <v>92</v>
      </c>
      <c r="O3040" s="7" t="s">
        <v>93</v>
      </c>
      <c r="P3040" s="3" t="s">
        <v>673</v>
      </c>
      <c r="Q3040" s="8" t="s">
        <v>522</v>
      </c>
      <c r="R3040" s="7" t="s">
        <v>523</v>
      </c>
      <c r="S3040" s="9">
        <v>8</v>
      </c>
      <c r="T3040" s="9">
        <v>410.7</v>
      </c>
      <c r="U3040" s="9">
        <f t="shared" ref="U3040" si="2112">T3040*S3040</f>
        <v>3285.6</v>
      </c>
      <c r="V3040" s="9">
        <f t="shared" ref="V3040" si="2113">U3040*1.12</f>
        <v>3679.8720000000003</v>
      </c>
      <c r="W3040" s="7"/>
      <c r="X3040" s="2">
        <v>2016</v>
      </c>
      <c r="Y3040" s="2"/>
    </row>
    <row r="3041" spans="1:25" s="11" customFormat="1" ht="89.25" customHeight="1" outlineLevel="1" x14ac:dyDescent="0.25">
      <c r="A3041" s="1"/>
      <c r="B3041" s="2" t="s">
        <v>7274</v>
      </c>
      <c r="C3041" s="3" t="s">
        <v>83</v>
      </c>
      <c r="D3041" s="3" t="s">
        <v>5440</v>
      </c>
      <c r="E3041" s="3" t="s">
        <v>5441</v>
      </c>
      <c r="F3041" s="3" t="s">
        <v>5442</v>
      </c>
      <c r="G3041" s="3" t="s">
        <v>5443</v>
      </c>
      <c r="H3041" s="2" t="s">
        <v>694</v>
      </c>
      <c r="I3041" s="4">
        <v>0</v>
      </c>
      <c r="J3041" s="5">
        <v>710000000</v>
      </c>
      <c r="K3041" s="5" t="s">
        <v>89</v>
      </c>
      <c r="L3041" s="2" t="s">
        <v>754</v>
      </c>
      <c r="M3041" s="6" t="s">
        <v>91</v>
      </c>
      <c r="N3041" s="7" t="s">
        <v>92</v>
      </c>
      <c r="O3041" s="7" t="s">
        <v>93</v>
      </c>
      <c r="P3041" s="3" t="s">
        <v>673</v>
      </c>
      <c r="Q3041" s="8" t="s">
        <v>522</v>
      </c>
      <c r="R3041" s="7" t="s">
        <v>523</v>
      </c>
      <c r="S3041" s="9">
        <v>4</v>
      </c>
      <c r="T3041" s="9">
        <v>268</v>
      </c>
      <c r="U3041" s="9">
        <v>0</v>
      </c>
      <c r="V3041" s="9">
        <f t="shared" si="2027"/>
        <v>0</v>
      </c>
      <c r="W3041" s="7"/>
      <c r="X3041" s="2">
        <v>2016</v>
      </c>
      <c r="Y3041" s="2" t="s">
        <v>8493</v>
      </c>
    </row>
    <row r="3042" spans="1:25" s="11" customFormat="1" ht="89.25" customHeight="1" outlineLevel="1" x14ac:dyDescent="0.25">
      <c r="A3042" s="1"/>
      <c r="B3042" s="2" t="s">
        <v>8638</v>
      </c>
      <c r="C3042" s="3" t="s">
        <v>83</v>
      </c>
      <c r="D3042" s="3" t="s">
        <v>5440</v>
      </c>
      <c r="E3042" s="3" t="s">
        <v>5441</v>
      </c>
      <c r="F3042" s="3" t="s">
        <v>5442</v>
      </c>
      <c r="G3042" s="3" t="s">
        <v>5443</v>
      </c>
      <c r="H3042" s="2" t="s">
        <v>694</v>
      </c>
      <c r="I3042" s="4">
        <v>0</v>
      </c>
      <c r="J3042" s="5">
        <v>710000000</v>
      </c>
      <c r="K3042" s="5" t="s">
        <v>89</v>
      </c>
      <c r="L3042" s="2" t="s">
        <v>1735</v>
      </c>
      <c r="M3042" s="6" t="s">
        <v>91</v>
      </c>
      <c r="N3042" s="7" t="s">
        <v>92</v>
      </c>
      <c r="O3042" s="7" t="s">
        <v>93</v>
      </c>
      <c r="P3042" s="3" t="s">
        <v>673</v>
      </c>
      <c r="Q3042" s="8" t="s">
        <v>522</v>
      </c>
      <c r="R3042" s="7" t="s">
        <v>523</v>
      </c>
      <c r="S3042" s="9">
        <v>4</v>
      </c>
      <c r="T3042" s="9">
        <v>312.5</v>
      </c>
      <c r="U3042" s="9">
        <f t="shared" ref="U3042" si="2114">T3042*S3042</f>
        <v>1250</v>
      </c>
      <c r="V3042" s="9">
        <f t="shared" ref="V3042" si="2115">U3042*1.12</f>
        <v>1400.0000000000002</v>
      </c>
      <c r="W3042" s="7"/>
      <c r="X3042" s="2">
        <v>2016</v>
      </c>
      <c r="Y3042" s="2"/>
    </row>
    <row r="3043" spans="1:25" s="11" customFormat="1" ht="89.25" customHeight="1" outlineLevel="1" x14ac:dyDescent="0.25">
      <c r="A3043" s="1"/>
      <c r="B3043" s="2" t="s">
        <v>7275</v>
      </c>
      <c r="C3043" s="3" t="s">
        <v>83</v>
      </c>
      <c r="D3043" s="3" t="s">
        <v>5444</v>
      </c>
      <c r="E3043" s="3" t="s">
        <v>5445</v>
      </c>
      <c r="F3043" s="3" t="s">
        <v>5328</v>
      </c>
      <c r="G3043" s="3" t="s">
        <v>5446</v>
      </c>
      <c r="H3043" s="2" t="s">
        <v>694</v>
      </c>
      <c r="I3043" s="4">
        <v>0</v>
      </c>
      <c r="J3043" s="5">
        <v>710000000</v>
      </c>
      <c r="K3043" s="5" t="s">
        <v>89</v>
      </c>
      <c r="L3043" s="2" t="s">
        <v>754</v>
      </c>
      <c r="M3043" s="6" t="s">
        <v>91</v>
      </c>
      <c r="N3043" s="7" t="s">
        <v>92</v>
      </c>
      <c r="O3043" s="7" t="s">
        <v>93</v>
      </c>
      <c r="P3043" s="3" t="s">
        <v>673</v>
      </c>
      <c r="Q3043" s="8" t="s">
        <v>522</v>
      </c>
      <c r="R3043" s="7" t="s">
        <v>523</v>
      </c>
      <c r="S3043" s="9">
        <v>5</v>
      </c>
      <c r="T3043" s="9">
        <v>313</v>
      </c>
      <c r="U3043" s="9">
        <v>0</v>
      </c>
      <c r="V3043" s="9">
        <f t="shared" si="2027"/>
        <v>0</v>
      </c>
      <c r="W3043" s="7"/>
      <c r="X3043" s="2">
        <v>2016</v>
      </c>
      <c r="Y3043" s="2" t="s">
        <v>8493</v>
      </c>
    </row>
    <row r="3044" spans="1:25" s="11" customFormat="1" ht="89.25" customHeight="1" outlineLevel="1" x14ac:dyDescent="0.25">
      <c r="A3044" s="1"/>
      <c r="B3044" s="2" t="s">
        <v>8639</v>
      </c>
      <c r="C3044" s="3" t="s">
        <v>83</v>
      </c>
      <c r="D3044" s="3" t="s">
        <v>5444</v>
      </c>
      <c r="E3044" s="3" t="s">
        <v>5445</v>
      </c>
      <c r="F3044" s="3" t="s">
        <v>5328</v>
      </c>
      <c r="G3044" s="3" t="s">
        <v>5446</v>
      </c>
      <c r="H3044" s="2" t="s">
        <v>694</v>
      </c>
      <c r="I3044" s="4">
        <v>0</v>
      </c>
      <c r="J3044" s="5">
        <v>710000000</v>
      </c>
      <c r="K3044" s="5" t="s">
        <v>89</v>
      </c>
      <c r="L3044" s="2" t="s">
        <v>1735</v>
      </c>
      <c r="M3044" s="6" t="s">
        <v>91</v>
      </c>
      <c r="N3044" s="7" t="s">
        <v>92</v>
      </c>
      <c r="O3044" s="7" t="s">
        <v>93</v>
      </c>
      <c r="P3044" s="3" t="s">
        <v>673</v>
      </c>
      <c r="Q3044" s="8" t="s">
        <v>522</v>
      </c>
      <c r="R3044" s="7" t="s">
        <v>523</v>
      </c>
      <c r="S3044" s="9">
        <v>5</v>
      </c>
      <c r="T3044" s="9">
        <v>375</v>
      </c>
      <c r="U3044" s="9">
        <f t="shared" ref="U3044" si="2116">T3044*S3044</f>
        <v>1875</v>
      </c>
      <c r="V3044" s="9">
        <f t="shared" ref="V3044" si="2117">U3044*1.12</f>
        <v>2100</v>
      </c>
      <c r="W3044" s="7"/>
      <c r="X3044" s="2">
        <v>2016</v>
      </c>
      <c r="Y3044" s="2"/>
    </row>
    <row r="3045" spans="1:25" s="11" customFormat="1" ht="89.25" customHeight="1" outlineLevel="1" x14ac:dyDescent="0.25">
      <c r="A3045" s="1"/>
      <c r="B3045" s="2" t="s">
        <v>7276</v>
      </c>
      <c r="C3045" s="3" t="s">
        <v>83</v>
      </c>
      <c r="D3045" s="3" t="s">
        <v>5447</v>
      </c>
      <c r="E3045" s="3" t="s">
        <v>5448</v>
      </c>
      <c r="F3045" s="3" t="s">
        <v>5237</v>
      </c>
      <c r="G3045" s="3" t="s">
        <v>5449</v>
      </c>
      <c r="H3045" s="2" t="s">
        <v>694</v>
      </c>
      <c r="I3045" s="4">
        <v>0</v>
      </c>
      <c r="J3045" s="5">
        <v>710000000</v>
      </c>
      <c r="K3045" s="5" t="s">
        <v>89</v>
      </c>
      <c r="L3045" s="2" t="s">
        <v>754</v>
      </c>
      <c r="M3045" s="6" t="s">
        <v>91</v>
      </c>
      <c r="N3045" s="7" t="s">
        <v>92</v>
      </c>
      <c r="O3045" s="7" t="s">
        <v>93</v>
      </c>
      <c r="P3045" s="3" t="s">
        <v>673</v>
      </c>
      <c r="Q3045" s="8" t="s">
        <v>522</v>
      </c>
      <c r="R3045" s="7" t="s">
        <v>523</v>
      </c>
      <c r="S3045" s="9">
        <v>45</v>
      </c>
      <c r="T3045" s="9">
        <v>18</v>
      </c>
      <c r="U3045" s="9">
        <v>0</v>
      </c>
      <c r="V3045" s="9">
        <f t="shared" si="2027"/>
        <v>0</v>
      </c>
      <c r="W3045" s="7"/>
      <c r="X3045" s="2">
        <v>2016</v>
      </c>
      <c r="Y3045" s="2" t="s">
        <v>8493</v>
      </c>
    </row>
    <row r="3046" spans="1:25" s="11" customFormat="1" ht="89.25" customHeight="1" outlineLevel="1" x14ac:dyDescent="0.25">
      <c r="A3046" s="1"/>
      <c r="B3046" s="2" t="s">
        <v>8640</v>
      </c>
      <c r="C3046" s="3" t="s">
        <v>83</v>
      </c>
      <c r="D3046" s="3" t="s">
        <v>5447</v>
      </c>
      <c r="E3046" s="3" t="s">
        <v>5448</v>
      </c>
      <c r="F3046" s="3" t="s">
        <v>5237</v>
      </c>
      <c r="G3046" s="3" t="s">
        <v>5449</v>
      </c>
      <c r="H3046" s="2" t="s">
        <v>694</v>
      </c>
      <c r="I3046" s="4">
        <v>0</v>
      </c>
      <c r="J3046" s="5">
        <v>710000000</v>
      </c>
      <c r="K3046" s="5" t="s">
        <v>89</v>
      </c>
      <c r="L3046" s="2" t="s">
        <v>1735</v>
      </c>
      <c r="M3046" s="6" t="s">
        <v>91</v>
      </c>
      <c r="N3046" s="7" t="s">
        <v>92</v>
      </c>
      <c r="O3046" s="7" t="s">
        <v>93</v>
      </c>
      <c r="P3046" s="3" t="s">
        <v>673</v>
      </c>
      <c r="Q3046" s="8" t="s">
        <v>522</v>
      </c>
      <c r="R3046" s="7" t="s">
        <v>523</v>
      </c>
      <c r="S3046" s="9">
        <v>45</v>
      </c>
      <c r="T3046" s="9">
        <v>31.3</v>
      </c>
      <c r="U3046" s="9">
        <f t="shared" ref="U3046" si="2118">T3046*S3046</f>
        <v>1408.5</v>
      </c>
      <c r="V3046" s="9">
        <f t="shared" ref="V3046" si="2119">U3046*1.12</f>
        <v>1577.5200000000002</v>
      </c>
      <c r="W3046" s="7"/>
      <c r="X3046" s="2">
        <v>2016</v>
      </c>
      <c r="Y3046" s="2"/>
    </row>
    <row r="3047" spans="1:25" s="11" customFormat="1" ht="89.25" customHeight="1" outlineLevel="1" x14ac:dyDescent="0.25">
      <c r="A3047" s="1"/>
      <c r="B3047" s="2" t="s">
        <v>7277</v>
      </c>
      <c r="C3047" s="3" t="s">
        <v>83</v>
      </c>
      <c r="D3047" s="3" t="s">
        <v>5450</v>
      </c>
      <c r="E3047" s="3" t="s">
        <v>5451</v>
      </c>
      <c r="F3047" s="3" t="s">
        <v>5328</v>
      </c>
      <c r="G3047" s="3" t="s">
        <v>5452</v>
      </c>
      <c r="H3047" s="2" t="s">
        <v>694</v>
      </c>
      <c r="I3047" s="4">
        <v>0</v>
      </c>
      <c r="J3047" s="5">
        <v>710000000</v>
      </c>
      <c r="K3047" s="5" t="s">
        <v>89</v>
      </c>
      <c r="L3047" s="2" t="s">
        <v>754</v>
      </c>
      <c r="M3047" s="6" t="s">
        <v>91</v>
      </c>
      <c r="N3047" s="7" t="s">
        <v>92</v>
      </c>
      <c r="O3047" s="7" t="s">
        <v>93</v>
      </c>
      <c r="P3047" s="3" t="s">
        <v>673</v>
      </c>
      <c r="Q3047" s="8" t="s">
        <v>522</v>
      </c>
      <c r="R3047" s="7" t="s">
        <v>523</v>
      </c>
      <c r="S3047" s="9">
        <v>5</v>
      </c>
      <c r="T3047" s="9">
        <v>1562.5</v>
      </c>
      <c r="U3047" s="9">
        <v>0</v>
      </c>
      <c r="V3047" s="9">
        <f t="shared" si="2027"/>
        <v>0</v>
      </c>
      <c r="W3047" s="7"/>
      <c r="X3047" s="2">
        <v>2016</v>
      </c>
      <c r="Y3047" s="2" t="s">
        <v>8493</v>
      </c>
    </row>
    <row r="3048" spans="1:25" s="11" customFormat="1" ht="89.25" customHeight="1" outlineLevel="1" x14ac:dyDescent="0.25">
      <c r="A3048" s="1"/>
      <c r="B3048" s="2" t="s">
        <v>8641</v>
      </c>
      <c r="C3048" s="3" t="s">
        <v>83</v>
      </c>
      <c r="D3048" s="3" t="s">
        <v>5450</v>
      </c>
      <c r="E3048" s="3" t="s">
        <v>5451</v>
      </c>
      <c r="F3048" s="3" t="s">
        <v>5328</v>
      </c>
      <c r="G3048" s="3" t="s">
        <v>5452</v>
      </c>
      <c r="H3048" s="2" t="s">
        <v>694</v>
      </c>
      <c r="I3048" s="4">
        <v>0</v>
      </c>
      <c r="J3048" s="5">
        <v>710000000</v>
      </c>
      <c r="K3048" s="5" t="s">
        <v>89</v>
      </c>
      <c r="L3048" s="2" t="s">
        <v>1735</v>
      </c>
      <c r="M3048" s="6" t="s">
        <v>91</v>
      </c>
      <c r="N3048" s="7" t="s">
        <v>92</v>
      </c>
      <c r="O3048" s="7" t="s">
        <v>93</v>
      </c>
      <c r="P3048" s="3" t="s">
        <v>673</v>
      </c>
      <c r="Q3048" s="8" t="s">
        <v>522</v>
      </c>
      <c r="R3048" s="7" t="s">
        <v>523</v>
      </c>
      <c r="S3048" s="9">
        <v>5</v>
      </c>
      <c r="T3048" s="9">
        <v>1192</v>
      </c>
      <c r="U3048" s="9">
        <f t="shared" ref="U3048" si="2120">T3048*S3048</f>
        <v>5960</v>
      </c>
      <c r="V3048" s="9">
        <f t="shared" ref="V3048" si="2121">U3048*1.12</f>
        <v>6675.2000000000007</v>
      </c>
      <c r="W3048" s="7"/>
      <c r="X3048" s="2">
        <v>2016</v>
      </c>
      <c r="Y3048" s="2"/>
    </row>
    <row r="3049" spans="1:25" s="11" customFormat="1" ht="89.25" customHeight="1" outlineLevel="1" x14ac:dyDescent="0.25">
      <c r="A3049" s="1"/>
      <c r="B3049" s="2" t="s">
        <v>7278</v>
      </c>
      <c r="C3049" s="3" t="s">
        <v>83</v>
      </c>
      <c r="D3049" s="3" t="s">
        <v>5453</v>
      </c>
      <c r="E3049" s="3" t="s">
        <v>5454</v>
      </c>
      <c r="F3049" s="3" t="s">
        <v>5237</v>
      </c>
      <c r="G3049" s="3" t="s">
        <v>5455</v>
      </c>
      <c r="H3049" s="2" t="s">
        <v>694</v>
      </c>
      <c r="I3049" s="4">
        <v>0</v>
      </c>
      <c r="J3049" s="5">
        <v>710000000</v>
      </c>
      <c r="K3049" s="5" t="s">
        <v>89</v>
      </c>
      <c r="L3049" s="2" t="s">
        <v>754</v>
      </c>
      <c r="M3049" s="6" t="s">
        <v>91</v>
      </c>
      <c r="N3049" s="7" t="s">
        <v>92</v>
      </c>
      <c r="O3049" s="7" t="s">
        <v>93</v>
      </c>
      <c r="P3049" s="3" t="s">
        <v>673</v>
      </c>
      <c r="Q3049" s="8" t="s">
        <v>522</v>
      </c>
      <c r="R3049" s="7" t="s">
        <v>523</v>
      </c>
      <c r="S3049" s="9">
        <v>2</v>
      </c>
      <c r="T3049" s="9">
        <v>1621</v>
      </c>
      <c r="U3049" s="9">
        <v>0</v>
      </c>
      <c r="V3049" s="9">
        <f t="shared" si="2027"/>
        <v>0</v>
      </c>
      <c r="W3049" s="7"/>
      <c r="X3049" s="2">
        <v>2016</v>
      </c>
      <c r="Y3049" s="2" t="s">
        <v>8493</v>
      </c>
    </row>
    <row r="3050" spans="1:25" s="11" customFormat="1" ht="89.25" customHeight="1" outlineLevel="1" x14ac:dyDescent="0.25">
      <c r="A3050" s="1"/>
      <c r="B3050" s="2" t="s">
        <v>8642</v>
      </c>
      <c r="C3050" s="3" t="s">
        <v>83</v>
      </c>
      <c r="D3050" s="3" t="s">
        <v>5453</v>
      </c>
      <c r="E3050" s="3" t="s">
        <v>5454</v>
      </c>
      <c r="F3050" s="3" t="s">
        <v>5237</v>
      </c>
      <c r="G3050" s="3" t="s">
        <v>5455</v>
      </c>
      <c r="H3050" s="2" t="s">
        <v>694</v>
      </c>
      <c r="I3050" s="4">
        <v>0</v>
      </c>
      <c r="J3050" s="5">
        <v>710000000</v>
      </c>
      <c r="K3050" s="5" t="s">
        <v>89</v>
      </c>
      <c r="L3050" s="2" t="s">
        <v>1735</v>
      </c>
      <c r="M3050" s="6" t="s">
        <v>91</v>
      </c>
      <c r="N3050" s="7" t="s">
        <v>92</v>
      </c>
      <c r="O3050" s="7" t="s">
        <v>93</v>
      </c>
      <c r="P3050" s="3" t="s">
        <v>673</v>
      </c>
      <c r="Q3050" s="8" t="s">
        <v>522</v>
      </c>
      <c r="R3050" s="7" t="s">
        <v>523</v>
      </c>
      <c r="S3050" s="9">
        <v>2</v>
      </c>
      <c r="T3050" s="9">
        <v>1964.3</v>
      </c>
      <c r="U3050" s="9">
        <f t="shared" ref="U3050" si="2122">T3050*S3050</f>
        <v>3928.6</v>
      </c>
      <c r="V3050" s="9">
        <f t="shared" ref="V3050" si="2123">U3050*1.12</f>
        <v>4400.0320000000002</v>
      </c>
      <c r="W3050" s="7"/>
      <c r="X3050" s="2">
        <v>2016</v>
      </c>
      <c r="Y3050" s="2"/>
    </row>
    <row r="3051" spans="1:25" s="11" customFormat="1" ht="89.25" customHeight="1" outlineLevel="1" x14ac:dyDescent="0.25">
      <c r="A3051" s="1"/>
      <c r="B3051" s="2" t="s">
        <v>7279</v>
      </c>
      <c r="C3051" s="3" t="s">
        <v>83</v>
      </c>
      <c r="D3051" s="3" t="s">
        <v>5456</v>
      </c>
      <c r="E3051" s="3" t="s">
        <v>5457</v>
      </c>
      <c r="F3051" s="3" t="s">
        <v>5237</v>
      </c>
      <c r="G3051" s="3" t="s">
        <v>5458</v>
      </c>
      <c r="H3051" s="2" t="s">
        <v>694</v>
      </c>
      <c r="I3051" s="4">
        <v>0</v>
      </c>
      <c r="J3051" s="5">
        <v>710000000</v>
      </c>
      <c r="K3051" s="5" t="s">
        <v>89</v>
      </c>
      <c r="L3051" s="2" t="s">
        <v>754</v>
      </c>
      <c r="M3051" s="6" t="s">
        <v>91</v>
      </c>
      <c r="N3051" s="7" t="s">
        <v>92</v>
      </c>
      <c r="O3051" s="7" t="s">
        <v>93</v>
      </c>
      <c r="P3051" s="3" t="s">
        <v>673</v>
      </c>
      <c r="Q3051" s="8" t="s">
        <v>522</v>
      </c>
      <c r="R3051" s="7" t="s">
        <v>523</v>
      </c>
      <c r="S3051" s="9">
        <v>9</v>
      </c>
      <c r="T3051" s="9">
        <v>18</v>
      </c>
      <c r="U3051" s="9">
        <v>0</v>
      </c>
      <c r="V3051" s="9">
        <f t="shared" si="2027"/>
        <v>0</v>
      </c>
      <c r="W3051" s="7"/>
      <c r="X3051" s="2">
        <v>2016</v>
      </c>
      <c r="Y3051" s="2" t="s">
        <v>8493</v>
      </c>
    </row>
    <row r="3052" spans="1:25" s="11" customFormat="1" ht="89.25" customHeight="1" outlineLevel="1" x14ac:dyDescent="0.25">
      <c r="A3052" s="1"/>
      <c r="B3052" s="2" t="s">
        <v>8643</v>
      </c>
      <c r="C3052" s="3" t="s">
        <v>83</v>
      </c>
      <c r="D3052" s="3" t="s">
        <v>5456</v>
      </c>
      <c r="E3052" s="3" t="s">
        <v>5457</v>
      </c>
      <c r="F3052" s="3" t="s">
        <v>5237</v>
      </c>
      <c r="G3052" s="3" t="s">
        <v>5458</v>
      </c>
      <c r="H3052" s="2" t="s">
        <v>694</v>
      </c>
      <c r="I3052" s="4">
        <v>0</v>
      </c>
      <c r="J3052" s="5">
        <v>710000000</v>
      </c>
      <c r="K3052" s="5" t="s">
        <v>89</v>
      </c>
      <c r="L3052" s="2" t="s">
        <v>1735</v>
      </c>
      <c r="M3052" s="6" t="s">
        <v>91</v>
      </c>
      <c r="N3052" s="7" t="s">
        <v>92</v>
      </c>
      <c r="O3052" s="7" t="s">
        <v>93</v>
      </c>
      <c r="P3052" s="3" t="s">
        <v>673</v>
      </c>
      <c r="Q3052" s="8" t="s">
        <v>522</v>
      </c>
      <c r="R3052" s="7" t="s">
        <v>523</v>
      </c>
      <c r="S3052" s="9">
        <v>9</v>
      </c>
      <c r="T3052" s="9">
        <v>26.8</v>
      </c>
      <c r="U3052" s="9">
        <f>S3052*T3052</f>
        <v>241.20000000000002</v>
      </c>
      <c r="V3052" s="9">
        <f t="shared" ref="V3052" si="2124">U3052*1.12</f>
        <v>270.14400000000006</v>
      </c>
      <c r="W3052" s="7"/>
      <c r="X3052" s="2">
        <v>2016</v>
      </c>
      <c r="Y3052" s="2"/>
    </row>
    <row r="3053" spans="1:25" s="11" customFormat="1" ht="89.25" customHeight="1" outlineLevel="1" x14ac:dyDescent="0.25">
      <c r="A3053" s="1"/>
      <c r="B3053" s="2" t="s">
        <v>7280</v>
      </c>
      <c r="C3053" s="3" t="s">
        <v>83</v>
      </c>
      <c r="D3053" s="3" t="s">
        <v>5459</v>
      </c>
      <c r="E3053" s="3" t="s">
        <v>5460</v>
      </c>
      <c r="F3053" s="3" t="s">
        <v>5237</v>
      </c>
      <c r="G3053" s="3" t="s">
        <v>5461</v>
      </c>
      <c r="H3053" s="2" t="s">
        <v>694</v>
      </c>
      <c r="I3053" s="4">
        <v>0</v>
      </c>
      <c r="J3053" s="5">
        <v>710000000</v>
      </c>
      <c r="K3053" s="5" t="s">
        <v>89</v>
      </c>
      <c r="L3053" s="2" t="s">
        <v>754</v>
      </c>
      <c r="M3053" s="6" t="s">
        <v>91</v>
      </c>
      <c r="N3053" s="7" t="s">
        <v>92</v>
      </c>
      <c r="O3053" s="7" t="s">
        <v>93</v>
      </c>
      <c r="P3053" s="3" t="s">
        <v>673</v>
      </c>
      <c r="Q3053" s="8" t="s">
        <v>522</v>
      </c>
      <c r="R3053" s="7" t="s">
        <v>523</v>
      </c>
      <c r="S3053" s="9">
        <v>15</v>
      </c>
      <c r="T3053" s="9">
        <v>40</v>
      </c>
      <c r="U3053" s="9">
        <v>0</v>
      </c>
      <c r="V3053" s="9">
        <f t="shared" si="2027"/>
        <v>0</v>
      </c>
      <c r="W3053" s="7"/>
      <c r="X3053" s="2">
        <v>2016</v>
      </c>
      <c r="Y3053" s="2" t="s">
        <v>8493</v>
      </c>
    </row>
    <row r="3054" spans="1:25" s="11" customFormat="1" ht="89.25" customHeight="1" outlineLevel="1" x14ac:dyDescent="0.25">
      <c r="A3054" s="1"/>
      <c r="B3054" s="2" t="s">
        <v>8644</v>
      </c>
      <c r="C3054" s="3" t="s">
        <v>83</v>
      </c>
      <c r="D3054" s="3" t="s">
        <v>5459</v>
      </c>
      <c r="E3054" s="3" t="s">
        <v>5460</v>
      </c>
      <c r="F3054" s="3" t="s">
        <v>5237</v>
      </c>
      <c r="G3054" s="3" t="s">
        <v>5461</v>
      </c>
      <c r="H3054" s="2" t="s">
        <v>694</v>
      </c>
      <c r="I3054" s="4">
        <v>0</v>
      </c>
      <c r="J3054" s="5">
        <v>710000000</v>
      </c>
      <c r="K3054" s="5" t="s">
        <v>89</v>
      </c>
      <c r="L3054" s="2" t="s">
        <v>1735</v>
      </c>
      <c r="M3054" s="6" t="s">
        <v>91</v>
      </c>
      <c r="N3054" s="7" t="s">
        <v>92</v>
      </c>
      <c r="O3054" s="7" t="s">
        <v>93</v>
      </c>
      <c r="P3054" s="3" t="s">
        <v>673</v>
      </c>
      <c r="Q3054" s="8" t="s">
        <v>522</v>
      </c>
      <c r="R3054" s="7" t="s">
        <v>523</v>
      </c>
      <c r="S3054" s="9">
        <v>15</v>
      </c>
      <c r="T3054" s="9">
        <v>53.6</v>
      </c>
      <c r="U3054" s="9">
        <f t="shared" ref="U3054" si="2125">T3054*S3054</f>
        <v>804</v>
      </c>
      <c r="V3054" s="9">
        <f t="shared" ref="V3054" si="2126">U3054*1.12</f>
        <v>900.48000000000013</v>
      </c>
      <c r="W3054" s="7"/>
      <c r="X3054" s="2">
        <v>2016</v>
      </c>
      <c r="Y3054" s="2"/>
    </row>
    <row r="3055" spans="1:25" s="11" customFormat="1" ht="89.25" customHeight="1" outlineLevel="1" x14ac:dyDescent="0.25">
      <c r="A3055" s="1"/>
      <c r="B3055" s="2" t="s">
        <v>7281</v>
      </c>
      <c r="C3055" s="3" t="s">
        <v>83</v>
      </c>
      <c r="D3055" s="3" t="s">
        <v>5462</v>
      </c>
      <c r="E3055" s="3" t="s">
        <v>5463</v>
      </c>
      <c r="F3055" s="3" t="s">
        <v>5280</v>
      </c>
      <c r="G3055" s="3" t="s">
        <v>5461</v>
      </c>
      <c r="H3055" s="2" t="s">
        <v>694</v>
      </c>
      <c r="I3055" s="4">
        <v>0</v>
      </c>
      <c r="J3055" s="5">
        <v>710000000</v>
      </c>
      <c r="K3055" s="5" t="s">
        <v>89</v>
      </c>
      <c r="L3055" s="2" t="s">
        <v>754</v>
      </c>
      <c r="M3055" s="6" t="s">
        <v>91</v>
      </c>
      <c r="N3055" s="7" t="s">
        <v>92</v>
      </c>
      <c r="O3055" s="7" t="s">
        <v>93</v>
      </c>
      <c r="P3055" s="3" t="s">
        <v>673</v>
      </c>
      <c r="Q3055" s="8" t="s">
        <v>522</v>
      </c>
      <c r="R3055" s="7" t="s">
        <v>523</v>
      </c>
      <c r="S3055" s="9">
        <v>12</v>
      </c>
      <c r="T3055" s="9">
        <v>18</v>
      </c>
      <c r="U3055" s="9">
        <v>0</v>
      </c>
      <c r="V3055" s="9">
        <f t="shared" si="2027"/>
        <v>0</v>
      </c>
      <c r="W3055" s="7"/>
      <c r="X3055" s="2">
        <v>2016</v>
      </c>
      <c r="Y3055" s="2" t="s">
        <v>8493</v>
      </c>
    </row>
    <row r="3056" spans="1:25" s="11" customFormat="1" ht="89.25" customHeight="1" outlineLevel="1" x14ac:dyDescent="0.25">
      <c r="A3056" s="1"/>
      <c r="B3056" s="2" t="s">
        <v>8645</v>
      </c>
      <c r="C3056" s="3" t="s">
        <v>83</v>
      </c>
      <c r="D3056" s="3" t="s">
        <v>5462</v>
      </c>
      <c r="E3056" s="3" t="s">
        <v>5463</v>
      </c>
      <c r="F3056" s="3" t="s">
        <v>5280</v>
      </c>
      <c r="G3056" s="3" t="s">
        <v>5461</v>
      </c>
      <c r="H3056" s="2" t="s">
        <v>694</v>
      </c>
      <c r="I3056" s="4">
        <v>0</v>
      </c>
      <c r="J3056" s="5">
        <v>710000000</v>
      </c>
      <c r="K3056" s="5" t="s">
        <v>89</v>
      </c>
      <c r="L3056" s="2" t="s">
        <v>1735</v>
      </c>
      <c r="M3056" s="6" t="s">
        <v>91</v>
      </c>
      <c r="N3056" s="7" t="s">
        <v>92</v>
      </c>
      <c r="O3056" s="7" t="s">
        <v>93</v>
      </c>
      <c r="P3056" s="3" t="s">
        <v>673</v>
      </c>
      <c r="Q3056" s="8" t="s">
        <v>522</v>
      </c>
      <c r="R3056" s="7" t="s">
        <v>523</v>
      </c>
      <c r="S3056" s="9">
        <v>12</v>
      </c>
      <c r="T3056" s="9">
        <v>31.3</v>
      </c>
      <c r="U3056" s="9">
        <f t="shared" ref="U3056" si="2127">T3056*S3056</f>
        <v>375.6</v>
      </c>
      <c r="V3056" s="9">
        <f t="shared" ref="V3056" si="2128">U3056*1.12</f>
        <v>420.67200000000008</v>
      </c>
      <c r="W3056" s="7"/>
      <c r="X3056" s="2">
        <v>2016</v>
      </c>
      <c r="Y3056" s="2"/>
    </row>
    <row r="3057" spans="1:25" s="11" customFormat="1" ht="89.25" customHeight="1" outlineLevel="1" x14ac:dyDescent="0.25">
      <c r="A3057" s="1"/>
      <c r="B3057" s="2" t="s">
        <v>7282</v>
      </c>
      <c r="C3057" s="3" t="s">
        <v>83</v>
      </c>
      <c r="D3057" s="3" t="s">
        <v>5464</v>
      </c>
      <c r="E3057" s="3" t="s">
        <v>5465</v>
      </c>
      <c r="F3057" s="3" t="s">
        <v>5293</v>
      </c>
      <c r="G3057" s="3" t="s">
        <v>5466</v>
      </c>
      <c r="H3057" s="2" t="s">
        <v>694</v>
      </c>
      <c r="I3057" s="4">
        <v>0</v>
      </c>
      <c r="J3057" s="5">
        <v>710000000</v>
      </c>
      <c r="K3057" s="5" t="s">
        <v>89</v>
      </c>
      <c r="L3057" s="2" t="s">
        <v>754</v>
      </c>
      <c r="M3057" s="6" t="s">
        <v>91</v>
      </c>
      <c r="N3057" s="7" t="s">
        <v>92</v>
      </c>
      <c r="O3057" s="7" t="s">
        <v>93</v>
      </c>
      <c r="P3057" s="3" t="s">
        <v>673</v>
      </c>
      <c r="Q3057" s="8" t="s">
        <v>3383</v>
      </c>
      <c r="R3057" s="7" t="s">
        <v>3384</v>
      </c>
      <c r="S3057" s="9">
        <v>6</v>
      </c>
      <c r="T3057" s="9">
        <v>875</v>
      </c>
      <c r="U3057" s="9">
        <v>0</v>
      </c>
      <c r="V3057" s="9">
        <f t="shared" si="2027"/>
        <v>0</v>
      </c>
      <c r="W3057" s="7"/>
      <c r="X3057" s="2">
        <v>2016</v>
      </c>
      <c r="Y3057" s="2" t="s">
        <v>8493</v>
      </c>
    </row>
    <row r="3058" spans="1:25" s="11" customFormat="1" ht="89.25" customHeight="1" outlineLevel="1" x14ac:dyDescent="0.25">
      <c r="A3058" s="1"/>
      <c r="B3058" s="2" t="s">
        <v>8696</v>
      </c>
      <c r="C3058" s="3" t="s">
        <v>83</v>
      </c>
      <c r="D3058" s="3" t="s">
        <v>5464</v>
      </c>
      <c r="E3058" s="3" t="s">
        <v>5465</v>
      </c>
      <c r="F3058" s="3" t="s">
        <v>5293</v>
      </c>
      <c r="G3058" s="3" t="s">
        <v>5466</v>
      </c>
      <c r="H3058" s="2" t="s">
        <v>694</v>
      </c>
      <c r="I3058" s="4">
        <v>0</v>
      </c>
      <c r="J3058" s="5">
        <v>710000000</v>
      </c>
      <c r="K3058" s="5" t="s">
        <v>89</v>
      </c>
      <c r="L3058" s="2" t="s">
        <v>1735</v>
      </c>
      <c r="M3058" s="6" t="s">
        <v>91</v>
      </c>
      <c r="N3058" s="7" t="s">
        <v>92</v>
      </c>
      <c r="O3058" s="7" t="s">
        <v>93</v>
      </c>
      <c r="P3058" s="3" t="s">
        <v>673</v>
      </c>
      <c r="Q3058" s="8" t="s">
        <v>3383</v>
      </c>
      <c r="R3058" s="7" t="s">
        <v>3384</v>
      </c>
      <c r="S3058" s="9">
        <v>6</v>
      </c>
      <c r="T3058" s="9">
        <v>1232.0999999999999</v>
      </c>
      <c r="U3058" s="9">
        <f>T3058*S3058</f>
        <v>7392.5999999999995</v>
      </c>
      <c r="V3058" s="9">
        <f t="shared" ref="V3058" si="2129">U3058*1.12</f>
        <v>8279.7119999999995</v>
      </c>
      <c r="W3058" s="7"/>
      <c r="X3058" s="2">
        <v>2016</v>
      </c>
      <c r="Y3058" s="2"/>
    </row>
    <row r="3059" spans="1:25" s="11" customFormat="1" ht="89.25" customHeight="1" outlineLevel="1" x14ac:dyDescent="0.25">
      <c r="A3059" s="1"/>
      <c r="B3059" s="2" t="s">
        <v>7283</v>
      </c>
      <c r="C3059" s="3" t="s">
        <v>83</v>
      </c>
      <c r="D3059" s="3" t="s">
        <v>5467</v>
      </c>
      <c r="E3059" s="3" t="s">
        <v>5468</v>
      </c>
      <c r="F3059" s="3" t="s">
        <v>5237</v>
      </c>
      <c r="G3059" s="3" t="s">
        <v>5469</v>
      </c>
      <c r="H3059" s="2" t="s">
        <v>694</v>
      </c>
      <c r="I3059" s="4">
        <v>0</v>
      </c>
      <c r="J3059" s="5">
        <v>710000000</v>
      </c>
      <c r="K3059" s="5" t="s">
        <v>89</v>
      </c>
      <c r="L3059" s="2" t="s">
        <v>754</v>
      </c>
      <c r="M3059" s="6" t="s">
        <v>91</v>
      </c>
      <c r="N3059" s="7" t="s">
        <v>92</v>
      </c>
      <c r="O3059" s="7" t="s">
        <v>93</v>
      </c>
      <c r="P3059" s="3" t="s">
        <v>673</v>
      </c>
      <c r="Q3059" s="8" t="s">
        <v>522</v>
      </c>
      <c r="R3059" s="7" t="s">
        <v>523</v>
      </c>
      <c r="S3059" s="9">
        <v>3</v>
      </c>
      <c r="T3059" s="9">
        <v>616</v>
      </c>
      <c r="U3059" s="9">
        <v>0</v>
      </c>
      <c r="V3059" s="9">
        <f t="shared" si="2027"/>
        <v>0</v>
      </c>
      <c r="W3059" s="7"/>
      <c r="X3059" s="2">
        <v>2016</v>
      </c>
      <c r="Y3059" s="2" t="s">
        <v>8493</v>
      </c>
    </row>
    <row r="3060" spans="1:25" s="11" customFormat="1" ht="89.25" customHeight="1" outlineLevel="1" x14ac:dyDescent="0.25">
      <c r="A3060" s="1"/>
      <c r="B3060" s="2" t="s">
        <v>8646</v>
      </c>
      <c r="C3060" s="3" t="s">
        <v>83</v>
      </c>
      <c r="D3060" s="3" t="s">
        <v>5467</v>
      </c>
      <c r="E3060" s="3" t="s">
        <v>5468</v>
      </c>
      <c r="F3060" s="3" t="s">
        <v>5237</v>
      </c>
      <c r="G3060" s="3" t="s">
        <v>5469</v>
      </c>
      <c r="H3060" s="2" t="s">
        <v>694</v>
      </c>
      <c r="I3060" s="4">
        <v>0</v>
      </c>
      <c r="J3060" s="5">
        <v>710000000</v>
      </c>
      <c r="K3060" s="5" t="s">
        <v>89</v>
      </c>
      <c r="L3060" s="2" t="s">
        <v>1735</v>
      </c>
      <c r="M3060" s="6" t="s">
        <v>91</v>
      </c>
      <c r="N3060" s="7" t="s">
        <v>92</v>
      </c>
      <c r="O3060" s="7" t="s">
        <v>93</v>
      </c>
      <c r="P3060" s="3" t="s">
        <v>673</v>
      </c>
      <c r="Q3060" s="8" t="s">
        <v>522</v>
      </c>
      <c r="R3060" s="7" t="s">
        <v>523</v>
      </c>
      <c r="S3060" s="9">
        <v>3</v>
      </c>
      <c r="T3060" s="9">
        <v>799.1</v>
      </c>
      <c r="U3060" s="9">
        <f t="shared" ref="U3060" si="2130">T3060*S3060</f>
        <v>2397.3000000000002</v>
      </c>
      <c r="V3060" s="9">
        <f t="shared" ref="V3060" si="2131">U3060*1.12</f>
        <v>2684.9760000000006</v>
      </c>
      <c r="W3060" s="7"/>
      <c r="X3060" s="2">
        <v>2016</v>
      </c>
      <c r="Y3060" s="2"/>
    </row>
    <row r="3061" spans="1:25" s="11" customFormat="1" ht="89.25" customHeight="1" outlineLevel="1" x14ac:dyDescent="0.25">
      <c r="A3061" s="1"/>
      <c r="B3061" s="2" t="s">
        <v>7284</v>
      </c>
      <c r="C3061" s="3" t="s">
        <v>83</v>
      </c>
      <c r="D3061" s="3" t="s">
        <v>5470</v>
      </c>
      <c r="E3061" s="3" t="s">
        <v>5471</v>
      </c>
      <c r="F3061" s="3" t="s">
        <v>5472</v>
      </c>
      <c r="G3061" s="3" t="s">
        <v>5473</v>
      </c>
      <c r="H3061" s="2" t="s">
        <v>694</v>
      </c>
      <c r="I3061" s="4">
        <v>0</v>
      </c>
      <c r="J3061" s="5">
        <v>710000000</v>
      </c>
      <c r="K3061" s="5" t="s">
        <v>89</v>
      </c>
      <c r="L3061" s="2" t="s">
        <v>754</v>
      </c>
      <c r="M3061" s="6" t="s">
        <v>91</v>
      </c>
      <c r="N3061" s="7" t="s">
        <v>92</v>
      </c>
      <c r="O3061" s="7" t="s">
        <v>93</v>
      </c>
      <c r="P3061" s="3" t="s">
        <v>673</v>
      </c>
      <c r="Q3061" s="8" t="s">
        <v>3383</v>
      </c>
      <c r="R3061" s="7" t="s">
        <v>3384</v>
      </c>
      <c r="S3061" s="9">
        <v>18</v>
      </c>
      <c r="T3061" s="9">
        <v>107</v>
      </c>
      <c r="U3061" s="9">
        <v>0</v>
      </c>
      <c r="V3061" s="9">
        <f t="shared" si="2027"/>
        <v>0</v>
      </c>
      <c r="W3061" s="7"/>
      <c r="X3061" s="2">
        <v>2016</v>
      </c>
      <c r="Y3061" s="2" t="s">
        <v>8493</v>
      </c>
    </row>
    <row r="3062" spans="1:25" s="11" customFormat="1" ht="89.25" customHeight="1" outlineLevel="1" x14ac:dyDescent="0.25">
      <c r="A3062" s="1"/>
      <c r="B3062" s="2" t="s">
        <v>8647</v>
      </c>
      <c r="C3062" s="3" t="s">
        <v>83</v>
      </c>
      <c r="D3062" s="3" t="s">
        <v>5470</v>
      </c>
      <c r="E3062" s="3" t="s">
        <v>5471</v>
      </c>
      <c r="F3062" s="3" t="s">
        <v>5472</v>
      </c>
      <c r="G3062" s="3" t="s">
        <v>5473</v>
      </c>
      <c r="H3062" s="2" t="s">
        <v>694</v>
      </c>
      <c r="I3062" s="4">
        <v>0</v>
      </c>
      <c r="J3062" s="5">
        <v>710000000</v>
      </c>
      <c r="K3062" s="5" t="s">
        <v>89</v>
      </c>
      <c r="L3062" s="2" t="s">
        <v>1735</v>
      </c>
      <c r="M3062" s="6" t="s">
        <v>91</v>
      </c>
      <c r="N3062" s="7" t="s">
        <v>92</v>
      </c>
      <c r="O3062" s="7" t="s">
        <v>93</v>
      </c>
      <c r="P3062" s="3" t="s">
        <v>673</v>
      </c>
      <c r="Q3062" s="8" t="s">
        <v>3383</v>
      </c>
      <c r="R3062" s="7" t="s">
        <v>3384</v>
      </c>
      <c r="S3062" s="9">
        <v>18</v>
      </c>
      <c r="T3062" s="9">
        <v>125</v>
      </c>
      <c r="U3062" s="9">
        <f t="shared" ref="U3062" si="2132">T3062*S3062</f>
        <v>2250</v>
      </c>
      <c r="V3062" s="9">
        <f t="shared" ref="V3062" si="2133">U3062*1.12</f>
        <v>2520.0000000000005</v>
      </c>
      <c r="W3062" s="7"/>
      <c r="X3062" s="2">
        <v>2016</v>
      </c>
      <c r="Y3062" s="2"/>
    </row>
    <row r="3063" spans="1:25" s="11" customFormat="1" ht="89.25" customHeight="1" outlineLevel="1" x14ac:dyDescent="0.25">
      <c r="A3063" s="1"/>
      <c r="B3063" s="2" t="s">
        <v>7285</v>
      </c>
      <c r="C3063" s="3" t="s">
        <v>83</v>
      </c>
      <c r="D3063" s="3" t="s">
        <v>5474</v>
      </c>
      <c r="E3063" s="3" t="s">
        <v>5475</v>
      </c>
      <c r="F3063" s="3" t="s">
        <v>5280</v>
      </c>
      <c r="G3063" s="3" t="s">
        <v>5476</v>
      </c>
      <c r="H3063" s="2" t="s">
        <v>694</v>
      </c>
      <c r="I3063" s="4">
        <v>0</v>
      </c>
      <c r="J3063" s="5">
        <v>710000000</v>
      </c>
      <c r="K3063" s="5" t="s">
        <v>89</v>
      </c>
      <c r="L3063" s="2" t="s">
        <v>754</v>
      </c>
      <c r="M3063" s="6" t="s">
        <v>91</v>
      </c>
      <c r="N3063" s="7" t="s">
        <v>92</v>
      </c>
      <c r="O3063" s="7" t="s">
        <v>93</v>
      </c>
      <c r="P3063" s="3" t="s">
        <v>673</v>
      </c>
      <c r="Q3063" s="8" t="s">
        <v>522</v>
      </c>
      <c r="R3063" s="7" t="s">
        <v>523</v>
      </c>
      <c r="S3063" s="9">
        <v>14</v>
      </c>
      <c r="T3063" s="9">
        <v>125</v>
      </c>
      <c r="U3063" s="9">
        <v>0</v>
      </c>
      <c r="V3063" s="9">
        <f t="shared" si="2027"/>
        <v>0</v>
      </c>
      <c r="W3063" s="7"/>
      <c r="X3063" s="2">
        <v>2016</v>
      </c>
      <c r="Y3063" s="2"/>
    </row>
    <row r="3064" spans="1:25" s="11" customFormat="1" ht="89.25" customHeight="1" outlineLevel="1" x14ac:dyDescent="0.25">
      <c r="A3064" s="1"/>
      <c r="B3064" s="2" t="s">
        <v>8648</v>
      </c>
      <c r="C3064" s="3" t="s">
        <v>83</v>
      </c>
      <c r="D3064" s="3" t="s">
        <v>5474</v>
      </c>
      <c r="E3064" s="3" t="s">
        <v>5475</v>
      </c>
      <c r="F3064" s="3" t="s">
        <v>5280</v>
      </c>
      <c r="G3064" s="3" t="s">
        <v>5476</v>
      </c>
      <c r="H3064" s="2" t="s">
        <v>694</v>
      </c>
      <c r="I3064" s="4">
        <v>0</v>
      </c>
      <c r="J3064" s="5">
        <v>710000000</v>
      </c>
      <c r="K3064" s="5" t="s">
        <v>89</v>
      </c>
      <c r="L3064" s="2" t="s">
        <v>1735</v>
      </c>
      <c r="M3064" s="6" t="s">
        <v>91</v>
      </c>
      <c r="N3064" s="7" t="s">
        <v>92</v>
      </c>
      <c r="O3064" s="7" t="s">
        <v>93</v>
      </c>
      <c r="P3064" s="3" t="s">
        <v>673</v>
      </c>
      <c r="Q3064" s="8" t="s">
        <v>522</v>
      </c>
      <c r="R3064" s="7" t="s">
        <v>523</v>
      </c>
      <c r="S3064" s="9">
        <v>14</v>
      </c>
      <c r="T3064" s="9">
        <v>205.4</v>
      </c>
      <c r="U3064" s="9">
        <f t="shared" ref="U3064" si="2134">T3064*S3064</f>
        <v>2875.6</v>
      </c>
      <c r="V3064" s="9">
        <f t="shared" ref="V3064" si="2135">U3064*1.12</f>
        <v>3220.672</v>
      </c>
      <c r="W3064" s="7"/>
      <c r="X3064" s="2">
        <v>2016</v>
      </c>
      <c r="Y3064" s="2"/>
    </row>
    <row r="3065" spans="1:25" s="11" customFormat="1" ht="89.25" customHeight="1" outlineLevel="1" x14ac:dyDescent="0.25">
      <c r="A3065" s="1"/>
      <c r="B3065" s="2" t="s">
        <v>7286</v>
      </c>
      <c r="C3065" s="3" t="s">
        <v>83</v>
      </c>
      <c r="D3065" s="3" t="s">
        <v>5477</v>
      </c>
      <c r="E3065" s="3" t="s">
        <v>5478</v>
      </c>
      <c r="F3065" s="3" t="s">
        <v>5237</v>
      </c>
      <c r="G3065" s="3" t="s">
        <v>5245</v>
      </c>
      <c r="H3065" s="2" t="s">
        <v>694</v>
      </c>
      <c r="I3065" s="4">
        <v>0</v>
      </c>
      <c r="J3065" s="5">
        <v>710000000</v>
      </c>
      <c r="K3065" s="5" t="s">
        <v>89</v>
      </c>
      <c r="L3065" s="2" t="s">
        <v>754</v>
      </c>
      <c r="M3065" s="6" t="s">
        <v>91</v>
      </c>
      <c r="N3065" s="7" t="s">
        <v>92</v>
      </c>
      <c r="O3065" s="7" t="s">
        <v>93</v>
      </c>
      <c r="P3065" s="3" t="s">
        <v>673</v>
      </c>
      <c r="Q3065" s="8" t="s">
        <v>522</v>
      </c>
      <c r="R3065" s="7" t="s">
        <v>523</v>
      </c>
      <c r="S3065" s="9">
        <v>9</v>
      </c>
      <c r="T3065" s="9">
        <v>22</v>
      </c>
      <c r="U3065" s="9">
        <v>0</v>
      </c>
      <c r="V3065" s="9">
        <f t="shared" si="2027"/>
        <v>0</v>
      </c>
      <c r="W3065" s="7"/>
      <c r="X3065" s="2">
        <v>2016</v>
      </c>
      <c r="Y3065" s="2" t="s">
        <v>8493</v>
      </c>
    </row>
    <row r="3066" spans="1:25" s="11" customFormat="1" ht="89.25" customHeight="1" outlineLevel="1" x14ac:dyDescent="0.25">
      <c r="A3066" s="1"/>
      <c r="B3066" s="2" t="s">
        <v>8649</v>
      </c>
      <c r="C3066" s="3" t="s">
        <v>83</v>
      </c>
      <c r="D3066" s="3" t="s">
        <v>5477</v>
      </c>
      <c r="E3066" s="3" t="s">
        <v>5478</v>
      </c>
      <c r="F3066" s="3" t="s">
        <v>5237</v>
      </c>
      <c r="G3066" s="3" t="s">
        <v>5245</v>
      </c>
      <c r="H3066" s="2" t="s">
        <v>694</v>
      </c>
      <c r="I3066" s="4">
        <v>0</v>
      </c>
      <c r="J3066" s="5">
        <v>710000000</v>
      </c>
      <c r="K3066" s="5" t="s">
        <v>89</v>
      </c>
      <c r="L3066" s="2" t="s">
        <v>1735</v>
      </c>
      <c r="M3066" s="6" t="s">
        <v>91</v>
      </c>
      <c r="N3066" s="7" t="s">
        <v>92</v>
      </c>
      <c r="O3066" s="7" t="s">
        <v>93</v>
      </c>
      <c r="P3066" s="3" t="s">
        <v>673</v>
      </c>
      <c r="Q3066" s="8" t="s">
        <v>522</v>
      </c>
      <c r="R3066" s="7" t="s">
        <v>523</v>
      </c>
      <c r="S3066" s="9">
        <v>9</v>
      </c>
      <c r="T3066" s="9">
        <v>26.8</v>
      </c>
      <c r="U3066" s="9">
        <f t="shared" ref="U3066" si="2136">T3066*S3066</f>
        <v>241.20000000000002</v>
      </c>
      <c r="V3066" s="9">
        <f t="shared" ref="V3066" si="2137">U3066*1.12</f>
        <v>270.14400000000006</v>
      </c>
      <c r="W3066" s="7"/>
      <c r="X3066" s="2">
        <v>2016</v>
      </c>
      <c r="Y3066" s="2"/>
    </row>
    <row r="3067" spans="1:25" s="11" customFormat="1" ht="89.25" customHeight="1" outlineLevel="1" x14ac:dyDescent="0.25">
      <c r="A3067" s="1"/>
      <c r="B3067" s="2" t="s">
        <v>7287</v>
      </c>
      <c r="C3067" s="3" t="s">
        <v>83</v>
      </c>
      <c r="D3067" s="3" t="s">
        <v>5479</v>
      </c>
      <c r="E3067" s="3" t="s">
        <v>5480</v>
      </c>
      <c r="F3067" s="3" t="s">
        <v>5237</v>
      </c>
      <c r="G3067" s="3" t="s">
        <v>5481</v>
      </c>
      <c r="H3067" s="2" t="s">
        <v>694</v>
      </c>
      <c r="I3067" s="4">
        <v>0</v>
      </c>
      <c r="J3067" s="5">
        <v>710000000</v>
      </c>
      <c r="K3067" s="5" t="s">
        <v>89</v>
      </c>
      <c r="L3067" s="2" t="s">
        <v>754</v>
      </c>
      <c r="M3067" s="6" t="s">
        <v>91</v>
      </c>
      <c r="N3067" s="7" t="s">
        <v>92</v>
      </c>
      <c r="O3067" s="7" t="s">
        <v>93</v>
      </c>
      <c r="P3067" s="3" t="s">
        <v>673</v>
      </c>
      <c r="Q3067" s="8" t="s">
        <v>522</v>
      </c>
      <c r="R3067" s="7" t="s">
        <v>523</v>
      </c>
      <c r="S3067" s="9">
        <v>11</v>
      </c>
      <c r="T3067" s="9">
        <v>223</v>
      </c>
      <c r="U3067" s="9">
        <v>0</v>
      </c>
      <c r="V3067" s="9">
        <f t="shared" si="2027"/>
        <v>0</v>
      </c>
      <c r="W3067" s="7"/>
      <c r="X3067" s="2">
        <v>2016</v>
      </c>
      <c r="Y3067" s="2" t="s">
        <v>8493</v>
      </c>
    </row>
    <row r="3068" spans="1:25" s="11" customFormat="1" ht="89.25" customHeight="1" outlineLevel="1" x14ac:dyDescent="0.25">
      <c r="A3068" s="1"/>
      <c r="B3068" s="2" t="s">
        <v>8650</v>
      </c>
      <c r="C3068" s="3" t="s">
        <v>83</v>
      </c>
      <c r="D3068" s="3" t="s">
        <v>5479</v>
      </c>
      <c r="E3068" s="3" t="s">
        <v>5480</v>
      </c>
      <c r="F3068" s="3" t="s">
        <v>5237</v>
      </c>
      <c r="G3068" s="3" t="s">
        <v>5481</v>
      </c>
      <c r="H3068" s="2" t="s">
        <v>694</v>
      </c>
      <c r="I3068" s="4">
        <v>0</v>
      </c>
      <c r="J3068" s="5">
        <v>710000000</v>
      </c>
      <c r="K3068" s="5" t="s">
        <v>89</v>
      </c>
      <c r="L3068" s="2" t="s">
        <v>1735</v>
      </c>
      <c r="M3068" s="6" t="s">
        <v>91</v>
      </c>
      <c r="N3068" s="7" t="s">
        <v>92</v>
      </c>
      <c r="O3068" s="7" t="s">
        <v>93</v>
      </c>
      <c r="P3068" s="3" t="s">
        <v>673</v>
      </c>
      <c r="Q3068" s="8" t="s">
        <v>522</v>
      </c>
      <c r="R3068" s="7" t="s">
        <v>523</v>
      </c>
      <c r="S3068" s="9">
        <v>11</v>
      </c>
      <c r="T3068" s="9">
        <v>392.9</v>
      </c>
      <c r="U3068" s="9">
        <f t="shared" ref="U3068" si="2138">T3068*S3068</f>
        <v>4321.8999999999996</v>
      </c>
      <c r="V3068" s="9">
        <f t="shared" ref="V3068" si="2139">U3068*1.12</f>
        <v>4840.5280000000002</v>
      </c>
      <c r="W3068" s="7"/>
      <c r="X3068" s="2">
        <v>2016</v>
      </c>
      <c r="Y3068" s="2"/>
    </row>
    <row r="3069" spans="1:25" s="11" customFormat="1" ht="89.25" customHeight="1" outlineLevel="1" x14ac:dyDescent="0.25">
      <c r="A3069" s="1"/>
      <c r="B3069" s="2" t="s">
        <v>7288</v>
      </c>
      <c r="C3069" s="3" t="s">
        <v>83</v>
      </c>
      <c r="D3069" s="3" t="s">
        <v>5482</v>
      </c>
      <c r="E3069" s="3" t="s">
        <v>5483</v>
      </c>
      <c r="F3069" s="3" t="s">
        <v>5252</v>
      </c>
      <c r="G3069" s="3" t="s">
        <v>5484</v>
      </c>
      <c r="H3069" s="2" t="s">
        <v>694</v>
      </c>
      <c r="I3069" s="4">
        <v>0</v>
      </c>
      <c r="J3069" s="5">
        <v>710000000</v>
      </c>
      <c r="K3069" s="5" t="s">
        <v>89</v>
      </c>
      <c r="L3069" s="2" t="s">
        <v>754</v>
      </c>
      <c r="M3069" s="6" t="s">
        <v>91</v>
      </c>
      <c r="N3069" s="7" t="s">
        <v>92</v>
      </c>
      <c r="O3069" s="7" t="s">
        <v>93</v>
      </c>
      <c r="P3069" s="3" t="s">
        <v>673</v>
      </c>
      <c r="Q3069" s="8" t="s">
        <v>3383</v>
      </c>
      <c r="R3069" s="7" t="s">
        <v>3384</v>
      </c>
      <c r="S3069" s="9">
        <v>48</v>
      </c>
      <c r="T3069" s="9">
        <v>45</v>
      </c>
      <c r="U3069" s="9">
        <v>0</v>
      </c>
      <c r="V3069" s="9">
        <f t="shared" si="2027"/>
        <v>0</v>
      </c>
      <c r="W3069" s="7"/>
      <c r="X3069" s="2">
        <v>2016</v>
      </c>
      <c r="Y3069" s="2" t="s">
        <v>8493</v>
      </c>
    </row>
    <row r="3070" spans="1:25" s="11" customFormat="1" ht="89.25" customHeight="1" outlineLevel="1" x14ac:dyDescent="0.25">
      <c r="A3070" s="1"/>
      <c r="B3070" s="2" t="s">
        <v>8651</v>
      </c>
      <c r="C3070" s="3" t="s">
        <v>83</v>
      </c>
      <c r="D3070" s="3" t="s">
        <v>5482</v>
      </c>
      <c r="E3070" s="3" t="s">
        <v>5483</v>
      </c>
      <c r="F3070" s="3" t="s">
        <v>5252</v>
      </c>
      <c r="G3070" s="3" t="s">
        <v>5484</v>
      </c>
      <c r="H3070" s="2" t="s">
        <v>694</v>
      </c>
      <c r="I3070" s="4">
        <v>0</v>
      </c>
      <c r="J3070" s="5">
        <v>710000000</v>
      </c>
      <c r="K3070" s="5" t="s">
        <v>89</v>
      </c>
      <c r="L3070" s="2" t="s">
        <v>1735</v>
      </c>
      <c r="M3070" s="6" t="s">
        <v>91</v>
      </c>
      <c r="N3070" s="7" t="s">
        <v>92</v>
      </c>
      <c r="O3070" s="7" t="s">
        <v>93</v>
      </c>
      <c r="P3070" s="3" t="s">
        <v>673</v>
      </c>
      <c r="Q3070" s="8" t="s">
        <v>3383</v>
      </c>
      <c r="R3070" s="7" t="s">
        <v>3384</v>
      </c>
      <c r="S3070" s="9">
        <v>48</v>
      </c>
      <c r="T3070" s="9">
        <v>71.400000000000006</v>
      </c>
      <c r="U3070" s="9">
        <f t="shared" ref="U3070" si="2140">T3070*S3070</f>
        <v>3427.2000000000003</v>
      </c>
      <c r="V3070" s="9">
        <f t="shared" ref="V3070" si="2141">U3070*1.12</f>
        <v>3838.4640000000009</v>
      </c>
      <c r="W3070" s="7"/>
      <c r="X3070" s="2">
        <v>2016</v>
      </c>
      <c r="Y3070" s="2"/>
    </row>
    <row r="3071" spans="1:25" s="11" customFormat="1" ht="89.25" customHeight="1" outlineLevel="1" x14ac:dyDescent="0.25">
      <c r="A3071" s="1"/>
      <c r="B3071" s="2" t="s">
        <v>7289</v>
      </c>
      <c r="C3071" s="3" t="s">
        <v>83</v>
      </c>
      <c r="D3071" s="3" t="s">
        <v>5485</v>
      </c>
      <c r="E3071" s="3" t="s">
        <v>5486</v>
      </c>
      <c r="F3071" s="3" t="s">
        <v>5487</v>
      </c>
      <c r="G3071" s="3" t="s">
        <v>5488</v>
      </c>
      <c r="H3071" s="2" t="s">
        <v>694</v>
      </c>
      <c r="I3071" s="4">
        <v>0</v>
      </c>
      <c r="J3071" s="5">
        <v>710000000</v>
      </c>
      <c r="K3071" s="5" t="s">
        <v>89</v>
      </c>
      <c r="L3071" s="2" t="s">
        <v>754</v>
      </c>
      <c r="M3071" s="6" t="s">
        <v>91</v>
      </c>
      <c r="N3071" s="7" t="s">
        <v>92</v>
      </c>
      <c r="O3071" s="7" t="s">
        <v>93</v>
      </c>
      <c r="P3071" s="3" t="s">
        <v>673</v>
      </c>
      <c r="Q3071" s="8">
        <v>796</v>
      </c>
      <c r="R3071" s="7" t="s">
        <v>118</v>
      </c>
      <c r="S3071" s="9">
        <v>134</v>
      </c>
      <c r="T3071" s="9">
        <v>13</v>
      </c>
      <c r="U3071" s="9">
        <v>0</v>
      </c>
      <c r="V3071" s="9">
        <f t="shared" si="2027"/>
        <v>0</v>
      </c>
      <c r="W3071" s="7"/>
      <c r="X3071" s="2">
        <v>2016</v>
      </c>
      <c r="Y3071" s="2" t="s">
        <v>8493</v>
      </c>
    </row>
    <row r="3072" spans="1:25" s="11" customFormat="1" ht="89.25" customHeight="1" outlineLevel="1" x14ac:dyDescent="0.25">
      <c r="A3072" s="1"/>
      <c r="B3072" s="2" t="s">
        <v>8652</v>
      </c>
      <c r="C3072" s="3" t="s">
        <v>83</v>
      </c>
      <c r="D3072" s="3" t="s">
        <v>5485</v>
      </c>
      <c r="E3072" s="3" t="s">
        <v>5486</v>
      </c>
      <c r="F3072" s="3" t="s">
        <v>5487</v>
      </c>
      <c r="G3072" s="3" t="s">
        <v>5488</v>
      </c>
      <c r="H3072" s="2" t="s">
        <v>694</v>
      </c>
      <c r="I3072" s="4">
        <v>0</v>
      </c>
      <c r="J3072" s="5">
        <v>710000000</v>
      </c>
      <c r="K3072" s="5" t="s">
        <v>89</v>
      </c>
      <c r="L3072" s="2" t="s">
        <v>1735</v>
      </c>
      <c r="M3072" s="6" t="s">
        <v>91</v>
      </c>
      <c r="N3072" s="7" t="s">
        <v>92</v>
      </c>
      <c r="O3072" s="7" t="s">
        <v>93</v>
      </c>
      <c r="P3072" s="3" t="s">
        <v>673</v>
      </c>
      <c r="Q3072" s="8">
        <v>796</v>
      </c>
      <c r="R3072" s="7" t="s">
        <v>118</v>
      </c>
      <c r="S3072" s="9">
        <v>134</v>
      </c>
      <c r="T3072" s="9">
        <v>17.899999999999999</v>
      </c>
      <c r="U3072" s="9">
        <f t="shared" ref="U3072" si="2142">T3072*S3072</f>
        <v>2398.6</v>
      </c>
      <c r="V3072" s="9">
        <f t="shared" ref="V3072" si="2143">U3072*1.12</f>
        <v>2686.4320000000002</v>
      </c>
      <c r="W3072" s="7"/>
      <c r="X3072" s="2">
        <v>2016</v>
      </c>
      <c r="Y3072" s="2"/>
    </row>
    <row r="3073" spans="1:25" s="11" customFormat="1" ht="89.25" customHeight="1" outlineLevel="1" x14ac:dyDescent="0.25">
      <c r="A3073" s="1"/>
      <c r="B3073" s="2" t="s">
        <v>7290</v>
      </c>
      <c r="C3073" s="3" t="s">
        <v>83</v>
      </c>
      <c r="D3073" s="3" t="s">
        <v>5489</v>
      </c>
      <c r="E3073" s="3" t="s">
        <v>5490</v>
      </c>
      <c r="F3073" s="3" t="s">
        <v>5491</v>
      </c>
      <c r="G3073" s="3" t="s">
        <v>5492</v>
      </c>
      <c r="H3073" s="2" t="s">
        <v>694</v>
      </c>
      <c r="I3073" s="4">
        <v>0</v>
      </c>
      <c r="J3073" s="5">
        <v>710000000</v>
      </c>
      <c r="K3073" s="5" t="s">
        <v>89</v>
      </c>
      <c r="L3073" s="2" t="s">
        <v>754</v>
      </c>
      <c r="M3073" s="6" t="s">
        <v>91</v>
      </c>
      <c r="N3073" s="7" t="s">
        <v>92</v>
      </c>
      <c r="O3073" s="7" t="s">
        <v>93</v>
      </c>
      <c r="P3073" s="3" t="s">
        <v>673</v>
      </c>
      <c r="Q3073" s="8" t="s">
        <v>522</v>
      </c>
      <c r="R3073" s="7" t="s">
        <v>523</v>
      </c>
      <c r="S3073" s="9">
        <v>35</v>
      </c>
      <c r="T3073" s="9">
        <v>170</v>
      </c>
      <c r="U3073" s="9">
        <v>0</v>
      </c>
      <c r="V3073" s="9">
        <f t="shared" si="2027"/>
        <v>0</v>
      </c>
      <c r="W3073" s="7"/>
      <c r="X3073" s="2">
        <v>2016</v>
      </c>
      <c r="Y3073" s="2" t="s">
        <v>8493</v>
      </c>
    </row>
    <row r="3074" spans="1:25" s="11" customFormat="1" ht="89.25" customHeight="1" outlineLevel="1" x14ac:dyDescent="0.25">
      <c r="A3074" s="1"/>
      <c r="B3074" s="2" t="s">
        <v>8653</v>
      </c>
      <c r="C3074" s="3" t="s">
        <v>83</v>
      </c>
      <c r="D3074" s="3" t="s">
        <v>5489</v>
      </c>
      <c r="E3074" s="3" t="s">
        <v>5490</v>
      </c>
      <c r="F3074" s="3" t="s">
        <v>5491</v>
      </c>
      <c r="G3074" s="3" t="s">
        <v>5492</v>
      </c>
      <c r="H3074" s="2" t="s">
        <v>694</v>
      </c>
      <c r="I3074" s="4">
        <v>0</v>
      </c>
      <c r="J3074" s="5">
        <v>710000000</v>
      </c>
      <c r="K3074" s="5" t="s">
        <v>89</v>
      </c>
      <c r="L3074" s="2" t="s">
        <v>1735</v>
      </c>
      <c r="M3074" s="6" t="s">
        <v>91</v>
      </c>
      <c r="N3074" s="7" t="s">
        <v>92</v>
      </c>
      <c r="O3074" s="7" t="s">
        <v>93</v>
      </c>
      <c r="P3074" s="3" t="s">
        <v>673</v>
      </c>
      <c r="Q3074" s="8" t="s">
        <v>522</v>
      </c>
      <c r="R3074" s="7" t="s">
        <v>523</v>
      </c>
      <c r="S3074" s="9">
        <v>35</v>
      </c>
      <c r="T3074" s="9">
        <v>178.6</v>
      </c>
      <c r="U3074" s="9">
        <f t="shared" ref="U3074" si="2144">T3074*S3074</f>
        <v>6251</v>
      </c>
      <c r="V3074" s="9">
        <f t="shared" ref="V3074" si="2145">U3074*1.12</f>
        <v>7001.1200000000008</v>
      </c>
      <c r="W3074" s="7"/>
      <c r="X3074" s="2">
        <v>2016</v>
      </c>
      <c r="Y3074" s="2"/>
    </row>
    <row r="3075" spans="1:25" s="11" customFormat="1" ht="89.25" customHeight="1" outlineLevel="1" x14ac:dyDescent="0.25">
      <c r="A3075" s="1"/>
      <c r="B3075" s="2" t="s">
        <v>7291</v>
      </c>
      <c r="C3075" s="3" t="s">
        <v>83</v>
      </c>
      <c r="D3075" s="3" t="s">
        <v>5489</v>
      </c>
      <c r="E3075" s="3" t="s">
        <v>5490</v>
      </c>
      <c r="F3075" s="3" t="s">
        <v>5491</v>
      </c>
      <c r="G3075" s="3" t="s">
        <v>5493</v>
      </c>
      <c r="H3075" s="2" t="s">
        <v>694</v>
      </c>
      <c r="I3075" s="4">
        <v>0</v>
      </c>
      <c r="J3075" s="5">
        <v>710000000</v>
      </c>
      <c r="K3075" s="5" t="s">
        <v>89</v>
      </c>
      <c r="L3075" s="2" t="s">
        <v>754</v>
      </c>
      <c r="M3075" s="6" t="s">
        <v>91</v>
      </c>
      <c r="N3075" s="7" t="s">
        <v>92</v>
      </c>
      <c r="O3075" s="7" t="s">
        <v>93</v>
      </c>
      <c r="P3075" s="3" t="s">
        <v>673</v>
      </c>
      <c r="Q3075" s="8" t="s">
        <v>522</v>
      </c>
      <c r="R3075" s="7" t="s">
        <v>523</v>
      </c>
      <c r="S3075" s="9">
        <v>26</v>
      </c>
      <c r="T3075" s="9">
        <v>107</v>
      </c>
      <c r="U3075" s="9">
        <v>0</v>
      </c>
      <c r="V3075" s="9">
        <f t="shared" si="2027"/>
        <v>0</v>
      </c>
      <c r="W3075" s="7"/>
      <c r="X3075" s="2">
        <v>2016</v>
      </c>
      <c r="Y3075" s="2" t="s">
        <v>8493</v>
      </c>
    </row>
    <row r="3076" spans="1:25" s="11" customFormat="1" ht="89.25" customHeight="1" outlineLevel="1" x14ac:dyDescent="0.25">
      <c r="A3076" s="1"/>
      <c r="B3076" s="2" t="s">
        <v>8654</v>
      </c>
      <c r="C3076" s="3" t="s">
        <v>83</v>
      </c>
      <c r="D3076" s="3" t="s">
        <v>5489</v>
      </c>
      <c r="E3076" s="3" t="s">
        <v>5490</v>
      </c>
      <c r="F3076" s="3" t="s">
        <v>5491</v>
      </c>
      <c r="G3076" s="3" t="s">
        <v>5493</v>
      </c>
      <c r="H3076" s="2" t="s">
        <v>694</v>
      </c>
      <c r="I3076" s="4">
        <v>0</v>
      </c>
      <c r="J3076" s="5">
        <v>710000000</v>
      </c>
      <c r="K3076" s="5" t="s">
        <v>89</v>
      </c>
      <c r="L3076" s="2" t="s">
        <v>1735</v>
      </c>
      <c r="M3076" s="6" t="s">
        <v>91</v>
      </c>
      <c r="N3076" s="7" t="s">
        <v>92</v>
      </c>
      <c r="O3076" s="7" t="s">
        <v>93</v>
      </c>
      <c r="P3076" s="3" t="s">
        <v>673</v>
      </c>
      <c r="Q3076" s="8" t="s">
        <v>522</v>
      </c>
      <c r="R3076" s="7" t="s">
        <v>523</v>
      </c>
      <c r="S3076" s="9">
        <v>26</v>
      </c>
      <c r="T3076" s="9">
        <v>107.1</v>
      </c>
      <c r="U3076" s="9">
        <f t="shared" ref="U3076" si="2146">T3076*S3076</f>
        <v>2784.6</v>
      </c>
      <c r="V3076" s="9">
        <f t="shared" ref="V3076" si="2147">U3076*1.12</f>
        <v>3118.7520000000004</v>
      </c>
      <c r="W3076" s="7"/>
      <c r="X3076" s="2">
        <v>2016</v>
      </c>
      <c r="Y3076" s="2"/>
    </row>
    <row r="3077" spans="1:25" s="11" customFormat="1" ht="89.25" customHeight="1" outlineLevel="1" x14ac:dyDescent="0.25">
      <c r="A3077" s="1"/>
      <c r="B3077" s="2" t="s">
        <v>7292</v>
      </c>
      <c r="C3077" s="3" t="s">
        <v>83</v>
      </c>
      <c r="D3077" s="3" t="s">
        <v>5494</v>
      </c>
      <c r="E3077" s="3" t="s">
        <v>5495</v>
      </c>
      <c r="F3077" s="3" t="s">
        <v>5496</v>
      </c>
      <c r="G3077" s="3" t="s">
        <v>5497</v>
      </c>
      <c r="H3077" s="2" t="s">
        <v>694</v>
      </c>
      <c r="I3077" s="4">
        <v>0</v>
      </c>
      <c r="J3077" s="5">
        <v>710000000</v>
      </c>
      <c r="K3077" s="5" t="s">
        <v>89</v>
      </c>
      <c r="L3077" s="2" t="s">
        <v>754</v>
      </c>
      <c r="M3077" s="6" t="s">
        <v>91</v>
      </c>
      <c r="N3077" s="7" t="s">
        <v>92</v>
      </c>
      <c r="O3077" s="7" t="s">
        <v>93</v>
      </c>
      <c r="P3077" s="3" t="s">
        <v>673</v>
      </c>
      <c r="Q3077" s="8">
        <v>796</v>
      </c>
      <c r="R3077" s="7" t="s">
        <v>118</v>
      </c>
      <c r="S3077" s="9">
        <v>32</v>
      </c>
      <c r="T3077" s="9">
        <v>31</v>
      </c>
      <c r="U3077" s="9">
        <v>0</v>
      </c>
      <c r="V3077" s="9">
        <f t="shared" si="2027"/>
        <v>0</v>
      </c>
      <c r="W3077" s="7"/>
      <c r="X3077" s="2">
        <v>2016</v>
      </c>
      <c r="Y3077" s="2" t="s">
        <v>8493</v>
      </c>
    </row>
    <row r="3078" spans="1:25" s="11" customFormat="1" ht="89.25" customHeight="1" outlineLevel="1" x14ac:dyDescent="0.25">
      <c r="A3078" s="1"/>
      <c r="B3078" s="2" t="s">
        <v>8655</v>
      </c>
      <c r="C3078" s="3" t="s">
        <v>83</v>
      </c>
      <c r="D3078" s="3" t="s">
        <v>5494</v>
      </c>
      <c r="E3078" s="3" t="s">
        <v>5495</v>
      </c>
      <c r="F3078" s="3" t="s">
        <v>5496</v>
      </c>
      <c r="G3078" s="3" t="s">
        <v>5497</v>
      </c>
      <c r="H3078" s="2" t="s">
        <v>694</v>
      </c>
      <c r="I3078" s="4">
        <v>0</v>
      </c>
      <c r="J3078" s="5">
        <v>710000000</v>
      </c>
      <c r="K3078" s="5" t="s">
        <v>89</v>
      </c>
      <c r="L3078" s="2" t="s">
        <v>1735</v>
      </c>
      <c r="M3078" s="6" t="s">
        <v>91</v>
      </c>
      <c r="N3078" s="7" t="s">
        <v>92</v>
      </c>
      <c r="O3078" s="7" t="s">
        <v>93</v>
      </c>
      <c r="P3078" s="3" t="s">
        <v>673</v>
      </c>
      <c r="Q3078" s="8">
        <v>796</v>
      </c>
      <c r="R3078" s="7" t="s">
        <v>118</v>
      </c>
      <c r="S3078" s="9">
        <v>32</v>
      </c>
      <c r="T3078" s="9">
        <v>44.6</v>
      </c>
      <c r="U3078" s="9">
        <f t="shared" ref="U3078" si="2148">T3078*S3078</f>
        <v>1427.2</v>
      </c>
      <c r="V3078" s="9">
        <f t="shared" ref="V3078" si="2149">U3078*1.12</f>
        <v>1598.4640000000002</v>
      </c>
      <c r="W3078" s="7"/>
      <c r="X3078" s="2">
        <v>2016</v>
      </c>
      <c r="Y3078" s="2"/>
    </row>
    <row r="3079" spans="1:25" s="11" customFormat="1" ht="89.25" customHeight="1" outlineLevel="1" x14ac:dyDescent="0.25">
      <c r="A3079" s="1"/>
      <c r="B3079" s="2" t="s">
        <v>7293</v>
      </c>
      <c r="C3079" s="3" t="s">
        <v>83</v>
      </c>
      <c r="D3079" s="3" t="s">
        <v>5498</v>
      </c>
      <c r="E3079" s="3" t="s">
        <v>5495</v>
      </c>
      <c r="F3079" s="3" t="s">
        <v>5499</v>
      </c>
      <c r="G3079" s="3" t="s">
        <v>5500</v>
      </c>
      <c r="H3079" s="2" t="s">
        <v>694</v>
      </c>
      <c r="I3079" s="4">
        <v>0</v>
      </c>
      <c r="J3079" s="5">
        <v>710000000</v>
      </c>
      <c r="K3079" s="5" t="s">
        <v>89</v>
      </c>
      <c r="L3079" s="2" t="s">
        <v>754</v>
      </c>
      <c r="M3079" s="6" t="s">
        <v>91</v>
      </c>
      <c r="N3079" s="7" t="s">
        <v>92</v>
      </c>
      <c r="O3079" s="7" t="s">
        <v>93</v>
      </c>
      <c r="P3079" s="3" t="s">
        <v>673</v>
      </c>
      <c r="Q3079" s="8">
        <v>796</v>
      </c>
      <c r="R3079" s="7" t="s">
        <v>118</v>
      </c>
      <c r="S3079" s="9">
        <v>36</v>
      </c>
      <c r="T3079" s="9">
        <v>54</v>
      </c>
      <c r="U3079" s="9">
        <v>0</v>
      </c>
      <c r="V3079" s="9">
        <f t="shared" si="2027"/>
        <v>0</v>
      </c>
      <c r="W3079" s="7"/>
      <c r="X3079" s="2">
        <v>2016</v>
      </c>
      <c r="Y3079" s="2" t="s">
        <v>8493</v>
      </c>
    </row>
    <row r="3080" spans="1:25" s="11" customFormat="1" ht="89.25" customHeight="1" outlineLevel="1" x14ac:dyDescent="0.25">
      <c r="A3080" s="1"/>
      <c r="B3080" s="2" t="s">
        <v>8656</v>
      </c>
      <c r="C3080" s="3" t="s">
        <v>83</v>
      </c>
      <c r="D3080" s="3" t="s">
        <v>5498</v>
      </c>
      <c r="E3080" s="3" t="s">
        <v>5495</v>
      </c>
      <c r="F3080" s="3" t="s">
        <v>5499</v>
      </c>
      <c r="G3080" s="3" t="s">
        <v>5500</v>
      </c>
      <c r="H3080" s="2" t="s">
        <v>694</v>
      </c>
      <c r="I3080" s="4">
        <v>0</v>
      </c>
      <c r="J3080" s="5">
        <v>710000000</v>
      </c>
      <c r="K3080" s="5" t="s">
        <v>89</v>
      </c>
      <c r="L3080" s="2" t="s">
        <v>1735</v>
      </c>
      <c r="M3080" s="6" t="s">
        <v>91</v>
      </c>
      <c r="N3080" s="7" t="s">
        <v>92</v>
      </c>
      <c r="O3080" s="7" t="s">
        <v>93</v>
      </c>
      <c r="P3080" s="3" t="s">
        <v>673</v>
      </c>
      <c r="Q3080" s="8">
        <v>796</v>
      </c>
      <c r="R3080" s="7" t="s">
        <v>118</v>
      </c>
      <c r="S3080" s="9">
        <v>36</v>
      </c>
      <c r="T3080" s="9">
        <v>53.6</v>
      </c>
      <c r="U3080" s="9">
        <f t="shared" ref="U3080" si="2150">T3080*S3080</f>
        <v>1929.6000000000001</v>
      </c>
      <c r="V3080" s="9">
        <f t="shared" ref="V3080" si="2151">U3080*1.12</f>
        <v>2161.1520000000005</v>
      </c>
      <c r="W3080" s="7"/>
      <c r="X3080" s="2">
        <v>2016</v>
      </c>
      <c r="Y3080" s="2"/>
    </row>
    <row r="3081" spans="1:25" s="11" customFormat="1" ht="89.25" customHeight="1" outlineLevel="1" x14ac:dyDescent="0.25">
      <c r="A3081" s="1"/>
      <c r="B3081" s="2" t="s">
        <v>7294</v>
      </c>
      <c r="C3081" s="3" t="s">
        <v>83</v>
      </c>
      <c r="D3081" s="3" t="s">
        <v>5501</v>
      </c>
      <c r="E3081" s="3" t="s">
        <v>5495</v>
      </c>
      <c r="F3081" s="3" t="s">
        <v>5502</v>
      </c>
      <c r="G3081" s="3" t="s">
        <v>5503</v>
      </c>
      <c r="H3081" s="2" t="s">
        <v>694</v>
      </c>
      <c r="I3081" s="4">
        <v>0</v>
      </c>
      <c r="J3081" s="5">
        <v>710000000</v>
      </c>
      <c r="K3081" s="5" t="s">
        <v>89</v>
      </c>
      <c r="L3081" s="2" t="s">
        <v>754</v>
      </c>
      <c r="M3081" s="6" t="s">
        <v>91</v>
      </c>
      <c r="N3081" s="7" t="s">
        <v>92</v>
      </c>
      <c r="O3081" s="7" t="s">
        <v>93</v>
      </c>
      <c r="P3081" s="3" t="s">
        <v>673</v>
      </c>
      <c r="Q3081" s="8" t="s">
        <v>522</v>
      </c>
      <c r="R3081" s="7" t="s">
        <v>523</v>
      </c>
      <c r="S3081" s="9">
        <v>35</v>
      </c>
      <c r="T3081" s="9">
        <v>214</v>
      </c>
      <c r="U3081" s="9">
        <v>0</v>
      </c>
      <c r="V3081" s="9">
        <f t="shared" si="2027"/>
        <v>0</v>
      </c>
      <c r="W3081" s="7"/>
      <c r="X3081" s="2">
        <v>2016</v>
      </c>
      <c r="Y3081" s="2" t="s">
        <v>8493</v>
      </c>
    </row>
    <row r="3082" spans="1:25" s="11" customFormat="1" ht="89.25" customHeight="1" outlineLevel="1" x14ac:dyDescent="0.25">
      <c r="A3082" s="1"/>
      <c r="B3082" s="2" t="s">
        <v>8657</v>
      </c>
      <c r="C3082" s="3" t="s">
        <v>83</v>
      </c>
      <c r="D3082" s="3" t="s">
        <v>5501</v>
      </c>
      <c r="E3082" s="3" t="s">
        <v>5495</v>
      </c>
      <c r="F3082" s="3" t="s">
        <v>5502</v>
      </c>
      <c r="G3082" s="3" t="s">
        <v>5503</v>
      </c>
      <c r="H3082" s="2" t="s">
        <v>694</v>
      </c>
      <c r="I3082" s="4">
        <v>0</v>
      </c>
      <c r="J3082" s="5">
        <v>710000000</v>
      </c>
      <c r="K3082" s="5" t="s">
        <v>89</v>
      </c>
      <c r="L3082" s="2" t="s">
        <v>1735</v>
      </c>
      <c r="M3082" s="6" t="s">
        <v>91</v>
      </c>
      <c r="N3082" s="7" t="s">
        <v>92</v>
      </c>
      <c r="O3082" s="7" t="s">
        <v>93</v>
      </c>
      <c r="P3082" s="3" t="s">
        <v>673</v>
      </c>
      <c r="Q3082" s="8" t="s">
        <v>522</v>
      </c>
      <c r="R3082" s="7" t="s">
        <v>523</v>
      </c>
      <c r="S3082" s="9">
        <v>35</v>
      </c>
      <c r="T3082" s="9">
        <v>625</v>
      </c>
      <c r="U3082" s="9">
        <f t="shared" ref="U3082" si="2152">T3082*S3082</f>
        <v>21875</v>
      </c>
      <c r="V3082" s="9">
        <f t="shared" ref="V3082" si="2153">U3082*1.12</f>
        <v>24500.000000000004</v>
      </c>
      <c r="W3082" s="7"/>
      <c r="X3082" s="2">
        <v>2016</v>
      </c>
      <c r="Y3082" s="2"/>
    </row>
    <row r="3083" spans="1:25" s="11" customFormat="1" ht="89.25" customHeight="1" outlineLevel="1" x14ac:dyDescent="0.25">
      <c r="A3083" s="1"/>
      <c r="B3083" s="2" t="s">
        <v>7295</v>
      </c>
      <c r="C3083" s="3" t="s">
        <v>83</v>
      </c>
      <c r="D3083" s="3" t="s">
        <v>5501</v>
      </c>
      <c r="E3083" s="3" t="s">
        <v>5495</v>
      </c>
      <c r="F3083" s="3" t="s">
        <v>5502</v>
      </c>
      <c r="G3083" s="3" t="s">
        <v>5504</v>
      </c>
      <c r="H3083" s="2" t="s">
        <v>694</v>
      </c>
      <c r="I3083" s="4">
        <v>0</v>
      </c>
      <c r="J3083" s="5">
        <v>710000000</v>
      </c>
      <c r="K3083" s="5" t="s">
        <v>89</v>
      </c>
      <c r="L3083" s="2" t="s">
        <v>754</v>
      </c>
      <c r="M3083" s="6" t="s">
        <v>91</v>
      </c>
      <c r="N3083" s="7" t="s">
        <v>92</v>
      </c>
      <c r="O3083" s="7" t="s">
        <v>93</v>
      </c>
      <c r="P3083" s="3" t="s">
        <v>673</v>
      </c>
      <c r="Q3083" s="8" t="s">
        <v>522</v>
      </c>
      <c r="R3083" s="7" t="s">
        <v>523</v>
      </c>
      <c r="S3083" s="9">
        <v>50</v>
      </c>
      <c r="T3083" s="9">
        <v>205</v>
      </c>
      <c r="U3083" s="9">
        <v>0</v>
      </c>
      <c r="V3083" s="9">
        <f t="shared" ref="V3083:V3169" si="2154">U3083*1.12</f>
        <v>0</v>
      </c>
      <c r="W3083" s="7"/>
      <c r="X3083" s="2">
        <v>2016</v>
      </c>
      <c r="Y3083" s="2" t="s">
        <v>8493</v>
      </c>
    </row>
    <row r="3084" spans="1:25" s="11" customFormat="1" ht="89.25" customHeight="1" outlineLevel="1" x14ac:dyDescent="0.25">
      <c r="A3084" s="1"/>
      <c r="B3084" s="2" t="s">
        <v>8658</v>
      </c>
      <c r="C3084" s="3" t="s">
        <v>83</v>
      </c>
      <c r="D3084" s="3" t="s">
        <v>5501</v>
      </c>
      <c r="E3084" s="3" t="s">
        <v>5495</v>
      </c>
      <c r="F3084" s="3" t="s">
        <v>5502</v>
      </c>
      <c r="G3084" s="3" t="s">
        <v>5504</v>
      </c>
      <c r="H3084" s="2" t="s">
        <v>694</v>
      </c>
      <c r="I3084" s="4">
        <v>0</v>
      </c>
      <c r="J3084" s="5">
        <v>710000000</v>
      </c>
      <c r="K3084" s="5" t="s">
        <v>89</v>
      </c>
      <c r="L3084" s="2" t="s">
        <v>1735</v>
      </c>
      <c r="M3084" s="6" t="s">
        <v>91</v>
      </c>
      <c r="N3084" s="7" t="s">
        <v>92</v>
      </c>
      <c r="O3084" s="7" t="s">
        <v>93</v>
      </c>
      <c r="P3084" s="3" t="s">
        <v>673</v>
      </c>
      <c r="Q3084" s="8" t="s">
        <v>522</v>
      </c>
      <c r="R3084" s="7" t="s">
        <v>523</v>
      </c>
      <c r="S3084" s="9">
        <v>50</v>
      </c>
      <c r="T3084" s="9">
        <v>803.6</v>
      </c>
      <c r="U3084" s="9">
        <f t="shared" ref="U3084" si="2155">T3084*S3084</f>
        <v>40180</v>
      </c>
      <c r="V3084" s="9">
        <f t="shared" ref="V3084" si="2156">U3084*1.12</f>
        <v>45001.600000000006</v>
      </c>
      <c r="W3084" s="7"/>
      <c r="X3084" s="2">
        <v>2016</v>
      </c>
      <c r="Y3084" s="2"/>
    </row>
    <row r="3085" spans="1:25" s="11" customFormat="1" ht="89.25" customHeight="1" outlineLevel="1" x14ac:dyDescent="0.25">
      <c r="A3085" s="1"/>
      <c r="B3085" s="2" t="s">
        <v>7296</v>
      </c>
      <c r="C3085" s="3" t="s">
        <v>83</v>
      </c>
      <c r="D3085" s="3" t="s">
        <v>5505</v>
      </c>
      <c r="E3085" s="3" t="s">
        <v>5506</v>
      </c>
      <c r="F3085" s="3" t="s">
        <v>5507</v>
      </c>
      <c r="G3085" s="3"/>
      <c r="H3085" s="2" t="s">
        <v>694</v>
      </c>
      <c r="I3085" s="4">
        <v>0</v>
      </c>
      <c r="J3085" s="5">
        <v>710000000</v>
      </c>
      <c r="K3085" s="5" t="s">
        <v>89</v>
      </c>
      <c r="L3085" s="2" t="s">
        <v>754</v>
      </c>
      <c r="M3085" s="6" t="s">
        <v>91</v>
      </c>
      <c r="N3085" s="7" t="s">
        <v>92</v>
      </c>
      <c r="O3085" s="7" t="s">
        <v>93</v>
      </c>
      <c r="P3085" s="3" t="s">
        <v>673</v>
      </c>
      <c r="Q3085" s="8">
        <v>796</v>
      </c>
      <c r="R3085" s="7" t="s">
        <v>118</v>
      </c>
      <c r="S3085" s="9">
        <v>2</v>
      </c>
      <c r="T3085" s="9">
        <v>89</v>
      </c>
      <c r="U3085" s="9">
        <v>0</v>
      </c>
      <c r="V3085" s="9">
        <f t="shared" si="2154"/>
        <v>0</v>
      </c>
      <c r="W3085" s="7"/>
      <c r="X3085" s="2">
        <v>2016</v>
      </c>
      <c r="Y3085" s="2" t="s">
        <v>8493</v>
      </c>
    </row>
    <row r="3086" spans="1:25" s="11" customFormat="1" ht="89.25" customHeight="1" outlineLevel="1" x14ac:dyDescent="0.25">
      <c r="A3086" s="1"/>
      <c r="B3086" s="2" t="s">
        <v>8659</v>
      </c>
      <c r="C3086" s="3" t="s">
        <v>83</v>
      </c>
      <c r="D3086" s="3" t="s">
        <v>5505</v>
      </c>
      <c r="E3086" s="3" t="s">
        <v>5506</v>
      </c>
      <c r="F3086" s="3" t="s">
        <v>5507</v>
      </c>
      <c r="G3086" s="3"/>
      <c r="H3086" s="2" t="s">
        <v>694</v>
      </c>
      <c r="I3086" s="4">
        <v>0</v>
      </c>
      <c r="J3086" s="5">
        <v>710000000</v>
      </c>
      <c r="K3086" s="5" t="s">
        <v>89</v>
      </c>
      <c r="L3086" s="2" t="s">
        <v>1735</v>
      </c>
      <c r="M3086" s="6" t="s">
        <v>91</v>
      </c>
      <c r="N3086" s="7" t="s">
        <v>92</v>
      </c>
      <c r="O3086" s="7" t="s">
        <v>93</v>
      </c>
      <c r="P3086" s="3" t="s">
        <v>673</v>
      </c>
      <c r="Q3086" s="8">
        <v>796</v>
      </c>
      <c r="R3086" s="7" t="s">
        <v>118</v>
      </c>
      <c r="S3086" s="9">
        <v>2</v>
      </c>
      <c r="T3086" s="9">
        <v>196.4</v>
      </c>
      <c r="U3086" s="9">
        <f t="shared" ref="U3086" si="2157">T3086*S3086</f>
        <v>392.8</v>
      </c>
      <c r="V3086" s="9">
        <f t="shared" ref="V3086" si="2158">U3086*1.12</f>
        <v>439.93600000000004</v>
      </c>
      <c r="W3086" s="7"/>
      <c r="X3086" s="2">
        <v>2016</v>
      </c>
      <c r="Y3086" s="2"/>
    </row>
    <row r="3087" spans="1:25" s="11" customFormat="1" ht="89.25" customHeight="1" outlineLevel="1" x14ac:dyDescent="0.25">
      <c r="A3087" s="1"/>
      <c r="B3087" s="2" t="s">
        <v>7297</v>
      </c>
      <c r="C3087" s="3" t="s">
        <v>83</v>
      </c>
      <c r="D3087" s="3" t="s">
        <v>5509</v>
      </c>
      <c r="E3087" s="3" t="s">
        <v>2455</v>
      </c>
      <c r="F3087" s="3" t="s">
        <v>5510</v>
      </c>
      <c r="G3087" s="3" t="s">
        <v>5508</v>
      </c>
      <c r="H3087" s="2" t="s">
        <v>694</v>
      </c>
      <c r="I3087" s="4">
        <v>0</v>
      </c>
      <c r="J3087" s="5">
        <v>710000000</v>
      </c>
      <c r="K3087" s="5" t="s">
        <v>89</v>
      </c>
      <c r="L3087" s="2" t="s">
        <v>754</v>
      </c>
      <c r="M3087" s="6" t="s">
        <v>91</v>
      </c>
      <c r="N3087" s="7" t="s">
        <v>92</v>
      </c>
      <c r="O3087" s="7" t="s">
        <v>93</v>
      </c>
      <c r="P3087" s="3" t="s">
        <v>673</v>
      </c>
      <c r="Q3087" s="8" t="s">
        <v>522</v>
      </c>
      <c r="R3087" s="7" t="s">
        <v>523</v>
      </c>
      <c r="S3087" s="9">
        <v>7</v>
      </c>
      <c r="T3087" s="9">
        <v>27</v>
      </c>
      <c r="U3087" s="9">
        <v>0</v>
      </c>
      <c r="V3087" s="9">
        <f t="shared" si="2154"/>
        <v>0</v>
      </c>
      <c r="W3087" s="7"/>
      <c r="X3087" s="2">
        <v>2016</v>
      </c>
      <c r="Y3087" s="2" t="s">
        <v>8493</v>
      </c>
    </row>
    <row r="3088" spans="1:25" s="11" customFormat="1" ht="89.25" customHeight="1" outlineLevel="1" x14ac:dyDescent="0.25">
      <c r="A3088" s="1"/>
      <c r="B3088" s="2" t="s">
        <v>8660</v>
      </c>
      <c r="C3088" s="3" t="s">
        <v>83</v>
      </c>
      <c r="D3088" s="3" t="s">
        <v>5509</v>
      </c>
      <c r="E3088" s="3" t="s">
        <v>2455</v>
      </c>
      <c r="F3088" s="3" t="s">
        <v>5510</v>
      </c>
      <c r="G3088" s="3" t="s">
        <v>5508</v>
      </c>
      <c r="H3088" s="2" t="s">
        <v>694</v>
      </c>
      <c r="I3088" s="4">
        <v>0</v>
      </c>
      <c r="J3088" s="5">
        <v>710000000</v>
      </c>
      <c r="K3088" s="5" t="s">
        <v>89</v>
      </c>
      <c r="L3088" s="2" t="s">
        <v>1735</v>
      </c>
      <c r="M3088" s="6" t="s">
        <v>91</v>
      </c>
      <c r="N3088" s="7" t="s">
        <v>92</v>
      </c>
      <c r="O3088" s="7" t="s">
        <v>93</v>
      </c>
      <c r="P3088" s="3" t="s">
        <v>673</v>
      </c>
      <c r="Q3088" s="8" t="s">
        <v>522</v>
      </c>
      <c r="R3088" s="7" t="s">
        <v>523</v>
      </c>
      <c r="S3088" s="9">
        <v>7</v>
      </c>
      <c r="T3088" s="9">
        <v>35.700000000000003</v>
      </c>
      <c r="U3088" s="9">
        <f t="shared" ref="U3088" si="2159">T3088*S3088</f>
        <v>249.90000000000003</v>
      </c>
      <c r="V3088" s="9">
        <f t="shared" ref="V3088" si="2160">U3088*1.12</f>
        <v>279.88800000000009</v>
      </c>
      <c r="W3088" s="7"/>
      <c r="X3088" s="2">
        <v>2016</v>
      </c>
      <c r="Y3088" s="2"/>
    </row>
    <row r="3089" spans="1:25" s="11" customFormat="1" ht="89.25" customHeight="1" outlineLevel="1" x14ac:dyDescent="0.25">
      <c r="A3089" s="1"/>
      <c r="B3089" s="2" t="s">
        <v>7298</v>
      </c>
      <c r="C3089" s="3" t="s">
        <v>83</v>
      </c>
      <c r="D3089" s="3" t="s">
        <v>5509</v>
      </c>
      <c r="E3089" s="3" t="s">
        <v>2455</v>
      </c>
      <c r="F3089" s="3" t="s">
        <v>5510</v>
      </c>
      <c r="G3089" s="3" t="s">
        <v>5511</v>
      </c>
      <c r="H3089" s="2" t="s">
        <v>694</v>
      </c>
      <c r="I3089" s="4">
        <v>0</v>
      </c>
      <c r="J3089" s="5">
        <v>710000000</v>
      </c>
      <c r="K3089" s="5" t="s">
        <v>89</v>
      </c>
      <c r="L3089" s="2" t="s">
        <v>754</v>
      </c>
      <c r="M3089" s="6" t="s">
        <v>91</v>
      </c>
      <c r="N3089" s="7" t="s">
        <v>92</v>
      </c>
      <c r="O3089" s="7" t="s">
        <v>93</v>
      </c>
      <c r="P3089" s="3" t="s">
        <v>673</v>
      </c>
      <c r="Q3089" s="8" t="s">
        <v>2458</v>
      </c>
      <c r="R3089" s="7" t="s">
        <v>2459</v>
      </c>
      <c r="S3089" s="9">
        <v>107</v>
      </c>
      <c r="T3089" s="9">
        <v>45</v>
      </c>
      <c r="U3089" s="9">
        <v>0</v>
      </c>
      <c r="V3089" s="9">
        <f t="shared" si="2154"/>
        <v>0</v>
      </c>
      <c r="W3089" s="7"/>
      <c r="X3089" s="2">
        <v>2016</v>
      </c>
      <c r="Y3089" s="2" t="s">
        <v>8493</v>
      </c>
    </row>
    <row r="3090" spans="1:25" s="11" customFormat="1" ht="89.25" customHeight="1" outlineLevel="1" x14ac:dyDescent="0.25">
      <c r="A3090" s="1"/>
      <c r="B3090" s="2" t="s">
        <v>8661</v>
      </c>
      <c r="C3090" s="3" t="s">
        <v>83</v>
      </c>
      <c r="D3090" s="3" t="s">
        <v>5509</v>
      </c>
      <c r="E3090" s="3" t="s">
        <v>2455</v>
      </c>
      <c r="F3090" s="3" t="s">
        <v>5510</v>
      </c>
      <c r="G3090" s="3" t="s">
        <v>5511</v>
      </c>
      <c r="H3090" s="2" t="s">
        <v>694</v>
      </c>
      <c r="I3090" s="4">
        <v>0</v>
      </c>
      <c r="J3090" s="5">
        <v>710000000</v>
      </c>
      <c r="K3090" s="5" t="s">
        <v>89</v>
      </c>
      <c r="L3090" s="2" t="s">
        <v>1735</v>
      </c>
      <c r="M3090" s="6" t="s">
        <v>91</v>
      </c>
      <c r="N3090" s="7" t="s">
        <v>92</v>
      </c>
      <c r="O3090" s="7" t="s">
        <v>93</v>
      </c>
      <c r="P3090" s="3" t="s">
        <v>673</v>
      </c>
      <c r="Q3090" s="8" t="s">
        <v>2458</v>
      </c>
      <c r="R3090" s="7" t="s">
        <v>2459</v>
      </c>
      <c r="S3090" s="9">
        <v>107</v>
      </c>
      <c r="T3090" s="9">
        <v>62.5</v>
      </c>
      <c r="U3090" s="9">
        <f t="shared" ref="U3090" si="2161">T3090*S3090</f>
        <v>6687.5</v>
      </c>
      <c r="V3090" s="9">
        <f t="shared" ref="V3090" si="2162">U3090*1.12</f>
        <v>7490.0000000000009</v>
      </c>
      <c r="W3090" s="7"/>
      <c r="X3090" s="2">
        <v>2016</v>
      </c>
      <c r="Y3090" s="2"/>
    </row>
    <row r="3091" spans="1:25" s="11" customFormat="1" ht="89.25" customHeight="1" outlineLevel="1" x14ac:dyDescent="0.25">
      <c r="A3091" s="1"/>
      <c r="B3091" s="2" t="s">
        <v>7299</v>
      </c>
      <c r="C3091" s="3" t="s">
        <v>83</v>
      </c>
      <c r="D3091" s="3" t="s">
        <v>5512</v>
      </c>
      <c r="E3091" s="3" t="s">
        <v>5513</v>
      </c>
      <c r="F3091" s="3" t="s">
        <v>5514</v>
      </c>
      <c r="G3091" s="3"/>
      <c r="H3091" s="2" t="s">
        <v>694</v>
      </c>
      <c r="I3091" s="4">
        <v>0</v>
      </c>
      <c r="J3091" s="5">
        <v>710000000</v>
      </c>
      <c r="K3091" s="5" t="s">
        <v>89</v>
      </c>
      <c r="L3091" s="2" t="s">
        <v>754</v>
      </c>
      <c r="M3091" s="6" t="s">
        <v>91</v>
      </c>
      <c r="N3091" s="7" t="s">
        <v>92</v>
      </c>
      <c r="O3091" s="7" t="s">
        <v>93</v>
      </c>
      <c r="P3091" s="3" t="s">
        <v>673</v>
      </c>
      <c r="Q3091" s="8">
        <v>796</v>
      </c>
      <c r="R3091" s="7" t="s">
        <v>118</v>
      </c>
      <c r="S3091" s="9">
        <v>11</v>
      </c>
      <c r="T3091" s="9">
        <v>45</v>
      </c>
      <c r="U3091" s="9">
        <v>0</v>
      </c>
      <c r="V3091" s="9">
        <f t="shared" si="2154"/>
        <v>0</v>
      </c>
      <c r="W3091" s="7"/>
      <c r="X3091" s="2">
        <v>2016</v>
      </c>
      <c r="Y3091" s="2" t="s">
        <v>8493</v>
      </c>
    </row>
    <row r="3092" spans="1:25" s="11" customFormat="1" ht="89.25" customHeight="1" outlineLevel="1" x14ac:dyDescent="0.25">
      <c r="A3092" s="1"/>
      <c r="B3092" s="2" t="s">
        <v>8662</v>
      </c>
      <c r="C3092" s="3" t="s">
        <v>83</v>
      </c>
      <c r="D3092" s="3" t="s">
        <v>5512</v>
      </c>
      <c r="E3092" s="3" t="s">
        <v>5513</v>
      </c>
      <c r="F3092" s="3" t="s">
        <v>5514</v>
      </c>
      <c r="G3092" s="3"/>
      <c r="H3092" s="2" t="s">
        <v>694</v>
      </c>
      <c r="I3092" s="4">
        <v>0</v>
      </c>
      <c r="J3092" s="5">
        <v>710000000</v>
      </c>
      <c r="K3092" s="5" t="s">
        <v>89</v>
      </c>
      <c r="L3092" s="2" t="s">
        <v>1735</v>
      </c>
      <c r="M3092" s="6" t="s">
        <v>91</v>
      </c>
      <c r="N3092" s="7" t="s">
        <v>92</v>
      </c>
      <c r="O3092" s="7" t="s">
        <v>93</v>
      </c>
      <c r="P3092" s="3" t="s">
        <v>673</v>
      </c>
      <c r="Q3092" s="8">
        <v>796</v>
      </c>
      <c r="R3092" s="7" t="s">
        <v>118</v>
      </c>
      <c r="S3092" s="9">
        <v>11</v>
      </c>
      <c r="T3092" s="9">
        <v>49.1</v>
      </c>
      <c r="U3092" s="9">
        <f t="shared" ref="U3092" si="2163">T3092*S3092</f>
        <v>540.1</v>
      </c>
      <c r="V3092" s="9">
        <f t="shared" ref="V3092" si="2164">U3092*1.12</f>
        <v>604.91200000000003</v>
      </c>
      <c r="W3092" s="7"/>
      <c r="X3092" s="2">
        <v>2016</v>
      </c>
      <c r="Y3092" s="2"/>
    </row>
    <row r="3093" spans="1:25" s="11" customFormat="1" ht="89.25" customHeight="1" outlineLevel="1" x14ac:dyDescent="0.25">
      <c r="A3093" s="1"/>
      <c r="B3093" s="2" t="s">
        <v>7300</v>
      </c>
      <c r="C3093" s="3" t="s">
        <v>83</v>
      </c>
      <c r="D3093" s="3" t="s">
        <v>5515</v>
      </c>
      <c r="E3093" s="3" t="s">
        <v>5516</v>
      </c>
      <c r="F3093" s="3" t="s">
        <v>5517</v>
      </c>
      <c r="G3093" s="3" t="s">
        <v>5518</v>
      </c>
      <c r="H3093" s="2" t="s">
        <v>694</v>
      </c>
      <c r="I3093" s="4">
        <v>0</v>
      </c>
      <c r="J3093" s="5">
        <v>710000000</v>
      </c>
      <c r="K3093" s="5" t="s">
        <v>89</v>
      </c>
      <c r="L3093" s="2" t="s">
        <v>754</v>
      </c>
      <c r="M3093" s="6" t="s">
        <v>91</v>
      </c>
      <c r="N3093" s="7" t="s">
        <v>92</v>
      </c>
      <c r="O3093" s="7" t="s">
        <v>93</v>
      </c>
      <c r="P3093" s="3" t="s">
        <v>673</v>
      </c>
      <c r="Q3093" s="8">
        <v>796</v>
      </c>
      <c r="R3093" s="7" t="s">
        <v>118</v>
      </c>
      <c r="S3093" s="9">
        <v>42</v>
      </c>
      <c r="T3093" s="9">
        <v>9</v>
      </c>
      <c r="U3093" s="9">
        <v>0</v>
      </c>
      <c r="V3093" s="9">
        <f t="shared" si="2154"/>
        <v>0</v>
      </c>
      <c r="W3093" s="7"/>
      <c r="X3093" s="2">
        <v>2016</v>
      </c>
      <c r="Y3093" s="2" t="s">
        <v>8493</v>
      </c>
    </row>
    <row r="3094" spans="1:25" s="11" customFormat="1" ht="89.25" customHeight="1" outlineLevel="1" x14ac:dyDescent="0.25">
      <c r="A3094" s="1"/>
      <c r="B3094" s="2" t="s">
        <v>8663</v>
      </c>
      <c r="C3094" s="3" t="s">
        <v>83</v>
      </c>
      <c r="D3094" s="3" t="s">
        <v>5515</v>
      </c>
      <c r="E3094" s="3" t="s">
        <v>5516</v>
      </c>
      <c r="F3094" s="3" t="s">
        <v>5517</v>
      </c>
      <c r="G3094" s="3" t="s">
        <v>5518</v>
      </c>
      <c r="H3094" s="2" t="s">
        <v>694</v>
      </c>
      <c r="I3094" s="4">
        <v>0</v>
      </c>
      <c r="J3094" s="5">
        <v>710000000</v>
      </c>
      <c r="K3094" s="5" t="s">
        <v>89</v>
      </c>
      <c r="L3094" s="2" t="s">
        <v>1735</v>
      </c>
      <c r="M3094" s="6" t="s">
        <v>91</v>
      </c>
      <c r="N3094" s="7" t="s">
        <v>92</v>
      </c>
      <c r="O3094" s="7" t="s">
        <v>93</v>
      </c>
      <c r="P3094" s="3" t="s">
        <v>673</v>
      </c>
      <c r="Q3094" s="8">
        <v>796</v>
      </c>
      <c r="R3094" s="7" t="s">
        <v>118</v>
      </c>
      <c r="S3094" s="9">
        <v>42</v>
      </c>
      <c r="T3094" s="9">
        <v>8.9</v>
      </c>
      <c r="U3094" s="9">
        <f t="shared" ref="U3094" si="2165">T3094*S3094</f>
        <v>373.8</v>
      </c>
      <c r="V3094" s="9">
        <f t="shared" ref="V3094" si="2166">U3094*1.12</f>
        <v>418.65600000000006</v>
      </c>
      <c r="W3094" s="7"/>
      <c r="X3094" s="2">
        <v>2016</v>
      </c>
      <c r="Y3094" s="2"/>
    </row>
    <row r="3095" spans="1:25" s="11" customFormat="1" ht="89.25" customHeight="1" outlineLevel="1" x14ac:dyDescent="0.25">
      <c r="A3095" s="1"/>
      <c r="B3095" s="2" t="s">
        <v>7301</v>
      </c>
      <c r="C3095" s="3" t="s">
        <v>83</v>
      </c>
      <c r="D3095" s="3" t="s">
        <v>5519</v>
      </c>
      <c r="E3095" s="3" t="s">
        <v>5516</v>
      </c>
      <c r="F3095" s="3" t="s">
        <v>5520</v>
      </c>
      <c r="G3095" s="3" t="s">
        <v>5521</v>
      </c>
      <c r="H3095" s="2" t="s">
        <v>694</v>
      </c>
      <c r="I3095" s="4">
        <v>0</v>
      </c>
      <c r="J3095" s="5">
        <v>710000000</v>
      </c>
      <c r="K3095" s="5" t="s">
        <v>89</v>
      </c>
      <c r="L3095" s="2" t="s">
        <v>754</v>
      </c>
      <c r="M3095" s="6" t="s">
        <v>91</v>
      </c>
      <c r="N3095" s="7" t="s">
        <v>92</v>
      </c>
      <c r="O3095" s="7" t="s">
        <v>93</v>
      </c>
      <c r="P3095" s="3" t="s">
        <v>673</v>
      </c>
      <c r="Q3095" s="8">
        <v>796</v>
      </c>
      <c r="R3095" s="7" t="s">
        <v>118</v>
      </c>
      <c r="S3095" s="9">
        <v>37</v>
      </c>
      <c r="T3095" s="9">
        <v>13</v>
      </c>
      <c r="U3095" s="9">
        <v>0</v>
      </c>
      <c r="V3095" s="9">
        <f t="shared" si="2154"/>
        <v>0</v>
      </c>
      <c r="W3095" s="7"/>
      <c r="X3095" s="2">
        <v>2016</v>
      </c>
      <c r="Y3095" s="2" t="s">
        <v>8493</v>
      </c>
    </row>
    <row r="3096" spans="1:25" s="11" customFormat="1" ht="89.25" customHeight="1" outlineLevel="1" x14ac:dyDescent="0.25">
      <c r="A3096" s="1"/>
      <c r="B3096" s="2" t="s">
        <v>8664</v>
      </c>
      <c r="C3096" s="3" t="s">
        <v>83</v>
      </c>
      <c r="D3096" s="3" t="s">
        <v>5519</v>
      </c>
      <c r="E3096" s="3" t="s">
        <v>5516</v>
      </c>
      <c r="F3096" s="3" t="s">
        <v>5520</v>
      </c>
      <c r="G3096" s="3" t="s">
        <v>5521</v>
      </c>
      <c r="H3096" s="2" t="s">
        <v>694</v>
      </c>
      <c r="I3096" s="4">
        <v>0</v>
      </c>
      <c r="J3096" s="5">
        <v>710000000</v>
      </c>
      <c r="K3096" s="5" t="s">
        <v>89</v>
      </c>
      <c r="L3096" s="2" t="s">
        <v>1735</v>
      </c>
      <c r="M3096" s="6" t="s">
        <v>91</v>
      </c>
      <c r="N3096" s="7" t="s">
        <v>92</v>
      </c>
      <c r="O3096" s="7" t="s">
        <v>93</v>
      </c>
      <c r="P3096" s="3" t="s">
        <v>673</v>
      </c>
      <c r="Q3096" s="8">
        <v>796</v>
      </c>
      <c r="R3096" s="7" t="s">
        <v>118</v>
      </c>
      <c r="S3096" s="9">
        <v>37</v>
      </c>
      <c r="T3096" s="9">
        <v>17.899999999999999</v>
      </c>
      <c r="U3096" s="9">
        <f t="shared" ref="U3096" si="2167">T3096*S3096</f>
        <v>662.3</v>
      </c>
      <c r="V3096" s="9">
        <f t="shared" ref="V3096" si="2168">U3096*1.12</f>
        <v>741.77600000000007</v>
      </c>
      <c r="W3096" s="7"/>
      <c r="X3096" s="2">
        <v>2016</v>
      </c>
      <c r="Y3096" s="2"/>
    </row>
    <row r="3097" spans="1:25" s="11" customFormat="1" ht="89.25" customHeight="1" outlineLevel="1" x14ac:dyDescent="0.25">
      <c r="A3097" s="1"/>
      <c r="B3097" s="2" t="s">
        <v>7302</v>
      </c>
      <c r="C3097" s="3" t="s">
        <v>83</v>
      </c>
      <c r="D3097" s="3" t="s">
        <v>5522</v>
      </c>
      <c r="E3097" s="3" t="s">
        <v>5516</v>
      </c>
      <c r="F3097" s="3" t="s">
        <v>5523</v>
      </c>
      <c r="G3097" s="3" t="s">
        <v>5524</v>
      </c>
      <c r="H3097" s="2" t="s">
        <v>694</v>
      </c>
      <c r="I3097" s="4">
        <v>0</v>
      </c>
      <c r="J3097" s="5">
        <v>710000000</v>
      </c>
      <c r="K3097" s="5" t="s">
        <v>89</v>
      </c>
      <c r="L3097" s="2" t="s">
        <v>754</v>
      </c>
      <c r="M3097" s="6" t="s">
        <v>91</v>
      </c>
      <c r="N3097" s="7" t="s">
        <v>92</v>
      </c>
      <c r="O3097" s="7" t="s">
        <v>93</v>
      </c>
      <c r="P3097" s="3" t="s">
        <v>673</v>
      </c>
      <c r="Q3097" s="8">
        <v>796</v>
      </c>
      <c r="R3097" s="7" t="s">
        <v>118</v>
      </c>
      <c r="S3097" s="9">
        <v>24</v>
      </c>
      <c r="T3097" s="9">
        <v>18</v>
      </c>
      <c r="U3097" s="9">
        <v>0</v>
      </c>
      <c r="V3097" s="9">
        <f t="shared" si="2154"/>
        <v>0</v>
      </c>
      <c r="W3097" s="7"/>
      <c r="X3097" s="2">
        <v>2016</v>
      </c>
      <c r="Y3097" s="2" t="s">
        <v>8493</v>
      </c>
    </row>
    <row r="3098" spans="1:25" s="11" customFormat="1" ht="89.25" customHeight="1" outlineLevel="1" x14ac:dyDescent="0.25">
      <c r="A3098" s="1"/>
      <c r="B3098" s="2" t="s">
        <v>8665</v>
      </c>
      <c r="C3098" s="3" t="s">
        <v>83</v>
      </c>
      <c r="D3098" s="3" t="s">
        <v>5522</v>
      </c>
      <c r="E3098" s="3" t="s">
        <v>5516</v>
      </c>
      <c r="F3098" s="3" t="s">
        <v>5523</v>
      </c>
      <c r="G3098" s="3" t="s">
        <v>5524</v>
      </c>
      <c r="H3098" s="2" t="s">
        <v>694</v>
      </c>
      <c r="I3098" s="4">
        <v>0</v>
      </c>
      <c r="J3098" s="5">
        <v>710000000</v>
      </c>
      <c r="K3098" s="5" t="s">
        <v>89</v>
      </c>
      <c r="L3098" s="2" t="s">
        <v>1735</v>
      </c>
      <c r="M3098" s="6" t="s">
        <v>91</v>
      </c>
      <c r="N3098" s="7" t="s">
        <v>92</v>
      </c>
      <c r="O3098" s="7" t="s">
        <v>93</v>
      </c>
      <c r="P3098" s="3" t="s">
        <v>673</v>
      </c>
      <c r="Q3098" s="8">
        <v>796</v>
      </c>
      <c r="R3098" s="7" t="s">
        <v>118</v>
      </c>
      <c r="S3098" s="9">
        <v>24</v>
      </c>
      <c r="T3098" s="9">
        <v>26.8</v>
      </c>
      <c r="U3098" s="9">
        <f t="shared" ref="U3098" si="2169">T3098*S3098</f>
        <v>643.20000000000005</v>
      </c>
      <c r="V3098" s="9">
        <f t="shared" ref="V3098" si="2170">U3098*1.12</f>
        <v>720.38400000000013</v>
      </c>
      <c r="W3098" s="7"/>
      <c r="X3098" s="2">
        <v>2016</v>
      </c>
      <c r="Y3098" s="2"/>
    </row>
    <row r="3099" spans="1:25" s="11" customFormat="1" ht="89.25" customHeight="1" outlineLevel="1" x14ac:dyDescent="0.25">
      <c r="A3099" s="1"/>
      <c r="B3099" s="2" t="s">
        <v>7303</v>
      </c>
      <c r="C3099" s="3" t="s">
        <v>83</v>
      </c>
      <c r="D3099" s="3" t="s">
        <v>5525</v>
      </c>
      <c r="E3099" s="3" t="s">
        <v>5526</v>
      </c>
      <c r="F3099" s="3" t="s">
        <v>5527</v>
      </c>
      <c r="G3099" s="3" t="s">
        <v>5528</v>
      </c>
      <c r="H3099" s="2" t="s">
        <v>694</v>
      </c>
      <c r="I3099" s="4">
        <v>0</v>
      </c>
      <c r="J3099" s="5">
        <v>710000000</v>
      </c>
      <c r="K3099" s="5" t="s">
        <v>89</v>
      </c>
      <c r="L3099" s="2" t="s">
        <v>754</v>
      </c>
      <c r="M3099" s="6" t="s">
        <v>91</v>
      </c>
      <c r="N3099" s="7" t="s">
        <v>92</v>
      </c>
      <c r="O3099" s="7" t="s">
        <v>93</v>
      </c>
      <c r="P3099" s="3" t="s">
        <v>673</v>
      </c>
      <c r="Q3099" s="8">
        <v>796</v>
      </c>
      <c r="R3099" s="7" t="s">
        <v>118</v>
      </c>
      <c r="S3099" s="9">
        <v>27</v>
      </c>
      <c r="T3099" s="9">
        <v>174</v>
      </c>
      <c r="U3099" s="9">
        <v>0</v>
      </c>
      <c r="V3099" s="9">
        <f t="shared" si="2154"/>
        <v>0</v>
      </c>
      <c r="W3099" s="7"/>
      <c r="X3099" s="2">
        <v>2016</v>
      </c>
      <c r="Y3099" s="2" t="s">
        <v>8493</v>
      </c>
    </row>
    <row r="3100" spans="1:25" s="11" customFormat="1" ht="89.25" customHeight="1" outlineLevel="1" x14ac:dyDescent="0.25">
      <c r="A3100" s="1"/>
      <c r="B3100" s="2" t="s">
        <v>8666</v>
      </c>
      <c r="C3100" s="3" t="s">
        <v>83</v>
      </c>
      <c r="D3100" s="3" t="s">
        <v>5525</v>
      </c>
      <c r="E3100" s="3" t="s">
        <v>5526</v>
      </c>
      <c r="F3100" s="3" t="s">
        <v>5527</v>
      </c>
      <c r="G3100" s="3" t="s">
        <v>5528</v>
      </c>
      <c r="H3100" s="2" t="s">
        <v>694</v>
      </c>
      <c r="I3100" s="4">
        <v>0</v>
      </c>
      <c r="J3100" s="5">
        <v>710000000</v>
      </c>
      <c r="K3100" s="5" t="s">
        <v>89</v>
      </c>
      <c r="L3100" s="2" t="s">
        <v>1735</v>
      </c>
      <c r="M3100" s="6" t="s">
        <v>91</v>
      </c>
      <c r="N3100" s="7" t="s">
        <v>92</v>
      </c>
      <c r="O3100" s="7" t="s">
        <v>93</v>
      </c>
      <c r="P3100" s="3" t="s">
        <v>673</v>
      </c>
      <c r="Q3100" s="8">
        <v>796</v>
      </c>
      <c r="R3100" s="7" t="s">
        <v>118</v>
      </c>
      <c r="S3100" s="9">
        <v>27</v>
      </c>
      <c r="T3100" s="9">
        <v>232.1</v>
      </c>
      <c r="U3100" s="9">
        <f t="shared" ref="U3100" si="2171">T3100*S3100</f>
        <v>6266.7</v>
      </c>
      <c r="V3100" s="9">
        <f t="shared" ref="V3100" si="2172">U3100*1.12</f>
        <v>7018.7040000000006</v>
      </c>
      <c r="W3100" s="7"/>
      <c r="X3100" s="2">
        <v>2016</v>
      </c>
      <c r="Y3100" s="2"/>
    </row>
    <row r="3101" spans="1:25" s="11" customFormat="1" ht="89.25" customHeight="1" outlineLevel="1" x14ac:dyDescent="0.25">
      <c r="A3101" s="1"/>
      <c r="B3101" s="2" t="s">
        <v>7304</v>
      </c>
      <c r="C3101" s="3" t="s">
        <v>83</v>
      </c>
      <c r="D3101" s="3" t="s">
        <v>5525</v>
      </c>
      <c r="E3101" s="3" t="s">
        <v>5526</v>
      </c>
      <c r="F3101" s="3" t="s">
        <v>5527</v>
      </c>
      <c r="G3101" s="3" t="s">
        <v>5529</v>
      </c>
      <c r="H3101" s="2" t="s">
        <v>694</v>
      </c>
      <c r="I3101" s="4">
        <v>0</v>
      </c>
      <c r="J3101" s="5">
        <v>710000000</v>
      </c>
      <c r="K3101" s="5" t="s">
        <v>89</v>
      </c>
      <c r="L3101" s="2" t="s">
        <v>754</v>
      </c>
      <c r="M3101" s="6" t="s">
        <v>91</v>
      </c>
      <c r="N3101" s="7" t="s">
        <v>92</v>
      </c>
      <c r="O3101" s="7" t="s">
        <v>93</v>
      </c>
      <c r="P3101" s="3" t="s">
        <v>673</v>
      </c>
      <c r="Q3101" s="8">
        <v>796</v>
      </c>
      <c r="R3101" s="7" t="s">
        <v>118</v>
      </c>
      <c r="S3101" s="9">
        <v>30</v>
      </c>
      <c r="T3101" s="9">
        <v>196</v>
      </c>
      <c r="U3101" s="9">
        <v>0</v>
      </c>
      <c r="V3101" s="9">
        <f t="shared" si="2154"/>
        <v>0</v>
      </c>
      <c r="W3101" s="7"/>
      <c r="X3101" s="2">
        <v>2016</v>
      </c>
      <c r="Y3101" s="2" t="s">
        <v>8493</v>
      </c>
    </row>
    <row r="3102" spans="1:25" s="11" customFormat="1" ht="89.25" customHeight="1" outlineLevel="1" x14ac:dyDescent="0.25">
      <c r="A3102" s="1"/>
      <c r="B3102" s="2" t="s">
        <v>8667</v>
      </c>
      <c r="C3102" s="3" t="s">
        <v>83</v>
      </c>
      <c r="D3102" s="3" t="s">
        <v>5525</v>
      </c>
      <c r="E3102" s="3" t="s">
        <v>5526</v>
      </c>
      <c r="F3102" s="3" t="s">
        <v>5527</v>
      </c>
      <c r="G3102" s="3" t="s">
        <v>5529</v>
      </c>
      <c r="H3102" s="2" t="s">
        <v>694</v>
      </c>
      <c r="I3102" s="4">
        <v>0</v>
      </c>
      <c r="J3102" s="5">
        <v>710000000</v>
      </c>
      <c r="K3102" s="5" t="s">
        <v>89</v>
      </c>
      <c r="L3102" s="2" t="s">
        <v>1735</v>
      </c>
      <c r="M3102" s="6" t="s">
        <v>91</v>
      </c>
      <c r="N3102" s="7" t="s">
        <v>92</v>
      </c>
      <c r="O3102" s="7" t="s">
        <v>93</v>
      </c>
      <c r="P3102" s="3" t="s">
        <v>673</v>
      </c>
      <c r="Q3102" s="8">
        <v>796</v>
      </c>
      <c r="R3102" s="7" t="s">
        <v>118</v>
      </c>
      <c r="S3102" s="9">
        <v>30</v>
      </c>
      <c r="T3102" s="9">
        <v>267.89999999999998</v>
      </c>
      <c r="U3102" s="9">
        <f t="shared" ref="U3102" si="2173">T3102*S3102</f>
        <v>8036.9999999999991</v>
      </c>
      <c r="V3102" s="9">
        <f t="shared" ref="V3102" si="2174">U3102*1.12</f>
        <v>9001.44</v>
      </c>
      <c r="W3102" s="7"/>
      <c r="X3102" s="2">
        <v>2016</v>
      </c>
      <c r="Y3102" s="2"/>
    </row>
    <row r="3103" spans="1:25" s="11" customFormat="1" ht="89.25" customHeight="1" outlineLevel="1" x14ac:dyDescent="0.25">
      <c r="A3103" s="1"/>
      <c r="B3103" s="2" t="s">
        <v>7305</v>
      </c>
      <c r="C3103" s="3" t="s">
        <v>83</v>
      </c>
      <c r="D3103" s="3" t="s">
        <v>5530</v>
      </c>
      <c r="E3103" s="3" t="s">
        <v>5526</v>
      </c>
      <c r="F3103" s="3" t="s">
        <v>5531</v>
      </c>
      <c r="G3103" s="19"/>
      <c r="H3103" s="2" t="s">
        <v>694</v>
      </c>
      <c r="I3103" s="4">
        <v>0</v>
      </c>
      <c r="J3103" s="5">
        <v>710000000</v>
      </c>
      <c r="K3103" s="5" t="s">
        <v>89</v>
      </c>
      <c r="L3103" s="2" t="s">
        <v>754</v>
      </c>
      <c r="M3103" s="6" t="s">
        <v>91</v>
      </c>
      <c r="N3103" s="7" t="s">
        <v>92</v>
      </c>
      <c r="O3103" s="7" t="s">
        <v>93</v>
      </c>
      <c r="P3103" s="3" t="s">
        <v>673</v>
      </c>
      <c r="Q3103" s="8">
        <v>796</v>
      </c>
      <c r="R3103" s="7" t="s">
        <v>118</v>
      </c>
      <c r="S3103" s="9">
        <v>284</v>
      </c>
      <c r="T3103" s="9">
        <v>9</v>
      </c>
      <c r="U3103" s="9">
        <v>0</v>
      </c>
      <c r="V3103" s="9">
        <f t="shared" si="2154"/>
        <v>0</v>
      </c>
      <c r="W3103" s="7"/>
      <c r="X3103" s="2">
        <v>2016</v>
      </c>
      <c r="Y3103" s="2" t="s">
        <v>8493</v>
      </c>
    </row>
    <row r="3104" spans="1:25" s="11" customFormat="1" ht="89.25" customHeight="1" outlineLevel="1" x14ac:dyDescent="0.25">
      <c r="A3104" s="1"/>
      <c r="B3104" s="2" t="s">
        <v>8668</v>
      </c>
      <c r="C3104" s="3" t="s">
        <v>83</v>
      </c>
      <c r="D3104" s="3" t="s">
        <v>5530</v>
      </c>
      <c r="E3104" s="3" t="s">
        <v>5526</v>
      </c>
      <c r="F3104" s="3" t="s">
        <v>5531</v>
      </c>
      <c r="G3104" s="19"/>
      <c r="H3104" s="2" t="s">
        <v>694</v>
      </c>
      <c r="I3104" s="4">
        <v>0</v>
      </c>
      <c r="J3104" s="5">
        <v>710000000</v>
      </c>
      <c r="K3104" s="5" t="s">
        <v>89</v>
      </c>
      <c r="L3104" s="2" t="s">
        <v>1735</v>
      </c>
      <c r="M3104" s="6" t="s">
        <v>91</v>
      </c>
      <c r="N3104" s="7" t="s">
        <v>92</v>
      </c>
      <c r="O3104" s="7" t="s">
        <v>93</v>
      </c>
      <c r="P3104" s="3" t="s">
        <v>673</v>
      </c>
      <c r="Q3104" s="8">
        <v>796</v>
      </c>
      <c r="R3104" s="7" t="s">
        <v>118</v>
      </c>
      <c r="S3104" s="9">
        <v>284</v>
      </c>
      <c r="T3104" s="9">
        <v>26.8</v>
      </c>
      <c r="U3104" s="9">
        <f t="shared" ref="U3104" si="2175">T3104*S3104</f>
        <v>7611.2</v>
      </c>
      <c r="V3104" s="9">
        <f t="shared" ref="V3104" si="2176">U3104*1.12</f>
        <v>8524.5439999999999</v>
      </c>
      <c r="W3104" s="7"/>
      <c r="X3104" s="2">
        <v>2016</v>
      </c>
      <c r="Y3104" s="2"/>
    </row>
    <row r="3105" spans="1:25" s="11" customFormat="1" ht="89.25" customHeight="1" outlineLevel="1" x14ac:dyDescent="0.25">
      <c r="A3105" s="1"/>
      <c r="B3105" s="2" t="s">
        <v>7306</v>
      </c>
      <c r="C3105" s="3" t="s">
        <v>83</v>
      </c>
      <c r="D3105" s="3" t="s">
        <v>5532</v>
      </c>
      <c r="E3105" s="3" t="s">
        <v>5533</v>
      </c>
      <c r="F3105" s="3" t="s">
        <v>5534</v>
      </c>
      <c r="G3105" s="19"/>
      <c r="H3105" s="2" t="s">
        <v>694</v>
      </c>
      <c r="I3105" s="4">
        <v>0</v>
      </c>
      <c r="J3105" s="5">
        <v>710000000</v>
      </c>
      <c r="K3105" s="5" t="s">
        <v>89</v>
      </c>
      <c r="L3105" s="2" t="s">
        <v>754</v>
      </c>
      <c r="M3105" s="6" t="s">
        <v>91</v>
      </c>
      <c r="N3105" s="7" t="s">
        <v>92</v>
      </c>
      <c r="O3105" s="7" t="s">
        <v>93</v>
      </c>
      <c r="P3105" s="3" t="s">
        <v>673</v>
      </c>
      <c r="Q3105" s="8">
        <v>796</v>
      </c>
      <c r="R3105" s="7" t="s">
        <v>118</v>
      </c>
      <c r="S3105" s="9">
        <v>1</v>
      </c>
      <c r="T3105" s="9">
        <v>5089</v>
      </c>
      <c r="U3105" s="9">
        <v>0</v>
      </c>
      <c r="V3105" s="9">
        <f t="shared" si="2154"/>
        <v>0</v>
      </c>
      <c r="W3105" s="7"/>
      <c r="X3105" s="2">
        <v>2016</v>
      </c>
      <c r="Y3105" s="2" t="s">
        <v>8493</v>
      </c>
    </row>
    <row r="3106" spans="1:25" s="11" customFormat="1" ht="89.25" customHeight="1" outlineLevel="1" x14ac:dyDescent="0.25">
      <c r="A3106" s="1"/>
      <c r="B3106" s="2" t="s">
        <v>8669</v>
      </c>
      <c r="C3106" s="3" t="s">
        <v>83</v>
      </c>
      <c r="D3106" s="3" t="s">
        <v>5532</v>
      </c>
      <c r="E3106" s="3" t="s">
        <v>5533</v>
      </c>
      <c r="F3106" s="3" t="s">
        <v>5534</v>
      </c>
      <c r="G3106" s="19"/>
      <c r="H3106" s="2" t="s">
        <v>694</v>
      </c>
      <c r="I3106" s="4">
        <v>0</v>
      </c>
      <c r="J3106" s="5">
        <v>710000000</v>
      </c>
      <c r="K3106" s="5" t="s">
        <v>89</v>
      </c>
      <c r="L3106" s="2" t="s">
        <v>1735</v>
      </c>
      <c r="M3106" s="6" t="s">
        <v>91</v>
      </c>
      <c r="N3106" s="7" t="s">
        <v>92</v>
      </c>
      <c r="O3106" s="7" t="s">
        <v>93</v>
      </c>
      <c r="P3106" s="3" t="s">
        <v>673</v>
      </c>
      <c r="Q3106" s="8">
        <v>796</v>
      </c>
      <c r="R3106" s="7" t="s">
        <v>118</v>
      </c>
      <c r="S3106" s="9">
        <v>1</v>
      </c>
      <c r="T3106" s="9">
        <v>6696.4</v>
      </c>
      <c r="U3106" s="9">
        <f t="shared" ref="U3106" si="2177">T3106*S3106</f>
        <v>6696.4</v>
      </c>
      <c r="V3106" s="9">
        <f t="shared" ref="V3106" si="2178">U3106*1.12</f>
        <v>7499.9680000000008</v>
      </c>
      <c r="W3106" s="7"/>
      <c r="X3106" s="2">
        <v>2016</v>
      </c>
      <c r="Y3106" s="2"/>
    </row>
    <row r="3107" spans="1:25" s="11" customFormat="1" ht="89.25" customHeight="1" outlineLevel="1" x14ac:dyDescent="0.25">
      <c r="A3107" s="1"/>
      <c r="B3107" s="2" t="s">
        <v>7307</v>
      </c>
      <c r="C3107" s="3" t="s">
        <v>83</v>
      </c>
      <c r="D3107" s="3" t="s">
        <v>5535</v>
      </c>
      <c r="E3107" s="3" t="s">
        <v>4131</v>
      </c>
      <c r="F3107" s="3" t="s">
        <v>5536</v>
      </c>
      <c r="G3107" s="19"/>
      <c r="H3107" s="2" t="s">
        <v>694</v>
      </c>
      <c r="I3107" s="4">
        <v>0</v>
      </c>
      <c r="J3107" s="5">
        <v>710000000</v>
      </c>
      <c r="K3107" s="5" t="s">
        <v>89</v>
      </c>
      <c r="L3107" s="2" t="s">
        <v>754</v>
      </c>
      <c r="M3107" s="6" t="s">
        <v>91</v>
      </c>
      <c r="N3107" s="7" t="s">
        <v>92</v>
      </c>
      <c r="O3107" s="7" t="s">
        <v>93</v>
      </c>
      <c r="P3107" s="3" t="s">
        <v>673</v>
      </c>
      <c r="Q3107" s="8">
        <v>796</v>
      </c>
      <c r="R3107" s="7" t="s">
        <v>118</v>
      </c>
      <c r="S3107" s="9">
        <v>21</v>
      </c>
      <c r="T3107" s="9">
        <v>152</v>
      </c>
      <c r="U3107" s="9">
        <v>0</v>
      </c>
      <c r="V3107" s="9">
        <f t="shared" si="2154"/>
        <v>0</v>
      </c>
      <c r="W3107" s="7"/>
      <c r="X3107" s="2">
        <v>2016</v>
      </c>
      <c r="Y3107" s="2" t="s">
        <v>8493</v>
      </c>
    </row>
    <row r="3108" spans="1:25" s="11" customFormat="1" ht="89.25" customHeight="1" outlineLevel="1" x14ac:dyDescent="0.25">
      <c r="A3108" s="1"/>
      <c r="B3108" s="2" t="s">
        <v>8670</v>
      </c>
      <c r="C3108" s="3" t="s">
        <v>83</v>
      </c>
      <c r="D3108" s="3" t="s">
        <v>5535</v>
      </c>
      <c r="E3108" s="3" t="s">
        <v>4131</v>
      </c>
      <c r="F3108" s="3" t="s">
        <v>5536</v>
      </c>
      <c r="G3108" s="19"/>
      <c r="H3108" s="2" t="s">
        <v>694</v>
      </c>
      <c r="I3108" s="4">
        <v>0</v>
      </c>
      <c r="J3108" s="5">
        <v>710000000</v>
      </c>
      <c r="K3108" s="5" t="s">
        <v>89</v>
      </c>
      <c r="L3108" s="2" t="s">
        <v>1735</v>
      </c>
      <c r="M3108" s="6" t="s">
        <v>91</v>
      </c>
      <c r="N3108" s="7" t="s">
        <v>92</v>
      </c>
      <c r="O3108" s="7" t="s">
        <v>93</v>
      </c>
      <c r="P3108" s="3" t="s">
        <v>673</v>
      </c>
      <c r="Q3108" s="8">
        <v>796</v>
      </c>
      <c r="R3108" s="7" t="s">
        <v>118</v>
      </c>
      <c r="S3108" s="9">
        <v>21</v>
      </c>
      <c r="T3108" s="9">
        <v>205.4</v>
      </c>
      <c r="U3108" s="9">
        <f t="shared" ref="U3108" si="2179">T3108*S3108</f>
        <v>4313.4000000000005</v>
      </c>
      <c r="V3108" s="9">
        <f t="shared" ref="V3108" si="2180">U3108*1.12</f>
        <v>4831.0080000000007</v>
      </c>
      <c r="W3108" s="7"/>
      <c r="X3108" s="2">
        <v>2016</v>
      </c>
      <c r="Y3108" s="2"/>
    </row>
    <row r="3109" spans="1:25" s="11" customFormat="1" ht="89.25" customHeight="1" outlineLevel="1" x14ac:dyDescent="0.25">
      <c r="A3109" s="1"/>
      <c r="B3109" s="2" t="s">
        <v>7308</v>
      </c>
      <c r="C3109" s="3" t="s">
        <v>83</v>
      </c>
      <c r="D3109" s="3" t="s">
        <v>5537</v>
      </c>
      <c r="E3109" s="3" t="s">
        <v>5538</v>
      </c>
      <c r="F3109" s="3" t="s">
        <v>5539</v>
      </c>
      <c r="G3109" s="3" t="s">
        <v>5540</v>
      </c>
      <c r="H3109" s="2" t="s">
        <v>694</v>
      </c>
      <c r="I3109" s="4">
        <v>0</v>
      </c>
      <c r="J3109" s="5">
        <v>710000000</v>
      </c>
      <c r="K3109" s="5" t="s">
        <v>89</v>
      </c>
      <c r="L3109" s="2" t="s">
        <v>754</v>
      </c>
      <c r="M3109" s="6" t="s">
        <v>91</v>
      </c>
      <c r="N3109" s="7" t="s">
        <v>92</v>
      </c>
      <c r="O3109" s="7" t="s">
        <v>93</v>
      </c>
      <c r="P3109" s="3" t="s">
        <v>673</v>
      </c>
      <c r="Q3109" s="8" t="s">
        <v>522</v>
      </c>
      <c r="R3109" s="7" t="s">
        <v>523</v>
      </c>
      <c r="S3109" s="9">
        <v>118</v>
      </c>
      <c r="T3109" s="9">
        <v>107</v>
      </c>
      <c r="U3109" s="9">
        <v>0</v>
      </c>
      <c r="V3109" s="9">
        <f t="shared" si="2154"/>
        <v>0</v>
      </c>
      <c r="W3109" s="7"/>
      <c r="X3109" s="2">
        <v>2016</v>
      </c>
      <c r="Y3109" s="2" t="s">
        <v>8493</v>
      </c>
    </row>
    <row r="3110" spans="1:25" s="11" customFormat="1" ht="89.25" customHeight="1" outlineLevel="1" x14ac:dyDescent="0.25">
      <c r="A3110" s="1"/>
      <c r="B3110" s="2" t="s">
        <v>8671</v>
      </c>
      <c r="C3110" s="3" t="s">
        <v>83</v>
      </c>
      <c r="D3110" s="3" t="s">
        <v>5537</v>
      </c>
      <c r="E3110" s="3" t="s">
        <v>5538</v>
      </c>
      <c r="F3110" s="3" t="s">
        <v>5539</v>
      </c>
      <c r="G3110" s="3" t="s">
        <v>5540</v>
      </c>
      <c r="H3110" s="2" t="s">
        <v>694</v>
      </c>
      <c r="I3110" s="4">
        <v>0</v>
      </c>
      <c r="J3110" s="5">
        <v>710000000</v>
      </c>
      <c r="K3110" s="5" t="s">
        <v>89</v>
      </c>
      <c r="L3110" s="2" t="s">
        <v>1735</v>
      </c>
      <c r="M3110" s="6" t="s">
        <v>91</v>
      </c>
      <c r="N3110" s="7" t="s">
        <v>92</v>
      </c>
      <c r="O3110" s="7" t="s">
        <v>93</v>
      </c>
      <c r="P3110" s="3" t="s">
        <v>673</v>
      </c>
      <c r="Q3110" s="8" t="s">
        <v>522</v>
      </c>
      <c r="R3110" s="7" t="s">
        <v>523</v>
      </c>
      <c r="S3110" s="9">
        <v>118</v>
      </c>
      <c r="T3110" s="9">
        <v>401.8</v>
      </c>
      <c r="U3110" s="9">
        <f t="shared" ref="U3110" si="2181">T3110*S3110</f>
        <v>47412.4</v>
      </c>
      <c r="V3110" s="9">
        <f t="shared" ref="V3110" si="2182">U3110*1.12</f>
        <v>53101.888000000006</v>
      </c>
      <c r="W3110" s="7"/>
      <c r="X3110" s="2">
        <v>2016</v>
      </c>
      <c r="Y3110" s="2"/>
    </row>
    <row r="3111" spans="1:25" s="11" customFormat="1" ht="89.25" customHeight="1" outlineLevel="1" x14ac:dyDescent="0.25">
      <c r="A3111" s="16"/>
      <c r="B3111" s="2" t="s">
        <v>7309</v>
      </c>
      <c r="C3111" s="3" t="s">
        <v>83</v>
      </c>
      <c r="D3111" s="3" t="s">
        <v>5541</v>
      </c>
      <c r="E3111" s="3" t="s">
        <v>5542</v>
      </c>
      <c r="F3111" s="3" t="s">
        <v>5290</v>
      </c>
      <c r="G3111" s="3" t="s">
        <v>5543</v>
      </c>
      <c r="H3111" s="2" t="s">
        <v>694</v>
      </c>
      <c r="I3111" s="4">
        <v>0</v>
      </c>
      <c r="J3111" s="5">
        <v>710000000</v>
      </c>
      <c r="K3111" s="5" t="s">
        <v>89</v>
      </c>
      <c r="L3111" s="2" t="s">
        <v>754</v>
      </c>
      <c r="M3111" s="6" t="s">
        <v>91</v>
      </c>
      <c r="N3111" s="7" t="s">
        <v>92</v>
      </c>
      <c r="O3111" s="7" t="s">
        <v>93</v>
      </c>
      <c r="P3111" s="3" t="s">
        <v>673</v>
      </c>
      <c r="Q3111" s="8" t="s">
        <v>544</v>
      </c>
      <c r="R3111" s="7" t="s">
        <v>111</v>
      </c>
      <c r="S3111" s="9">
        <v>30</v>
      </c>
      <c r="T3111" s="9">
        <v>2411</v>
      </c>
      <c r="U3111" s="9">
        <v>0</v>
      </c>
      <c r="V3111" s="9">
        <f t="shared" si="2154"/>
        <v>0</v>
      </c>
      <c r="W3111" s="7"/>
      <c r="X3111" s="2">
        <v>2016</v>
      </c>
      <c r="Y3111" s="5" t="s">
        <v>8444</v>
      </c>
    </row>
    <row r="3112" spans="1:25" s="11" customFormat="1" ht="89.25" customHeight="1" outlineLevel="1" x14ac:dyDescent="0.25">
      <c r="A3112" s="16"/>
      <c r="B3112" s="2" t="s">
        <v>8443</v>
      </c>
      <c r="C3112" s="3" t="s">
        <v>83</v>
      </c>
      <c r="D3112" s="3" t="s">
        <v>8440</v>
      </c>
      <c r="E3112" s="3" t="s">
        <v>5542</v>
      </c>
      <c r="F3112" s="3" t="s">
        <v>8441</v>
      </c>
      <c r="G3112" s="3" t="s">
        <v>8442</v>
      </c>
      <c r="H3112" s="2" t="s">
        <v>694</v>
      </c>
      <c r="I3112" s="4">
        <v>0</v>
      </c>
      <c r="J3112" s="5">
        <v>710000000</v>
      </c>
      <c r="K3112" s="5" t="s">
        <v>89</v>
      </c>
      <c r="L3112" s="2" t="s">
        <v>1735</v>
      </c>
      <c r="M3112" s="6" t="s">
        <v>91</v>
      </c>
      <c r="N3112" s="7" t="s">
        <v>92</v>
      </c>
      <c r="O3112" s="7" t="s">
        <v>93</v>
      </c>
      <c r="P3112" s="3" t="s">
        <v>673</v>
      </c>
      <c r="Q3112" s="8" t="s">
        <v>3383</v>
      </c>
      <c r="R3112" s="7" t="s">
        <v>3384</v>
      </c>
      <c r="S3112" s="9">
        <v>32</v>
      </c>
      <c r="T3112" s="9">
        <v>2200</v>
      </c>
      <c r="U3112" s="9">
        <f t="shared" ref="U3112" si="2183">T3112*S3112</f>
        <v>70400</v>
      </c>
      <c r="V3112" s="9">
        <f t="shared" ref="V3112" si="2184">U3112*1.12</f>
        <v>78848.000000000015</v>
      </c>
      <c r="W3112" s="7"/>
      <c r="X3112" s="2">
        <v>2016</v>
      </c>
      <c r="Y3112" s="2"/>
    </row>
    <row r="3113" spans="1:25" s="11" customFormat="1" ht="89.25" customHeight="1" outlineLevel="1" x14ac:dyDescent="0.25">
      <c r="A3113" s="1"/>
      <c r="B3113" s="2" t="s">
        <v>7310</v>
      </c>
      <c r="C3113" s="3" t="s">
        <v>83</v>
      </c>
      <c r="D3113" s="3" t="s">
        <v>5544</v>
      </c>
      <c r="E3113" s="3" t="s">
        <v>5542</v>
      </c>
      <c r="F3113" s="3" t="s">
        <v>5252</v>
      </c>
      <c r="G3113" s="3" t="s">
        <v>5545</v>
      </c>
      <c r="H3113" s="2" t="s">
        <v>694</v>
      </c>
      <c r="I3113" s="4">
        <v>0</v>
      </c>
      <c r="J3113" s="5">
        <v>710000000</v>
      </c>
      <c r="K3113" s="5" t="s">
        <v>89</v>
      </c>
      <c r="L3113" s="2" t="s">
        <v>754</v>
      </c>
      <c r="M3113" s="6" t="s">
        <v>91</v>
      </c>
      <c r="N3113" s="7" t="s">
        <v>92</v>
      </c>
      <c r="O3113" s="7" t="s">
        <v>93</v>
      </c>
      <c r="P3113" s="3" t="s">
        <v>673</v>
      </c>
      <c r="Q3113" s="8" t="s">
        <v>95</v>
      </c>
      <c r="R3113" s="7" t="s">
        <v>96</v>
      </c>
      <c r="S3113" s="9">
        <v>25</v>
      </c>
      <c r="T3113" s="9">
        <v>2670</v>
      </c>
      <c r="U3113" s="9">
        <v>0</v>
      </c>
      <c r="V3113" s="9">
        <f t="shared" si="2154"/>
        <v>0</v>
      </c>
      <c r="W3113" s="7"/>
      <c r="X3113" s="2">
        <v>2016</v>
      </c>
      <c r="Y3113" s="2" t="s">
        <v>8409</v>
      </c>
    </row>
    <row r="3114" spans="1:25" s="11" customFormat="1" ht="89.25" customHeight="1" outlineLevel="1" x14ac:dyDescent="0.25">
      <c r="A3114" s="1"/>
      <c r="B3114" s="2" t="s">
        <v>8408</v>
      </c>
      <c r="C3114" s="3" t="s">
        <v>83</v>
      </c>
      <c r="D3114" s="3" t="s">
        <v>5544</v>
      </c>
      <c r="E3114" s="3" t="s">
        <v>5542</v>
      </c>
      <c r="F3114" s="3" t="s">
        <v>5252</v>
      </c>
      <c r="G3114" s="3" t="s">
        <v>5545</v>
      </c>
      <c r="H3114" s="2" t="s">
        <v>694</v>
      </c>
      <c r="I3114" s="4">
        <v>0</v>
      </c>
      <c r="J3114" s="5">
        <v>710000000</v>
      </c>
      <c r="K3114" s="5" t="s">
        <v>89</v>
      </c>
      <c r="L3114" s="2" t="s">
        <v>1735</v>
      </c>
      <c r="M3114" s="6" t="s">
        <v>91</v>
      </c>
      <c r="N3114" s="7" t="s">
        <v>92</v>
      </c>
      <c r="O3114" s="7" t="s">
        <v>93</v>
      </c>
      <c r="P3114" s="3" t="s">
        <v>673</v>
      </c>
      <c r="Q3114" s="8" t="s">
        <v>95</v>
      </c>
      <c r="R3114" s="7" t="s">
        <v>96</v>
      </c>
      <c r="S3114" s="9">
        <v>25</v>
      </c>
      <c r="T3114" s="9">
        <v>5000</v>
      </c>
      <c r="U3114" s="9">
        <f t="shared" ref="U3114" si="2185">T3114*S3114</f>
        <v>125000</v>
      </c>
      <c r="V3114" s="9">
        <f t="shared" ref="V3114" si="2186">U3114*1.12</f>
        <v>140000</v>
      </c>
      <c r="W3114" s="7"/>
      <c r="X3114" s="2">
        <v>2016</v>
      </c>
      <c r="Y3114" s="2"/>
    </row>
    <row r="3115" spans="1:25" s="11" customFormat="1" ht="89.25" customHeight="1" outlineLevel="1" x14ac:dyDescent="0.25">
      <c r="A3115" s="1"/>
      <c r="B3115" s="2" t="s">
        <v>7311</v>
      </c>
      <c r="C3115" s="3" t="s">
        <v>83</v>
      </c>
      <c r="D3115" s="3" t="s">
        <v>5546</v>
      </c>
      <c r="E3115" s="3" t="s">
        <v>5547</v>
      </c>
      <c r="F3115" s="3" t="s">
        <v>5548</v>
      </c>
      <c r="G3115" s="3" t="s">
        <v>5549</v>
      </c>
      <c r="H3115" s="2" t="s">
        <v>694</v>
      </c>
      <c r="I3115" s="4">
        <v>0</v>
      </c>
      <c r="J3115" s="5">
        <v>710000000</v>
      </c>
      <c r="K3115" s="5" t="s">
        <v>89</v>
      </c>
      <c r="L3115" s="2" t="s">
        <v>754</v>
      </c>
      <c r="M3115" s="6" t="s">
        <v>91</v>
      </c>
      <c r="N3115" s="7" t="s">
        <v>92</v>
      </c>
      <c r="O3115" s="7" t="s">
        <v>93</v>
      </c>
      <c r="P3115" s="3" t="s">
        <v>673</v>
      </c>
      <c r="Q3115" s="8" t="s">
        <v>95</v>
      </c>
      <c r="R3115" s="7" t="s">
        <v>96</v>
      </c>
      <c r="S3115" s="9">
        <v>59</v>
      </c>
      <c r="T3115" s="9">
        <v>4179</v>
      </c>
      <c r="U3115" s="9">
        <v>0</v>
      </c>
      <c r="V3115" s="9">
        <f t="shared" si="2154"/>
        <v>0</v>
      </c>
      <c r="W3115" s="7"/>
      <c r="X3115" s="2">
        <v>2016</v>
      </c>
      <c r="Y3115" s="2" t="s">
        <v>8493</v>
      </c>
    </row>
    <row r="3116" spans="1:25" s="11" customFormat="1" ht="89.25" customHeight="1" outlineLevel="1" x14ac:dyDescent="0.25">
      <c r="A3116" s="1"/>
      <c r="B3116" s="2" t="s">
        <v>8672</v>
      </c>
      <c r="C3116" s="3" t="s">
        <v>83</v>
      </c>
      <c r="D3116" s="3" t="s">
        <v>5546</v>
      </c>
      <c r="E3116" s="3" t="s">
        <v>5547</v>
      </c>
      <c r="F3116" s="3" t="s">
        <v>5548</v>
      </c>
      <c r="G3116" s="3" t="s">
        <v>5549</v>
      </c>
      <c r="H3116" s="2" t="s">
        <v>694</v>
      </c>
      <c r="I3116" s="4">
        <v>0</v>
      </c>
      <c r="J3116" s="5">
        <v>710000000</v>
      </c>
      <c r="K3116" s="5" t="s">
        <v>89</v>
      </c>
      <c r="L3116" s="2" t="s">
        <v>1735</v>
      </c>
      <c r="M3116" s="6" t="s">
        <v>91</v>
      </c>
      <c r="N3116" s="7" t="s">
        <v>92</v>
      </c>
      <c r="O3116" s="7" t="s">
        <v>93</v>
      </c>
      <c r="P3116" s="3" t="s">
        <v>673</v>
      </c>
      <c r="Q3116" s="8" t="s">
        <v>95</v>
      </c>
      <c r="R3116" s="7" t="s">
        <v>96</v>
      </c>
      <c r="S3116" s="9">
        <v>59</v>
      </c>
      <c r="T3116" s="9">
        <v>4750</v>
      </c>
      <c r="U3116" s="9">
        <f t="shared" ref="U3116" si="2187">T3116*S3116</f>
        <v>280250</v>
      </c>
      <c r="V3116" s="9">
        <f t="shared" ref="V3116" si="2188">U3116*1.12</f>
        <v>313880.00000000006</v>
      </c>
      <c r="W3116" s="7"/>
      <c r="X3116" s="2">
        <v>2016</v>
      </c>
      <c r="Y3116" s="2"/>
    </row>
    <row r="3117" spans="1:25" s="11" customFormat="1" ht="89.25" customHeight="1" outlineLevel="1" x14ac:dyDescent="0.25">
      <c r="A3117" s="1"/>
      <c r="B3117" s="2" t="s">
        <v>7312</v>
      </c>
      <c r="C3117" s="3" t="s">
        <v>83</v>
      </c>
      <c r="D3117" s="3" t="s">
        <v>5550</v>
      </c>
      <c r="E3117" s="3" t="s">
        <v>4895</v>
      </c>
      <c r="F3117" s="3" t="s">
        <v>4896</v>
      </c>
      <c r="G3117" s="3" t="s">
        <v>5551</v>
      </c>
      <c r="H3117" s="2" t="s">
        <v>694</v>
      </c>
      <c r="I3117" s="4">
        <v>0</v>
      </c>
      <c r="J3117" s="5">
        <v>710000000</v>
      </c>
      <c r="K3117" s="5" t="s">
        <v>89</v>
      </c>
      <c r="L3117" s="2" t="s">
        <v>754</v>
      </c>
      <c r="M3117" s="6" t="s">
        <v>91</v>
      </c>
      <c r="N3117" s="7" t="s">
        <v>92</v>
      </c>
      <c r="O3117" s="7" t="s">
        <v>93</v>
      </c>
      <c r="P3117" s="3" t="s">
        <v>673</v>
      </c>
      <c r="Q3117" s="8" t="s">
        <v>95</v>
      </c>
      <c r="R3117" s="7" t="s">
        <v>96</v>
      </c>
      <c r="S3117" s="9">
        <v>100</v>
      </c>
      <c r="T3117" s="9">
        <v>888</v>
      </c>
      <c r="U3117" s="9">
        <v>0</v>
      </c>
      <c r="V3117" s="9">
        <f t="shared" si="2154"/>
        <v>0</v>
      </c>
      <c r="W3117" s="7"/>
      <c r="X3117" s="2">
        <v>2016</v>
      </c>
      <c r="Y3117" s="2">
        <v>11</v>
      </c>
    </row>
    <row r="3118" spans="1:25" s="11" customFormat="1" ht="89.25" customHeight="1" outlineLevel="1" x14ac:dyDescent="0.25">
      <c r="A3118" s="1"/>
      <c r="B3118" s="2" t="s">
        <v>8673</v>
      </c>
      <c r="C3118" s="3" t="s">
        <v>83</v>
      </c>
      <c r="D3118" s="3" t="s">
        <v>5550</v>
      </c>
      <c r="E3118" s="3" t="s">
        <v>4895</v>
      </c>
      <c r="F3118" s="3" t="s">
        <v>4896</v>
      </c>
      <c r="G3118" s="3" t="s">
        <v>5551</v>
      </c>
      <c r="H3118" s="2" t="s">
        <v>694</v>
      </c>
      <c r="I3118" s="4">
        <v>0</v>
      </c>
      <c r="J3118" s="5">
        <v>710000000</v>
      </c>
      <c r="K3118" s="5" t="s">
        <v>89</v>
      </c>
      <c r="L3118" s="2" t="s">
        <v>1735</v>
      </c>
      <c r="M3118" s="6" t="s">
        <v>91</v>
      </c>
      <c r="N3118" s="7" t="s">
        <v>92</v>
      </c>
      <c r="O3118" s="7" t="s">
        <v>93</v>
      </c>
      <c r="P3118" s="3" t="s">
        <v>673</v>
      </c>
      <c r="Q3118" s="8" t="s">
        <v>95</v>
      </c>
      <c r="R3118" s="7" t="s">
        <v>96</v>
      </c>
      <c r="S3118" s="9">
        <v>100</v>
      </c>
      <c r="T3118" s="9">
        <v>888</v>
      </c>
      <c r="U3118" s="9">
        <f t="shared" ref="U3118" si="2189">T3118*S3118</f>
        <v>88800</v>
      </c>
      <c r="V3118" s="9">
        <f t="shared" ref="V3118" si="2190">U3118*1.12</f>
        <v>99456.000000000015</v>
      </c>
      <c r="W3118" s="7"/>
      <c r="X3118" s="2">
        <v>2016</v>
      </c>
      <c r="Y3118" s="2"/>
    </row>
    <row r="3119" spans="1:25" s="11" customFormat="1" ht="89.25" customHeight="1" outlineLevel="1" x14ac:dyDescent="0.25">
      <c r="A3119" s="1"/>
      <c r="B3119" s="2" t="s">
        <v>7313</v>
      </c>
      <c r="C3119" s="3" t="s">
        <v>83</v>
      </c>
      <c r="D3119" s="3" t="s">
        <v>5552</v>
      </c>
      <c r="E3119" s="3" t="s">
        <v>5553</v>
      </c>
      <c r="F3119" s="3" t="s">
        <v>5554</v>
      </c>
      <c r="G3119" s="3" t="s">
        <v>5555</v>
      </c>
      <c r="H3119" s="2" t="s">
        <v>694</v>
      </c>
      <c r="I3119" s="4">
        <v>0</v>
      </c>
      <c r="J3119" s="5">
        <v>710000000</v>
      </c>
      <c r="K3119" s="5" t="s">
        <v>89</v>
      </c>
      <c r="L3119" s="2" t="s">
        <v>754</v>
      </c>
      <c r="M3119" s="6" t="s">
        <v>91</v>
      </c>
      <c r="N3119" s="7" t="s">
        <v>92</v>
      </c>
      <c r="O3119" s="7" t="s">
        <v>93</v>
      </c>
      <c r="P3119" s="3" t="s">
        <v>673</v>
      </c>
      <c r="Q3119" s="8" t="s">
        <v>544</v>
      </c>
      <c r="R3119" s="7" t="s">
        <v>111</v>
      </c>
      <c r="S3119" s="9">
        <v>30</v>
      </c>
      <c r="T3119" s="9">
        <v>2036</v>
      </c>
      <c r="U3119" s="9">
        <v>0</v>
      </c>
      <c r="V3119" s="9">
        <f t="shared" si="2154"/>
        <v>0</v>
      </c>
      <c r="W3119" s="7"/>
      <c r="X3119" s="2">
        <v>2016</v>
      </c>
      <c r="Y3119" s="2">
        <v>11</v>
      </c>
    </row>
    <row r="3120" spans="1:25" s="11" customFormat="1" ht="89.25" customHeight="1" outlineLevel="1" x14ac:dyDescent="0.25">
      <c r="A3120" s="1"/>
      <c r="B3120" s="2" t="s">
        <v>8674</v>
      </c>
      <c r="C3120" s="3" t="s">
        <v>83</v>
      </c>
      <c r="D3120" s="3" t="s">
        <v>5552</v>
      </c>
      <c r="E3120" s="3" t="s">
        <v>5553</v>
      </c>
      <c r="F3120" s="3" t="s">
        <v>5554</v>
      </c>
      <c r="G3120" s="3" t="s">
        <v>5555</v>
      </c>
      <c r="H3120" s="2" t="s">
        <v>694</v>
      </c>
      <c r="I3120" s="4">
        <v>0</v>
      </c>
      <c r="J3120" s="5">
        <v>710000000</v>
      </c>
      <c r="K3120" s="5" t="s">
        <v>89</v>
      </c>
      <c r="L3120" s="2" t="s">
        <v>1735</v>
      </c>
      <c r="M3120" s="6" t="s">
        <v>91</v>
      </c>
      <c r="N3120" s="7" t="s">
        <v>92</v>
      </c>
      <c r="O3120" s="7" t="s">
        <v>93</v>
      </c>
      <c r="P3120" s="3" t="s">
        <v>673</v>
      </c>
      <c r="Q3120" s="8" t="s">
        <v>544</v>
      </c>
      <c r="R3120" s="7" t="s">
        <v>111</v>
      </c>
      <c r="S3120" s="9">
        <v>30</v>
      </c>
      <c r="T3120" s="9">
        <v>2036</v>
      </c>
      <c r="U3120" s="9">
        <f t="shared" ref="U3120" si="2191">T3120*S3120</f>
        <v>61080</v>
      </c>
      <c r="V3120" s="9">
        <f t="shared" ref="V3120" si="2192">U3120*1.12</f>
        <v>68409.600000000006</v>
      </c>
      <c r="W3120" s="7"/>
      <c r="X3120" s="2">
        <v>2016</v>
      </c>
      <c r="Y3120" s="2"/>
    </row>
    <row r="3121" spans="1:25" s="11" customFormat="1" ht="89.25" customHeight="1" outlineLevel="1" x14ac:dyDescent="0.25">
      <c r="A3121" s="1"/>
      <c r="B3121" s="2" t="s">
        <v>7314</v>
      </c>
      <c r="C3121" s="3" t="s">
        <v>83</v>
      </c>
      <c r="D3121" s="3" t="s">
        <v>5556</v>
      </c>
      <c r="E3121" s="3" t="s">
        <v>526</v>
      </c>
      <c r="F3121" s="3" t="s">
        <v>5557</v>
      </c>
      <c r="G3121" s="3" t="s">
        <v>5558</v>
      </c>
      <c r="H3121" s="2" t="s">
        <v>694</v>
      </c>
      <c r="I3121" s="4">
        <v>0</v>
      </c>
      <c r="J3121" s="5">
        <v>710000000</v>
      </c>
      <c r="K3121" s="5" t="s">
        <v>89</v>
      </c>
      <c r="L3121" s="2" t="s">
        <v>754</v>
      </c>
      <c r="M3121" s="6" t="s">
        <v>91</v>
      </c>
      <c r="N3121" s="7" t="s">
        <v>92</v>
      </c>
      <c r="O3121" s="7" t="s">
        <v>93</v>
      </c>
      <c r="P3121" s="3" t="s">
        <v>673</v>
      </c>
      <c r="Q3121" s="8">
        <v>796</v>
      </c>
      <c r="R3121" s="7" t="s">
        <v>118</v>
      </c>
      <c r="S3121" s="9">
        <v>248</v>
      </c>
      <c r="T3121" s="9">
        <v>375</v>
      </c>
      <c r="U3121" s="9">
        <v>0</v>
      </c>
      <c r="V3121" s="9">
        <f t="shared" si="2154"/>
        <v>0</v>
      </c>
      <c r="W3121" s="7"/>
      <c r="X3121" s="2">
        <v>2016</v>
      </c>
      <c r="Y3121" s="2">
        <v>11</v>
      </c>
    </row>
    <row r="3122" spans="1:25" s="11" customFormat="1" ht="89.25" customHeight="1" outlineLevel="1" x14ac:dyDescent="0.25">
      <c r="A3122" s="1"/>
      <c r="B3122" s="2" t="s">
        <v>8675</v>
      </c>
      <c r="C3122" s="3" t="s">
        <v>83</v>
      </c>
      <c r="D3122" s="3" t="s">
        <v>5556</v>
      </c>
      <c r="E3122" s="3" t="s">
        <v>526</v>
      </c>
      <c r="F3122" s="3" t="s">
        <v>5557</v>
      </c>
      <c r="G3122" s="3" t="s">
        <v>5558</v>
      </c>
      <c r="H3122" s="2" t="s">
        <v>694</v>
      </c>
      <c r="I3122" s="4">
        <v>0</v>
      </c>
      <c r="J3122" s="5">
        <v>710000000</v>
      </c>
      <c r="K3122" s="5" t="s">
        <v>89</v>
      </c>
      <c r="L3122" s="2" t="s">
        <v>1735</v>
      </c>
      <c r="M3122" s="6" t="s">
        <v>91</v>
      </c>
      <c r="N3122" s="7" t="s">
        <v>92</v>
      </c>
      <c r="O3122" s="7" t="s">
        <v>93</v>
      </c>
      <c r="P3122" s="3" t="s">
        <v>673</v>
      </c>
      <c r="Q3122" s="8">
        <v>796</v>
      </c>
      <c r="R3122" s="7" t="s">
        <v>118</v>
      </c>
      <c r="S3122" s="9">
        <v>248</v>
      </c>
      <c r="T3122" s="9">
        <v>375</v>
      </c>
      <c r="U3122" s="9">
        <f t="shared" ref="U3122" si="2193">T3122*S3122</f>
        <v>93000</v>
      </c>
      <c r="V3122" s="9">
        <f t="shared" ref="V3122" si="2194">U3122*1.12</f>
        <v>104160.00000000001</v>
      </c>
      <c r="W3122" s="7"/>
      <c r="X3122" s="2">
        <v>2016</v>
      </c>
      <c r="Y3122" s="2"/>
    </row>
    <row r="3123" spans="1:25" s="11" customFormat="1" ht="89.25" customHeight="1" outlineLevel="1" x14ac:dyDescent="0.25">
      <c r="A3123" s="1"/>
      <c r="B3123" s="2" t="s">
        <v>7315</v>
      </c>
      <c r="C3123" s="3" t="s">
        <v>83</v>
      </c>
      <c r="D3123" s="3" t="s">
        <v>5559</v>
      </c>
      <c r="E3123" s="3" t="s">
        <v>5560</v>
      </c>
      <c r="F3123" s="3" t="s">
        <v>5561</v>
      </c>
      <c r="G3123" s="3"/>
      <c r="H3123" s="2" t="s">
        <v>694</v>
      </c>
      <c r="I3123" s="4">
        <v>0</v>
      </c>
      <c r="J3123" s="5">
        <v>710000000</v>
      </c>
      <c r="K3123" s="5" t="s">
        <v>89</v>
      </c>
      <c r="L3123" s="2" t="s">
        <v>754</v>
      </c>
      <c r="M3123" s="6" t="s">
        <v>91</v>
      </c>
      <c r="N3123" s="7" t="s">
        <v>92</v>
      </c>
      <c r="O3123" s="7" t="s">
        <v>93</v>
      </c>
      <c r="P3123" s="3" t="s">
        <v>673</v>
      </c>
      <c r="Q3123" s="8">
        <v>796</v>
      </c>
      <c r="R3123" s="7" t="s">
        <v>118</v>
      </c>
      <c r="S3123" s="9">
        <v>24</v>
      </c>
      <c r="T3123" s="9">
        <v>1339</v>
      </c>
      <c r="U3123" s="9">
        <v>0</v>
      </c>
      <c r="V3123" s="9">
        <f t="shared" si="2154"/>
        <v>0</v>
      </c>
      <c r="W3123" s="7"/>
      <c r="X3123" s="2">
        <v>2016</v>
      </c>
      <c r="Y3123" s="2" t="s">
        <v>8493</v>
      </c>
    </row>
    <row r="3124" spans="1:25" s="11" customFormat="1" ht="89.25" customHeight="1" outlineLevel="1" x14ac:dyDescent="0.25">
      <c r="A3124" s="1"/>
      <c r="B3124" s="2" t="s">
        <v>8676</v>
      </c>
      <c r="C3124" s="3" t="s">
        <v>83</v>
      </c>
      <c r="D3124" s="3" t="s">
        <v>5559</v>
      </c>
      <c r="E3124" s="3" t="s">
        <v>5560</v>
      </c>
      <c r="F3124" s="3" t="s">
        <v>5561</v>
      </c>
      <c r="G3124" s="3"/>
      <c r="H3124" s="2" t="s">
        <v>694</v>
      </c>
      <c r="I3124" s="4">
        <v>0</v>
      </c>
      <c r="J3124" s="5">
        <v>710000000</v>
      </c>
      <c r="K3124" s="5" t="s">
        <v>89</v>
      </c>
      <c r="L3124" s="2" t="s">
        <v>1735</v>
      </c>
      <c r="M3124" s="6" t="s">
        <v>91</v>
      </c>
      <c r="N3124" s="7" t="s">
        <v>92</v>
      </c>
      <c r="O3124" s="7" t="s">
        <v>93</v>
      </c>
      <c r="P3124" s="3" t="s">
        <v>673</v>
      </c>
      <c r="Q3124" s="8">
        <v>796</v>
      </c>
      <c r="R3124" s="7" t="s">
        <v>118</v>
      </c>
      <c r="S3124" s="9">
        <v>24</v>
      </c>
      <c r="T3124" s="9">
        <v>1517.9</v>
      </c>
      <c r="U3124" s="9">
        <f t="shared" ref="U3124" si="2195">T3124*S3124</f>
        <v>36429.600000000006</v>
      </c>
      <c r="V3124" s="9">
        <f t="shared" ref="V3124:V3125" si="2196">U3124*1.12</f>
        <v>40801.152000000009</v>
      </c>
      <c r="W3124" s="7"/>
      <c r="X3124" s="2">
        <v>2016</v>
      </c>
      <c r="Y3124" s="2"/>
    </row>
    <row r="3125" spans="1:25" s="11" customFormat="1" ht="89.25" customHeight="1" outlineLevel="1" x14ac:dyDescent="0.25">
      <c r="A3125" s="1"/>
      <c r="B3125" s="2" t="s">
        <v>7316</v>
      </c>
      <c r="C3125" s="3" t="s">
        <v>83</v>
      </c>
      <c r="D3125" s="3" t="s">
        <v>5562</v>
      </c>
      <c r="E3125" s="3" t="s">
        <v>5560</v>
      </c>
      <c r="F3125" s="3" t="s">
        <v>4259</v>
      </c>
      <c r="G3125" s="3" t="s">
        <v>5563</v>
      </c>
      <c r="H3125" s="2" t="s">
        <v>694</v>
      </c>
      <c r="I3125" s="4">
        <v>0</v>
      </c>
      <c r="J3125" s="5">
        <v>710000000</v>
      </c>
      <c r="K3125" s="5" t="s">
        <v>89</v>
      </c>
      <c r="L3125" s="2" t="s">
        <v>754</v>
      </c>
      <c r="M3125" s="6" t="s">
        <v>787</v>
      </c>
      <c r="N3125" s="7" t="s">
        <v>92</v>
      </c>
      <c r="O3125" s="7" t="s">
        <v>93</v>
      </c>
      <c r="P3125" s="3" t="s">
        <v>673</v>
      </c>
      <c r="Q3125" s="8">
        <v>796</v>
      </c>
      <c r="R3125" s="7" t="s">
        <v>118</v>
      </c>
      <c r="S3125" s="9">
        <f>93+1+15+9</f>
        <v>118</v>
      </c>
      <c r="T3125" s="9">
        <v>3150</v>
      </c>
      <c r="U3125" s="9">
        <v>0</v>
      </c>
      <c r="V3125" s="9">
        <f t="shared" si="2196"/>
        <v>0</v>
      </c>
      <c r="W3125" s="7"/>
      <c r="X3125" s="2">
        <v>2016</v>
      </c>
      <c r="Y3125" s="2">
        <v>11</v>
      </c>
    </row>
    <row r="3126" spans="1:25" s="11" customFormat="1" ht="89.25" customHeight="1" outlineLevel="1" x14ac:dyDescent="0.25">
      <c r="A3126" s="1"/>
      <c r="B3126" s="2" t="s">
        <v>9435</v>
      </c>
      <c r="C3126" s="3" t="s">
        <v>83</v>
      </c>
      <c r="D3126" s="3" t="s">
        <v>5562</v>
      </c>
      <c r="E3126" s="3" t="s">
        <v>5560</v>
      </c>
      <c r="F3126" s="3" t="s">
        <v>4259</v>
      </c>
      <c r="G3126" s="3" t="s">
        <v>5563</v>
      </c>
      <c r="H3126" s="2" t="s">
        <v>694</v>
      </c>
      <c r="I3126" s="4">
        <v>0</v>
      </c>
      <c r="J3126" s="5">
        <v>710000000</v>
      </c>
      <c r="K3126" s="5" t="s">
        <v>89</v>
      </c>
      <c r="L3126" s="2" t="s">
        <v>1741</v>
      </c>
      <c r="M3126" s="6" t="s">
        <v>787</v>
      </c>
      <c r="N3126" s="7" t="s">
        <v>92</v>
      </c>
      <c r="O3126" s="7" t="s">
        <v>93</v>
      </c>
      <c r="P3126" s="3" t="s">
        <v>673</v>
      </c>
      <c r="Q3126" s="8">
        <v>796</v>
      </c>
      <c r="R3126" s="7" t="s">
        <v>118</v>
      </c>
      <c r="S3126" s="9">
        <f>93+1+15+9</f>
        <v>118</v>
      </c>
      <c r="T3126" s="9">
        <v>3150</v>
      </c>
      <c r="U3126" s="9">
        <f t="shared" ref="U3126" si="2197">T3126*S3126</f>
        <v>371700</v>
      </c>
      <c r="V3126" s="9">
        <f t="shared" ref="V3126" si="2198">U3126*1.12</f>
        <v>416304.00000000006</v>
      </c>
      <c r="W3126" s="7"/>
      <c r="X3126" s="2">
        <v>2016</v>
      </c>
      <c r="Y3126" s="2"/>
    </row>
    <row r="3127" spans="1:25" s="11" customFormat="1" ht="89.25" customHeight="1" outlineLevel="1" x14ac:dyDescent="0.25">
      <c r="A3127" s="1"/>
      <c r="B3127" s="2" t="s">
        <v>7317</v>
      </c>
      <c r="C3127" s="3" t="s">
        <v>83</v>
      </c>
      <c r="D3127" s="3" t="s">
        <v>5562</v>
      </c>
      <c r="E3127" s="3" t="s">
        <v>5560</v>
      </c>
      <c r="F3127" s="3" t="s">
        <v>4259</v>
      </c>
      <c r="G3127" s="3" t="s">
        <v>5564</v>
      </c>
      <c r="H3127" s="2" t="s">
        <v>694</v>
      </c>
      <c r="I3127" s="4">
        <v>0</v>
      </c>
      <c r="J3127" s="5">
        <v>710000000</v>
      </c>
      <c r="K3127" s="5" t="s">
        <v>89</v>
      </c>
      <c r="L3127" s="2" t="s">
        <v>754</v>
      </c>
      <c r="M3127" s="6" t="s">
        <v>689</v>
      </c>
      <c r="N3127" s="7" t="s">
        <v>92</v>
      </c>
      <c r="O3127" s="7" t="s">
        <v>93</v>
      </c>
      <c r="P3127" s="3" t="s">
        <v>673</v>
      </c>
      <c r="Q3127" s="8">
        <v>796</v>
      </c>
      <c r="R3127" s="7" t="s">
        <v>118</v>
      </c>
      <c r="S3127" s="9">
        <v>27</v>
      </c>
      <c r="T3127" s="9">
        <v>2374.5500000000002</v>
      </c>
      <c r="U3127" s="9">
        <f t="shared" ref="U3127:U3152" si="2199">T3127*S3127</f>
        <v>64112.850000000006</v>
      </c>
      <c r="V3127" s="9">
        <f t="shared" si="2154"/>
        <v>71806.392000000007</v>
      </c>
      <c r="W3127" s="7"/>
      <c r="X3127" s="2">
        <v>2016</v>
      </c>
      <c r="Y3127" s="2"/>
    </row>
    <row r="3128" spans="1:25" s="11" customFormat="1" ht="89.25" customHeight="1" outlineLevel="1" x14ac:dyDescent="0.25">
      <c r="A3128" s="1"/>
      <c r="B3128" s="2" t="s">
        <v>7318</v>
      </c>
      <c r="C3128" s="3" t="s">
        <v>83</v>
      </c>
      <c r="D3128" s="3" t="s">
        <v>5565</v>
      </c>
      <c r="E3128" s="3" t="s">
        <v>5566</v>
      </c>
      <c r="F3128" s="3" t="s">
        <v>5567</v>
      </c>
      <c r="G3128" s="3" t="s">
        <v>5568</v>
      </c>
      <c r="H3128" s="2" t="s">
        <v>694</v>
      </c>
      <c r="I3128" s="4">
        <v>0</v>
      </c>
      <c r="J3128" s="5">
        <v>710000000</v>
      </c>
      <c r="K3128" s="5" t="s">
        <v>89</v>
      </c>
      <c r="L3128" s="2" t="s">
        <v>754</v>
      </c>
      <c r="M3128" s="6" t="s">
        <v>787</v>
      </c>
      <c r="N3128" s="7" t="s">
        <v>92</v>
      </c>
      <c r="O3128" s="7" t="s">
        <v>93</v>
      </c>
      <c r="P3128" s="3" t="s">
        <v>673</v>
      </c>
      <c r="Q3128" s="8">
        <v>796</v>
      </c>
      <c r="R3128" s="7" t="s">
        <v>118</v>
      </c>
      <c r="S3128" s="9">
        <v>120</v>
      </c>
      <c r="T3128" s="9">
        <v>2232.14</v>
      </c>
      <c r="U3128" s="9">
        <v>0</v>
      </c>
      <c r="V3128" s="9">
        <f t="shared" si="2154"/>
        <v>0</v>
      </c>
      <c r="W3128" s="7"/>
      <c r="X3128" s="2">
        <v>2016</v>
      </c>
      <c r="Y3128" s="2">
        <v>18.190000000000001</v>
      </c>
    </row>
    <row r="3129" spans="1:25" s="11" customFormat="1" ht="89.25" customHeight="1" outlineLevel="1" x14ac:dyDescent="0.25">
      <c r="A3129" s="1"/>
      <c r="B3129" s="2" t="s">
        <v>8404</v>
      </c>
      <c r="C3129" s="3" t="s">
        <v>83</v>
      </c>
      <c r="D3129" s="3" t="s">
        <v>5565</v>
      </c>
      <c r="E3129" s="3" t="s">
        <v>5566</v>
      </c>
      <c r="F3129" s="3" t="s">
        <v>5567</v>
      </c>
      <c r="G3129" s="3" t="s">
        <v>5568</v>
      </c>
      <c r="H3129" s="2" t="s">
        <v>694</v>
      </c>
      <c r="I3129" s="4">
        <v>0</v>
      </c>
      <c r="J3129" s="5">
        <v>710000000</v>
      </c>
      <c r="K3129" s="5" t="s">
        <v>89</v>
      </c>
      <c r="L3129" s="2" t="s">
        <v>754</v>
      </c>
      <c r="M3129" s="6" t="s">
        <v>787</v>
      </c>
      <c r="N3129" s="7" t="s">
        <v>92</v>
      </c>
      <c r="O3129" s="7" t="s">
        <v>93</v>
      </c>
      <c r="P3129" s="3" t="s">
        <v>673</v>
      </c>
      <c r="Q3129" s="8">
        <v>796</v>
      </c>
      <c r="R3129" s="7" t="s">
        <v>118</v>
      </c>
      <c r="S3129" s="9">
        <v>377</v>
      </c>
      <c r="T3129" s="9">
        <v>700</v>
      </c>
      <c r="U3129" s="9">
        <f t="shared" ref="U3129" si="2200">T3129*S3129</f>
        <v>263900</v>
      </c>
      <c r="V3129" s="9">
        <f t="shared" ref="V3129" si="2201">U3129*1.12</f>
        <v>295568</v>
      </c>
      <c r="W3129" s="7"/>
      <c r="X3129" s="2">
        <v>2016</v>
      </c>
      <c r="Y3129" s="2"/>
    </row>
    <row r="3130" spans="1:25" s="11" customFormat="1" ht="89.25" customHeight="1" outlineLevel="1" x14ac:dyDescent="0.25">
      <c r="A3130" s="1"/>
      <c r="B3130" s="2" t="s">
        <v>7319</v>
      </c>
      <c r="C3130" s="3" t="s">
        <v>83</v>
      </c>
      <c r="D3130" s="3" t="s">
        <v>5569</v>
      </c>
      <c r="E3130" s="3" t="s">
        <v>5566</v>
      </c>
      <c r="F3130" s="3" t="s">
        <v>5570</v>
      </c>
      <c r="G3130" s="3" t="s">
        <v>5571</v>
      </c>
      <c r="H3130" s="2" t="s">
        <v>694</v>
      </c>
      <c r="I3130" s="4">
        <v>0</v>
      </c>
      <c r="J3130" s="5">
        <v>710000000</v>
      </c>
      <c r="K3130" s="5" t="s">
        <v>89</v>
      </c>
      <c r="L3130" s="2" t="s">
        <v>754</v>
      </c>
      <c r="M3130" s="6" t="s">
        <v>787</v>
      </c>
      <c r="N3130" s="7" t="s">
        <v>92</v>
      </c>
      <c r="O3130" s="7" t="s">
        <v>93</v>
      </c>
      <c r="P3130" s="3" t="s">
        <v>673</v>
      </c>
      <c r="Q3130" s="8">
        <v>796</v>
      </c>
      <c r="R3130" s="7" t="s">
        <v>118</v>
      </c>
      <c r="S3130" s="9">
        <v>5</v>
      </c>
      <c r="T3130" s="9">
        <v>13392.86</v>
      </c>
      <c r="U3130" s="9">
        <f t="shared" si="2199"/>
        <v>66964.3</v>
      </c>
      <c r="V3130" s="9">
        <f t="shared" si="2154"/>
        <v>75000.016000000003</v>
      </c>
      <c r="W3130" s="7"/>
      <c r="X3130" s="2">
        <v>2016</v>
      </c>
      <c r="Y3130" s="2"/>
    </row>
    <row r="3131" spans="1:25" s="11" customFormat="1" ht="89.25" customHeight="1" outlineLevel="1" x14ac:dyDescent="0.25">
      <c r="A3131" s="1"/>
      <c r="B3131" s="2" t="s">
        <v>7320</v>
      </c>
      <c r="C3131" s="3" t="s">
        <v>83</v>
      </c>
      <c r="D3131" s="3" t="s">
        <v>5569</v>
      </c>
      <c r="E3131" s="3" t="s">
        <v>5566</v>
      </c>
      <c r="F3131" s="3" t="s">
        <v>5570</v>
      </c>
      <c r="G3131" s="3" t="s">
        <v>5572</v>
      </c>
      <c r="H3131" s="2" t="s">
        <v>694</v>
      </c>
      <c r="I3131" s="4">
        <v>0</v>
      </c>
      <c r="J3131" s="5">
        <v>710000000</v>
      </c>
      <c r="K3131" s="5" t="s">
        <v>89</v>
      </c>
      <c r="L3131" s="2" t="s">
        <v>754</v>
      </c>
      <c r="M3131" s="6" t="s">
        <v>787</v>
      </c>
      <c r="N3131" s="7" t="s">
        <v>92</v>
      </c>
      <c r="O3131" s="7" t="s">
        <v>93</v>
      </c>
      <c r="P3131" s="3" t="s">
        <v>673</v>
      </c>
      <c r="Q3131" s="8">
        <v>796</v>
      </c>
      <c r="R3131" s="7" t="s">
        <v>118</v>
      </c>
      <c r="S3131" s="9">
        <v>5</v>
      </c>
      <c r="T3131" s="9">
        <v>22321.43</v>
      </c>
      <c r="U3131" s="9">
        <f t="shared" si="2199"/>
        <v>111607.15</v>
      </c>
      <c r="V3131" s="9">
        <f t="shared" si="2154"/>
        <v>125000.008</v>
      </c>
      <c r="W3131" s="7"/>
      <c r="X3131" s="2">
        <v>2016</v>
      </c>
      <c r="Y3131" s="2"/>
    </row>
    <row r="3132" spans="1:25" s="11" customFormat="1" ht="89.25" customHeight="1" outlineLevel="1" x14ac:dyDescent="0.25">
      <c r="A3132" s="1"/>
      <c r="B3132" s="2" t="s">
        <v>7321</v>
      </c>
      <c r="C3132" s="3" t="s">
        <v>83</v>
      </c>
      <c r="D3132" s="3" t="s">
        <v>5573</v>
      </c>
      <c r="E3132" s="3" t="s">
        <v>5566</v>
      </c>
      <c r="F3132" s="3" t="s">
        <v>5574</v>
      </c>
      <c r="G3132" s="3" t="s">
        <v>5575</v>
      </c>
      <c r="H3132" s="2" t="s">
        <v>694</v>
      </c>
      <c r="I3132" s="4">
        <v>0</v>
      </c>
      <c r="J3132" s="5">
        <v>710000000</v>
      </c>
      <c r="K3132" s="5" t="s">
        <v>89</v>
      </c>
      <c r="L3132" s="2" t="s">
        <v>754</v>
      </c>
      <c r="M3132" s="6" t="s">
        <v>787</v>
      </c>
      <c r="N3132" s="7" t="s">
        <v>92</v>
      </c>
      <c r="O3132" s="7" t="s">
        <v>93</v>
      </c>
      <c r="P3132" s="3" t="s">
        <v>673</v>
      </c>
      <c r="Q3132" s="8">
        <v>796</v>
      </c>
      <c r="R3132" s="7" t="s">
        <v>118</v>
      </c>
      <c r="S3132" s="9">
        <v>5</v>
      </c>
      <c r="T3132" s="9">
        <v>17857.14</v>
      </c>
      <c r="U3132" s="9">
        <f t="shared" si="2199"/>
        <v>89285.7</v>
      </c>
      <c r="V3132" s="9">
        <f t="shared" si="2154"/>
        <v>99999.984000000011</v>
      </c>
      <c r="W3132" s="7"/>
      <c r="X3132" s="2">
        <v>2016</v>
      </c>
      <c r="Y3132" s="2"/>
    </row>
    <row r="3133" spans="1:25" s="11" customFormat="1" ht="89.25" customHeight="1" outlineLevel="1" x14ac:dyDescent="0.25">
      <c r="A3133" s="1"/>
      <c r="B3133" s="2" t="s">
        <v>7322</v>
      </c>
      <c r="C3133" s="3" t="s">
        <v>83</v>
      </c>
      <c r="D3133" s="3" t="s">
        <v>5576</v>
      </c>
      <c r="E3133" s="3" t="s">
        <v>5566</v>
      </c>
      <c r="F3133" s="3" t="s">
        <v>5577</v>
      </c>
      <c r="G3133" s="3"/>
      <c r="H3133" s="2" t="s">
        <v>694</v>
      </c>
      <c r="I3133" s="4">
        <v>0</v>
      </c>
      <c r="J3133" s="5">
        <v>710000000</v>
      </c>
      <c r="K3133" s="5" t="s">
        <v>89</v>
      </c>
      <c r="L3133" s="2" t="s">
        <v>754</v>
      </c>
      <c r="M3133" s="6" t="s">
        <v>787</v>
      </c>
      <c r="N3133" s="7" t="s">
        <v>92</v>
      </c>
      <c r="O3133" s="7" t="s">
        <v>93</v>
      </c>
      <c r="P3133" s="3" t="s">
        <v>673</v>
      </c>
      <c r="Q3133" s="8">
        <v>796</v>
      </c>
      <c r="R3133" s="7" t="s">
        <v>118</v>
      </c>
      <c r="S3133" s="9">
        <v>5</v>
      </c>
      <c r="T3133" s="9">
        <v>13526.79</v>
      </c>
      <c r="U3133" s="9">
        <f t="shared" si="2199"/>
        <v>67633.950000000012</v>
      </c>
      <c r="V3133" s="9">
        <f t="shared" si="2154"/>
        <v>75750.024000000019</v>
      </c>
      <c r="W3133" s="7"/>
      <c r="X3133" s="2">
        <v>2016</v>
      </c>
      <c r="Y3133" s="2"/>
    </row>
    <row r="3134" spans="1:25" s="11" customFormat="1" ht="89.25" customHeight="1" outlineLevel="1" x14ac:dyDescent="0.25">
      <c r="A3134" s="1"/>
      <c r="B3134" s="2" t="s">
        <v>7323</v>
      </c>
      <c r="C3134" s="3" t="s">
        <v>83</v>
      </c>
      <c r="D3134" s="3" t="s">
        <v>5578</v>
      </c>
      <c r="E3134" s="3" t="s">
        <v>5579</v>
      </c>
      <c r="F3134" s="3" t="s">
        <v>5580</v>
      </c>
      <c r="G3134" s="3"/>
      <c r="H3134" s="2" t="s">
        <v>694</v>
      </c>
      <c r="I3134" s="4">
        <v>0</v>
      </c>
      <c r="J3134" s="5">
        <v>710000000</v>
      </c>
      <c r="K3134" s="5" t="s">
        <v>89</v>
      </c>
      <c r="L3134" s="2" t="s">
        <v>754</v>
      </c>
      <c r="M3134" s="6" t="s">
        <v>787</v>
      </c>
      <c r="N3134" s="7" t="s">
        <v>92</v>
      </c>
      <c r="O3134" s="7" t="s">
        <v>93</v>
      </c>
      <c r="P3134" s="3" t="s">
        <v>673</v>
      </c>
      <c r="Q3134" s="8">
        <v>796</v>
      </c>
      <c r="R3134" s="7" t="s">
        <v>118</v>
      </c>
      <c r="S3134" s="9">
        <v>10</v>
      </c>
      <c r="T3134" s="9">
        <v>10714.29</v>
      </c>
      <c r="U3134" s="9">
        <f t="shared" si="2199"/>
        <v>107142.90000000001</v>
      </c>
      <c r="V3134" s="9">
        <f t="shared" si="2154"/>
        <v>120000.04800000002</v>
      </c>
      <c r="W3134" s="7"/>
      <c r="X3134" s="2">
        <v>2016</v>
      </c>
      <c r="Y3134" s="2"/>
    </row>
    <row r="3135" spans="1:25" s="11" customFormat="1" ht="89.25" customHeight="1" outlineLevel="1" x14ac:dyDescent="0.25">
      <c r="A3135" s="1"/>
      <c r="B3135" s="2" t="s">
        <v>7324</v>
      </c>
      <c r="C3135" s="3" t="s">
        <v>83</v>
      </c>
      <c r="D3135" s="3" t="s">
        <v>5581</v>
      </c>
      <c r="E3135" s="3" t="s">
        <v>3833</v>
      </c>
      <c r="F3135" s="3" t="s">
        <v>5582</v>
      </c>
      <c r="G3135" s="3" t="s">
        <v>3813</v>
      </c>
      <c r="H3135" s="2" t="s">
        <v>694</v>
      </c>
      <c r="I3135" s="4">
        <v>0</v>
      </c>
      <c r="J3135" s="5">
        <v>710000000</v>
      </c>
      <c r="K3135" s="5" t="s">
        <v>89</v>
      </c>
      <c r="L3135" s="2" t="s">
        <v>754</v>
      </c>
      <c r="M3135" s="6" t="s">
        <v>787</v>
      </c>
      <c r="N3135" s="7" t="s">
        <v>92</v>
      </c>
      <c r="O3135" s="7" t="s">
        <v>93</v>
      </c>
      <c r="P3135" s="3" t="s">
        <v>673</v>
      </c>
      <c r="Q3135" s="8">
        <v>796</v>
      </c>
      <c r="R3135" s="7" t="s">
        <v>118</v>
      </c>
      <c r="S3135" s="9">
        <v>2</v>
      </c>
      <c r="T3135" s="9">
        <v>17857.14</v>
      </c>
      <c r="U3135" s="9">
        <f t="shared" si="2199"/>
        <v>35714.28</v>
      </c>
      <c r="V3135" s="9">
        <f t="shared" si="2154"/>
        <v>39999.993600000002</v>
      </c>
      <c r="W3135" s="7"/>
      <c r="X3135" s="2">
        <v>2016</v>
      </c>
      <c r="Y3135" s="2"/>
    </row>
    <row r="3136" spans="1:25" s="11" customFormat="1" ht="89.25" customHeight="1" outlineLevel="1" x14ac:dyDescent="0.25">
      <c r="A3136" s="1"/>
      <c r="B3136" s="2" t="s">
        <v>7325</v>
      </c>
      <c r="C3136" s="3" t="s">
        <v>83</v>
      </c>
      <c r="D3136" s="3" t="s">
        <v>5583</v>
      </c>
      <c r="E3136" s="3" t="s">
        <v>4474</v>
      </c>
      <c r="F3136" s="3" t="s">
        <v>5584</v>
      </c>
      <c r="G3136" s="3" t="s">
        <v>5585</v>
      </c>
      <c r="H3136" s="2" t="s">
        <v>694</v>
      </c>
      <c r="I3136" s="4">
        <v>0</v>
      </c>
      <c r="J3136" s="5">
        <v>710000000</v>
      </c>
      <c r="K3136" s="5" t="s">
        <v>89</v>
      </c>
      <c r="L3136" s="2" t="s">
        <v>754</v>
      </c>
      <c r="M3136" s="6" t="s">
        <v>787</v>
      </c>
      <c r="N3136" s="7" t="s">
        <v>92</v>
      </c>
      <c r="O3136" s="7" t="s">
        <v>93</v>
      </c>
      <c r="P3136" s="3" t="s">
        <v>673</v>
      </c>
      <c r="Q3136" s="8">
        <v>796</v>
      </c>
      <c r="R3136" s="7" t="s">
        <v>118</v>
      </c>
      <c r="S3136" s="9">
        <v>6</v>
      </c>
      <c r="T3136" s="9">
        <v>3571.43</v>
      </c>
      <c r="U3136" s="9">
        <f t="shared" si="2199"/>
        <v>21428.579999999998</v>
      </c>
      <c r="V3136" s="9">
        <f t="shared" si="2154"/>
        <v>24000.009600000001</v>
      </c>
      <c r="W3136" s="7"/>
      <c r="X3136" s="2">
        <v>2016</v>
      </c>
      <c r="Y3136" s="2"/>
    </row>
    <row r="3137" spans="1:25" s="11" customFormat="1" ht="89.25" customHeight="1" outlineLevel="1" x14ac:dyDescent="0.25">
      <c r="A3137" s="1"/>
      <c r="B3137" s="2" t="s">
        <v>7326</v>
      </c>
      <c r="C3137" s="3" t="s">
        <v>83</v>
      </c>
      <c r="D3137" s="3" t="s">
        <v>5583</v>
      </c>
      <c r="E3137" s="3" t="s">
        <v>4474</v>
      </c>
      <c r="F3137" s="3" t="s">
        <v>5584</v>
      </c>
      <c r="G3137" s="3" t="s">
        <v>5586</v>
      </c>
      <c r="H3137" s="2" t="s">
        <v>694</v>
      </c>
      <c r="I3137" s="4">
        <v>0</v>
      </c>
      <c r="J3137" s="5">
        <v>710000000</v>
      </c>
      <c r="K3137" s="5" t="s">
        <v>89</v>
      </c>
      <c r="L3137" s="2" t="s">
        <v>754</v>
      </c>
      <c r="M3137" s="6" t="s">
        <v>787</v>
      </c>
      <c r="N3137" s="7" t="s">
        <v>92</v>
      </c>
      <c r="O3137" s="7" t="s">
        <v>93</v>
      </c>
      <c r="P3137" s="3" t="s">
        <v>673</v>
      </c>
      <c r="Q3137" s="8">
        <v>796</v>
      </c>
      <c r="R3137" s="7" t="s">
        <v>118</v>
      </c>
      <c r="S3137" s="9">
        <v>6</v>
      </c>
      <c r="T3137" s="9">
        <v>3571.43</v>
      </c>
      <c r="U3137" s="9">
        <f t="shared" si="2199"/>
        <v>21428.579999999998</v>
      </c>
      <c r="V3137" s="9">
        <f t="shared" si="2154"/>
        <v>24000.009600000001</v>
      </c>
      <c r="W3137" s="7"/>
      <c r="X3137" s="2">
        <v>2016</v>
      </c>
      <c r="Y3137" s="2"/>
    </row>
    <row r="3138" spans="1:25" s="11" customFormat="1" ht="89.25" customHeight="1" outlineLevel="1" x14ac:dyDescent="0.25">
      <c r="A3138" s="1"/>
      <c r="B3138" s="2" t="s">
        <v>7327</v>
      </c>
      <c r="C3138" s="3" t="s">
        <v>83</v>
      </c>
      <c r="D3138" s="3" t="s">
        <v>5587</v>
      </c>
      <c r="E3138" s="3" t="s">
        <v>906</v>
      </c>
      <c r="F3138" s="3" t="s">
        <v>5588</v>
      </c>
      <c r="G3138" s="3" t="s">
        <v>5589</v>
      </c>
      <c r="H3138" s="2" t="s">
        <v>694</v>
      </c>
      <c r="I3138" s="4">
        <v>0</v>
      </c>
      <c r="J3138" s="5">
        <v>710000000</v>
      </c>
      <c r="K3138" s="5" t="s">
        <v>89</v>
      </c>
      <c r="L3138" s="2" t="s">
        <v>754</v>
      </c>
      <c r="M3138" s="6" t="s">
        <v>787</v>
      </c>
      <c r="N3138" s="7" t="s">
        <v>92</v>
      </c>
      <c r="O3138" s="7" t="s">
        <v>93</v>
      </c>
      <c r="P3138" s="3" t="s">
        <v>673</v>
      </c>
      <c r="Q3138" s="8">
        <v>796</v>
      </c>
      <c r="R3138" s="7" t="s">
        <v>118</v>
      </c>
      <c r="S3138" s="9">
        <v>5</v>
      </c>
      <c r="T3138" s="9">
        <v>3125</v>
      </c>
      <c r="U3138" s="9">
        <f t="shared" si="2199"/>
        <v>15625</v>
      </c>
      <c r="V3138" s="9">
        <f t="shared" si="2154"/>
        <v>17500</v>
      </c>
      <c r="W3138" s="7"/>
      <c r="X3138" s="2">
        <v>2016</v>
      </c>
      <c r="Y3138" s="2"/>
    </row>
    <row r="3139" spans="1:25" s="11" customFormat="1" ht="89.25" customHeight="1" outlineLevel="1" x14ac:dyDescent="0.25">
      <c r="A3139" s="1"/>
      <c r="B3139" s="2" t="s">
        <v>7328</v>
      </c>
      <c r="C3139" s="3" t="s">
        <v>83</v>
      </c>
      <c r="D3139" s="3" t="s">
        <v>5590</v>
      </c>
      <c r="E3139" s="3" t="s">
        <v>5096</v>
      </c>
      <c r="F3139" s="3" t="s">
        <v>5591</v>
      </c>
      <c r="G3139" s="3" t="s">
        <v>5592</v>
      </c>
      <c r="H3139" s="2" t="s">
        <v>694</v>
      </c>
      <c r="I3139" s="4">
        <v>0</v>
      </c>
      <c r="J3139" s="5">
        <v>710000000</v>
      </c>
      <c r="K3139" s="5" t="s">
        <v>89</v>
      </c>
      <c r="L3139" s="2" t="s">
        <v>754</v>
      </c>
      <c r="M3139" s="6" t="s">
        <v>787</v>
      </c>
      <c r="N3139" s="7" t="s">
        <v>92</v>
      </c>
      <c r="O3139" s="7" t="s">
        <v>93</v>
      </c>
      <c r="P3139" s="3" t="s">
        <v>673</v>
      </c>
      <c r="Q3139" s="8">
        <v>796</v>
      </c>
      <c r="R3139" s="7" t="s">
        <v>118</v>
      </c>
      <c r="S3139" s="9">
        <v>29</v>
      </c>
      <c r="T3139" s="9">
        <v>133.93</v>
      </c>
      <c r="U3139" s="9">
        <f t="shared" si="2199"/>
        <v>3883.9700000000003</v>
      </c>
      <c r="V3139" s="9">
        <f t="shared" si="2154"/>
        <v>4350.0464000000011</v>
      </c>
      <c r="W3139" s="7"/>
      <c r="X3139" s="2">
        <v>2016</v>
      </c>
      <c r="Y3139" s="2"/>
    </row>
    <row r="3140" spans="1:25" s="11" customFormat="1" ht="89.25" customHeight="1" outlineLevel="1" x14ac:dyDescent="0.25">
      <c r="A3140" s="1"/>
      <c r="B3140" s="2" t="s">
        <v>7329</v>
      </c>
      <c r="C3140" s="3" t="s">
        <v>83</v>
      </c>
      <c r="D3140" s="3" t="s">
        <v>4887</v>
      </c>
      <c r="E3140" s="3" t="s">
        <v>4888</v>
      </c>
      <c r="F3140" s="3" t="s">
        <v>4889</v>
      </c>
      <c r="G3140" s="3" t="s">
        <v>5593</v>
      </c>
      <c r="H3140" s="2" t="s">
        <v>694</v>
      </c>
      <c r="I3140" s="4">
        <v>0</v>
      </c>
      <c r="J3140" s="5">
        <v>710000000</v>
      </c>
      <c r="K3140" s="5" t="s">
        <v>89</v>
      </c>
      <c r="L3140" s="2" t="s">
        <v>754</v>
      </c>
      <c r="M3140" s="6" t="s">
        <v>787</v>
      </c>
      <c r="N3140" s="7" t="s">
        <v>92</v>
      </c>
      <c r="O3140" s="7" t="s">
        <v>93</v>
      </c>
      <c r="P3140" s="3" t="s">
        <v>673</v>
      </c>
      <c r="Q3140" s="8">
        <v>796</v>
      </c>
      <c r="R3140" s="7" t="s">
        <v>118</v>
      </c>
      <c r="S3140" s="9">
        <v>10</v>
      </c>
      <c r="T3140" s="9">
        <v>1339.29</v>
      </c>
      <c r="U3140" s="9">
        <f t="shared" si="2199"/>
        <v>13392.9</v>
      </c>
      <c r="V3140" s="9">
        <f t="shared" si="2154"/>
        <v>15000.048000000001</v>
      </c>
      <c r="W3140" s="7"/>
      <c r="X3140" s="2">
        <v>2016</v>
      </c>
      <c r="Y3140" s="2"/>
    </row>
    <row r="3141" spans="1:25" s="11" customFormat="1" ht="89.25" customHeight="1" outlineLevel="1" x14ac:dyDescent="0.25">
      <c r="A3141" s="1"/>
      <c r="B3141" s="2" t="s">
        <v>7330</v>
      </c>
      <c r="C3141" s="3" t="s">
        <v>83</v>
      </c>
      <c r="D3141" s="3" t="s">
        <v>4078</v>
      </c>
      <c r="E3141" s="3" t="s">
        <v>2071</v>
      </c>
      <c r="F3141" s="3" t="s">
        <v>4079</v>
      </c>
      <c r="G3141" s="3" t="s">
        <v>5594</v>
      </c>
      <c r="H3141" s="2" t="s">
        <v>694</v>
      </c>
      <c r="I3141" s="4">
        <v>0</v>
      </c>
      <c r="J3141" s="5">
        <v>710000000</v>
      </c>
      <c r="K3141" s="5" t="s">
        <v>89</v>
      </c>
      <c r="L3141" s="2" t="s">
        <v>754</v>
      </c>
      <c r="M3141" s="6" t="s">
        <v>787</v>
      </c>
      <c r="N3141" s="7" t="s">
        <v>92</v>
      </c>
      <c r="O3141" s="7" t="s">
        <v>93</v>
      </c>
      <c r="P3141" s="3" t="s">
        <v>673</v>
      </c>
      <c r="Q3141" s="8">
        <v>796</v>
      </c>
      <c r="R3141" s="7" t="s">
        <v>118</v>
      </c>
      <c r="S3141" s="9">
        <v>50</v>
      </c>
      <c r="T3141" s="9">
        <v>455.36</v>
      </c>
      <c r="U3141" s="9">
        <f t="shared" si="2199"/>
        <v>22768</v>
      </c>
      <c r="V3141" s="9">
        <f t="shared" si="2154"/>
        <v>25500.160000000003</v>
      </c>
      <c r="W3141" s="7"/>
      <c r="X3141" s="2">
        <v>2016</v>
      </c>
      <c r="Y3141" s="2"/>
    </row>
    <row r="3142" spans="1:25" s="11" customFormat="1" ht="89.25" customHeight="1" outlineLevel="1" x14ac:dyDescent="0.25">
      <c r="A3142" s="1"/>
      <c r="B3142" s="2" t="s">
        <v>7331</v>
      </c>
      <c r="C3142" s="3" t="s">
        <v>83</v>
      </c>
      <c r="D3142" s="3" t="s">
        <v>5595</v>
      </c>
      <c r="E3142" s="3" t="s">
        <v>3863</v>
      </c>
      <c r="F3142" s="3" t="s">
        <v>5596</v>
      </c>
      <c r="G3142" s="3"/>
      <c r="H3142" s="2" t="s">
        <v>694</v>
      </c>
      <c r="I3142" s="4">
        <v>0</v>
      </c>
      <c r="J3142" s="5">
        <v>710000000</v>
      </c>
      <c r="K3142" s="5" t="s">
        <v>89</v>
      </c>
      <c r="L3142" s="2" t="s">
        <v>754</v>
      </c>
      <c r="M3142" s="6" t="s">
        <v>787</v>
      </c>
      <c r="N3142" s="7" t="s">
        <v>92</v>
      </c>
      <c r="O3142" s="7" t="s">
        <v>93</v>
      </c>
      <c r="P3142" s="3" t="s">
        <v>673</v>
      </c>
      <c r="Q3142" s="8">
        <v>796</v>
      </c>
      <c r="R3142" s="7" t="s">
        <v>118</v>
      </c>
      <c r="S3142" s="9">
        <v>4</v>
      </c>
      <c r="T3142" s="9">
        <v>10714.29</v>
      </c>
      <c r="U3142" s="9">
        <f t="shared" si="2199"/>
        <v>42857.16</v>
      </c>
      <c r="V3142" s="9">
        <f t="shared" si="2154"/>
        <v>48000.01920000001</v>
      </c>
      <c r="W3142" s="7"/>
      <c r="X3142" s="2">
        <v>2016</v>
      </c>
      <c r="Y3142" s="2"/>
    </row>
    <row r="3143" spans="1:25" s="11" customFormat="1" ht="89.25" customHeight="1" outlineLevel="1" x14ac:dyDescent="0.25">
      <c r="A3143" s="1"/>
      <c r="B3143" s="2" t="s">
        <v>7332</v>
      </c>
      <c r="C3143" s="3" t="s">
        <v>83</v>
      </c>
      <c r="D3143" s="3" t="s">
        <v>5351</v>
      </c>
      <c r="E3143" s="3" t="s">
        <v>121</v>
      </c>
      <c r="F3143" s="3" t="s">
        <v>5352</v>
      </c>
      <c r="G3143" s="3" t="s">
        <v>5597</v>
      </c>
      <c r="H3143" s="2" t="s">
        <v>694</v>
      </c>
      <c r="I3143" s="4">
        <v>0</v>
      </c>
      <c r="J3143" s="5">
        <v>710000000</v>
      </c>
      <c r="K3143" s="5" t="s">
        <v>89</v>
      </c>
      <c r="L3143" s="2" t="s">
        <v>754</v>
      </c>
      <c r="M3143" s="6" t="s">
        <v>787</v>
      </c>
      <c r="N3143" s="7" t="s">
        <v>92</v>
      </c>
      <c r="O3143" s="7" t="s">
        <v>93</v>
      </c>
      <c r="P3143" s="3" t="s">
        <v>673</v>
      </c>
      <c r="Q3143" s="8" t="s">
        <v>3383</v>
      </c>
      <c r="R3143" s="7" t="s">
        <v>3384</v>
      </c>
      <c r="S3143" s="9">
        <v>48</v>
      </c>
      <c r="T3143" s="9">
        <v>758.04</v>
      </c>
      <c r="U3143" s="9">
        <f t="shared" si="2199"/>
        <v>36385.919999999998</v>
      </c>
      <c r="V3143" s="9">
        <f t="shared" si="2154"/>
        <v>40752.2304</v>
      </c>
      <c r="W3143" s="7"/>
      <c r="X3143" s="2">
        <v>2016</v>
      </c>
      <c r="Y3143" s="2"/>
    </row>
    <row r="3144" spans="1:25" s="11" customFormat="1" ht="89.25" customHeight="1" outlineLevel="1" x14ac:dyDescent="0.25">
      <c r="A3144" s="1"/>
      <c r="B3144" s="2" t="s">
        <v>7333</v>
      </c>
      <c r="C3144" s="3" t="s">
        <v>83</v>
      </c>
      <c r="D3144" s="3" t="s">
        <v>5598</v>
      </c>
      <c r="E3144" s="3" t="s">
        <v>5599</v>
      </c>
      <c r="F3144" s="3" t="s">
        <v>5600</v>
      </c>
      <c r="G3144" s="3" t="s">
        <v>5601</v>
      </c>
      <c r="H3144" s="2" t="s">
        <v>694</v>
      </c>
      <c r="I3144" s="4">
        <v>0</v>
      </c>
      <c r="J3144" s="5">
        <v>710000000</v>
      </c>
      <c r="K3144" s="5" t="s">
        <v>89</v>
      </c>
      <c r="L3144" s="2" t="s">
        <v>754</v>
      </c>
      <c r="M3144" s="6" t="s">
        <v>787</v>
      </c>
      <c r="N3144" s="7" t="s">
        <v>92</v>
      </c>
      <c r="O3144" s="7" t="s">
        <v>93</v>
      </c>
      <c r="P3144" s="3" t="s">
        <v>673</v>
      </c>
      <c r="Q3144" s="8" t="s">
        <v>3383</v>
      </c>
      <c r="R3144" s="7" t="s">
        <v>3384</v>
      </c>
      <c r="S3144" s="9">
        <v>24</v>
      </c>
      <c r="T3144" s="9">
        <v>714.29</v>
      </c>
      <c r="U3144" s="9">
        <f t="shared" si="2199"/>
        <v>17142.96</v>
      </c>
      <c r="V3144" s="9">
        <f t="shared" si="2154"/>
        <v>19200.1152</v>
      </c>
      <c r="W3144" s="7"/>
      <c r="X3144" s="2">
        <v>2016</v>
      </c>
      <c r="Y3144" s="2"/>
    </row>
    <row r="3145" spans="1:25" s="11" customFormat="1" ht="89.25" customHeight="1" outlineLevel="1" x14ac:dyDescent="0.25">
      <c r="A3145" s="1"/>
      <c r="B3145" s="2" t="s">
        <v>7334</v>
      </c>
      <c r="C3145" s="3" t="s">
        <v>83</v>
      </c>
      <c r="D3145" s="3" t="s">
        <v>5602</v>
      </c>
      <c r="E3145" s="3" t="s">
        <v>5603</v>
      </c>
      <c r="F3145" s="3" t="s">
        <v>5604</v>
      </c>
      <c r="G3145" s="3"/>
      <c r="H3145" s="2" t="s">
        <v>694</v>
      </c>
      <c r="I3145" s="4">
        <v>0</v>
      </c>
      <c r="J3145" s="5">
        <v>710000000</v>
      </c>
      <c r="K3145" s="5" t="s">
        <v>89</v>
      </c>
      <c r="L3145" s="2" t="s">
        <v>754</v>
      </c>
      <c r="M3145" s="6" t="s">
        <v>787</v>
      </c>
      <c r="N3145" s="7" t="s">
        <v>92</v>
      </c>
      <c r="O3145" s="7" t="s">
        <v>93</v>
      </c>
      <c r="P3145" s="3" t="s">
        <v>673</v>
      </c>
      <c r="Q3145" s="8" t="s">
        <v>2458</v>
      </c>
      <c r="R3145" s="7" t="s">
        <v>2459</v>
      </c>
      <c r="S3145" s="9">
        <v>5</v>
      </c>
      <c r="T3145" s="9">
        <v>23651.79</v>
      </c>
      <c r="U3145" s="9">
        <f>T3145*S3145</f>
        <v>118258.95000000001</v>
      </c>
      <c r="V3145" s="9">
        <f>U3145*1.12</f>
        <v>132450.02400000003</v>
      </c>
      <c r="W3145" s="7"/>
      <c r="X3145" s="2">
        <v>2016</v>
      </c>
      <c r="Y3145" s="2"/>
    </row>
    <row r="3146" spans="1:25" s="11" customFormat="1" ht="89.25" customHeight="1" outlineLevel="1" x14ac:dyDescent="0.25">
      <c r="A3146" s="1"/>
      <c r="B3146" s="2" t="s">
        <v>7335</v>
      </c>
      <c r="C3146" s="3" t="s">
        <v>83</v>
      </c>
      <c r="D3146" s="3" t="s">
        <v>4899</v>
      </c>
      <c r="E3146" s="3" t="s">
        <v>4900</v>
      </c>
      <c r="F3146" s="3" t="s">
        <v>4901</v>
      </c>
      <c r="G3146" s="3" t="s">
        <v>5605</v>
      </c>
      <c r="H3146" s="2" t="s">
        <v>694</v>
      </c>
      <c r="I3146" s="4">
        <v>0</v>
      </c>
      <c r="J3146" s="5">
        <v>710000000</v>
      </c>
      <c r="K3146" s="5" t="s">
        <v>89</v>
      </c>
      <c r="L3146" s="2" t="s">
        <v>754</v>
      </c>
      <c r="M3146" s="6" t="s">
        <v>787</v>
      </c>
      <c r="N3146" s="7" t="s">
        <v>92</v>
      </c>
      <c r="O3146" s="7" t="s">
        <v>93</v>
      </c>
      <c r="P3146" s="3" t="s">
        <v>673</v>
      </c>
      <c r="Q3146" s="8" t="s">
        <v>2458</v>
      </c>
      <c r="R3146" s="7" t="s">
        <v>2459</v>
      </c>
      <c r="S3146" s="9">
        <v>10</v>
      </c>
      <c r="T3146" s="9">
        <v>6464.29</v>
      </c>
      <c r="U3146" s="9">
        <f>T3146*S3146</f>
        <v>64642.9</v>
      </c>
      <c r="V3146" s="9">
        <f>U3146*1.12</f>
        <v>72400.04800000001</v>
      </c>
      <c r="W3146" s="7"/>
      <c r="X3146" s="2">
        <v>2016</v>
      </c>
      <c r="Y3146" s="2"/>
    </row>
    <row r="3147" spans="1:25" s="11" customFormat="1" ht="89.25" customHeight="1" outlineLevel="1" x14ac:dyDescent="0.25">
      <c r="A3147" s="1"/>
      <c r="B3147" s="2" t="s">
        <v>7336</v>
      </c>
      <c r="C3147" s="3" t="s">
        <v>83</v>
      </c>
      <c r="D3147" s="3" t="s">
        <v>5565</v>
      </c>
      <c r="E3147" s="3" t="s">
        <v>5566</v>
      </c>
      <c r="F3147" s="3" t="s">
        <v>5567</v>
      </c>
      <c r="G3147" s="3" t="s">
        <v>5606</v>
      </c>
      <c r="H3147" s="2" t="s">
        <v>694</v>
      </c>
      <c r="I3147" s="4">
        <v>0</v>
      </c>
      <c r="J3147" s="5">
        <v>710000000</v>
      </c>
      <c r="K3147" s="5" t="s">
        <v>89</v>
      </c>
      <c r="L3147" s="2" t="s">
        <v>754</v>
      </c>
      <c r="M3147" s="6" t="s">
        <v>91</v>
      </c>
      <c r="N3147" s="7" t="s">
        <v>92</v>
      </c>
      <c r="O3147" s="7" t="s">
        <v>93</v>
      </c>
      <c r="P3147" s="3" t="s">
        <v>673</v>
      </c>
      <c r="Q3147" s="8">
        <v>796</v>
      </c>
      <c r="R3147" s="7" t="s">
        <v>118</v>
      </c>
      <c r="S3147" s="9">
        <v>73</v>
      </c>
      <c r="T3147" s="9">
        <v>89</v>
      </c>
      <c r="U3147" s="9">
        <f t="shared" si="2199"/>
        <v>6497</v>
      </c>
      <c r="V3147" s="9">
        <f t="shared" si="2154"/>
        <v>7276.64</v>
      </c>
      <c r="W3147" s="7"/>
      <c r="X3147" s="2">
        <v>2016</v>
      </c>
      <c r="Y3147" s="2"/>
    </row>
    <row r="3148" spans="1:25" s="11" customFormat="1" ht="89.25" customHeight="1" outlineLevel="1" x14ac:dyDescent="0.25">
      <c r="A3148" s="1"/>
      <c r="B3148" s="2" t="s">
        <v>7337</v>
      </c>
      <c r="C3148" s="3" t="s">
        <v>83</v>
      </c>
      <c r="D3148" s="3" t="s">
        <v>5569</v>
      </c>
      <c r="E3148" s="3" t="s">
        <v>5566</v>
      </c>
      <c r="F3148" s="3" t="s">
        <v>5570</v>
      </c>
      <c r="G3148" s="3" t="s">
        <v>5607</v>
      </c>
      <c r="H3148" s="2" t="s">
        <v>694</v>
      </c>
      <c r="I3148" s="4">
        <v>0</v>
      </c>
      <c r="J3148" s="5">
        <v>710000000</v>
      </c>
      <c r="K3148" s="5" t="s">
        <v>89</v>
      </c>
      <c r="L3148" s="2" t="s">
        <v>754</v>
      </c>
      <c r="M3148" s="6" t="s">
        <v>91</v>
      </c>
      <c r="N3148" s="7" t="s">
        <v>92</v>
      </c>
      <c r="O3148" s="7" t="s">
        <v>93</v>
      </c>
      <c r="P3148" s="3" t="s">
        <v>673</v>
      </c>
      <c r="Q3148" s="8">
        <v>796</v>
      </c>
      <c r="R3148" s="7" t="s">
        <v>118</v>
      </c>
      <c r="S3148" s="9">
        <v>1</v>
      </c>
      <c r="T3148" s="9">
        <v>12277</v>
      </c>
      <c r="U3148" s="9">
        <f t="shared" si="2199"/>
        <v>12277</v>
      </c>
      <c r="V3148" s="9">
        <f t="shared" si="2154"/>
        <v>13750.240000000002</v>
      </c>
      <c r="W3148" s="7"/>
      <c r="X3148" s="2">
        <v>2016</v>
      </c>
      <c r="Y3148" s="2"/>
    </row>
    <row r="3149" spans="1:25" s="11" customFormat="1" ht="89.25" customHeight="1" outlineLevel="1" x14ac:dyDescent="0.25">
      <c r="A3149" s="1"/>
      <c r="B3149" s="2" t="s">
        <v>7338</v>
      </c>
      <c r="C3149" s="3" t="s">
        <v>83</v>
      </c>
      <c r="D3149" s="3" t="s">
        <v>5569</v>
      </c>
      <c r="E3149" s="3" t="s">
        <v>5566</v>
      </c>
      <c r="F3149" s="3" t="s">
        <v>5570</v>
      </c>
      <c r="G3149" s="3" t="s">
        <v>5608</v>
      </c>
      <c r="H3149" s="2" t="s">
        <v>694</v>
      </c>
      <c r="I3149" s="4">
        <v>0</v>
      </c>
      <c r="J3149" s="5">
        <v>710000000</v>
      </c>
      <c r="K3149" s="5" t="s">
        <v>89</v>
      </c>
      <c r="L3149" s="2" t="s">
        <v>754</v>
      </c>
      <c r="M3149" s="6" t="s">
        <v>91</v>
      </c>
      <c r="N3149" s="7" t="s">
        <v>92</v>
      </c>
      <c r="O3149" s="7" t="s">
        <v>93</v>
      </c>
      <c r="P3149" s="3" t="s">
        <v>673</v>
      </c>
      <c r="Q3149" s="8">
        <v>796</v>
      </c>
      <c r="R3149" s="7" t="s">
        <v>118</v>
      </c>
      <c r="S3149" s="9">
        <v>2</v>
      </c>
      <c r="T3149" s="9">
        <v>12277</v>
      </c>
      <c r="U3149" s="9">
        <f t="shared" si="2199"/>
        <v>24554</v>
      </c>
      <c r="V3149" s="9">
        <f t="shared" si="2154"/>
        <v>27500.480000000003</v>
      </c>
      <c r="W3149" s="7"/>
      <c r="X3149" s="2">
        <v>2016</v>
      </c>
      <c r="Y3149" s="2"/>
    </row>
    <row r="3150" spans="1:25" s="11" customFormat="1" ht="89.25" customHeight="1" outlineLevel="1" x14ac:dyDescent="0.25">
      <c r="A3150" s="1"/>
      <c r="B3150" s="2" t="s">
        <v>7339</v>
      </c>
      <c r="C3150" s="3" t="s">
        <v>83</v>
      </c>
      <c r="D3150" s="3" t="s">
        <v>5576</v>
      </c>
      <c r="E3150" s="3" t="s">
        <v>5566</v>
      </c>
      <c r="F3150" s="3" t="s">
        <v>5577</v>
      </c>
      <c r="G3150" s="3" t="s">
        <v>5609</v>
      </c>
      <c r="H3150" s="2" t="s">
        <v>694</v>
      </c>
      <c r="I3150" s="4">
        <v>0</v>
      </c>
      <c r="J3150" s="5">
        <v>710000000</v>
      </c>
      <c r="K3150" s="5" t="s">
        <v>89</v>
      </c>
      <c r="L3150" s="2" t="s">
        <v>754</v>
      </c>
      <c r="M3150" s="6" t="s">
        <v>91</v>
      </c>
      <c r="N3150" s="7" t="s">
        <v>92</v>
      </c>
      <c r="O3150" s="7" t="s">
        <v>93</v>
      </c>
      <c r="P3150" s="3" t="s">
        <v>673</v>
      </c>
      <c r="Q3150" s="8">
        <v>796</v>
      </c>
      <c r="R3150" s="7" t="s">
        <v>118</v>
      </c>
      <c r="S3150" s="9">
        <v>1</v>
      </c>
      <c r="T3150" s="9">
        <v>13527</v>
      </c>
      <c r="U3150" s="9">
        <f t="shared" si="2199"/>
        <v>13527</v>
      </c>
      <c r="V3150" s="9">
        <f t="shared" si="2154"/>
        <v>15150.240000000002</v>
      </c>
      <c r="W3150" s="7"/>
      <c r="X3150" s="2">
        <v>2016</v>
      </c>
      <c r="Y3150" s="2"/>
    </row>
    <row r="3151" spans="1:25" s="11" customFormat="1" ht="89.25" customHeight="1" outlineLevel="1" x14ac:dyDescent="0.25">
      <c r="A3151" s="1"/>
      <c r="B3151" s="2" t="s">
        <v>7340</v>
      </c>
      <c r="C3151" s="3" t="s">
        <v>83</v>
      </c>
      <c r="D3151" s="3" t="s">
        <v>5573</v>
      </c>
      <c r="E3151" s="3" t="s">
        <v>5566</v>
      </c>
      <c r="F3151" s="3" t="s">
        <v>5574</v>
      </c>
      <c r="G3151" s="3" t="s">
        <v>5610</v>
      </c>
      <c r="H3151" s="2" t="s">
        <v>694</v>
      </c>
      <c r="I3151" s="4">
        <v>0</v>
      </c>
      <c r="J3151" s="5">
        <v>710000000</v>
      </c>
      <c r="K3151" s="5" t="s">
        <v>89</v>
      </c>
      <c r="L3151" s="2" t="s">
        <v>754</v>
      </c>
      <c r="M3151" s="6" t="s">
        <v>91</v>
      </c>
      <c r="N3151" s="7" t="s">
        <v>92</v>
      </c>
      <c r="O3151" s="7" t="s">
        <v>93</v>
      </c>
      <c r="P3151" s="3" t="s">
        <v>673</v>
      </c>
      <c r="Q3151" s="8">
        <v>796</v>
      </c>
      <c r="R3151" s="7" t="s">
        <v>118</v>
      </c>
      <c r="S3151" s="9">
        <v>2</v>
      </c>
      <c r="T3151" s="9">
        <v>10893</v>
      </c>
      <c r="U3151" s="9">
        <f t="shared" si="2199"/>
        <v>21786</v>
      </c>
      <c r="V3151" s="9">
        <f t="shared" si="2154"/>
        <v>24400.320000000003</v>
      </c>
      <c r="W3151" s="7"/>
      <c r="X3151" s="2">
        <v>2016</v>
      </c>
      <c r="Y3151" s="2"/>
    </row>
    <row r="3152" spans="1:25" s="11" customFormat="1" ht="89.25" customHeight="1" outlineLevel="1" x14ac:dyDescent="0.25">
      <c r="A3152" s="1"/>
      <c r="B3152" s="2" t="s">
        <v>7341</v>
      </c>
      <c r="C3152" s="3" t="s">
        <v>83</v>
      </c>
      <c r="D3152" s="3" t="s">
        <v>5611</v>
      </c>
      <c r="E3152" s="3" t="s">
        <v>3536</v>
      </c>
      <c r="F3152" s="3" t="s">
        <v>5612</v>
      </c>
      <c r="G3152" s="3"/>
      <c r="H3152" s="2" t="s">
        <v>694</v>
      </c>
      <c r="I3152" s="4">
        <v>0</v>
      </c>
      <c r="J3152" s="5">
        <v>710000000</v>
      </c>
      <c r="K3152" s="5" t="s">
        <v>89</v>
      </c>
      <c r="L3152" s="2" t="s">
        <v>754</v>
      </c>
      <c r="M3152" s="6" t="s">
        <v>91</v>
      </c>
      <c r="N3152" s="7" t="s">
        <v>92</v>
      </c>
      <c r="O3152" s="7" t="s">
        <v>93</v>
      </c>
      <c r="P3152" s="3" t="s">
        <v>673</v>
      </c>
      <c r="Q3152" s="8">
        <v>796</v>
      </c>
      <c r="R3152" s="7" t="s">
        <v>118</v>
      </c>
      <c r="S3152" s="9">
        <v>5</v>
      </c>
      <c r="T3152" s="9">
        <v>1786</v>
      </c>
      <c r="U3152" s="9">
        <f t="shared" si="2199"/>
        <v>8930</v>
      </c>
      <c r="V3152" s="9">
        <f t="shared" si="2154"/>
        <v>10001.6</v>
      </c>
      <c r="W3152" s="7"/>
      <c r="X3152" s="2">
        <v>2016</v>
      </c>
      <c r="Y3152" s="2"/>
    </row>
    <row r="3153" spans="1:25" s="11" customFormat="1" ht="89.25" customHeight="1" outlineLevel="1" x14ac:dyDescent="0.25">
      <c r="A3153" s="1"/>
      <c r="B3153" s="2" t="s">
        <v>7342</v>
      </c>
      <c r="C3153" s="3" t="s">
        <v>83</v>
      </c>
      <c r="D3153" s="3" t="s">
        <v>5613</v>
      </c>
      <c r="E3153" s="3" t="s">
        <v>3574</v>
      </c>
      <c r="F3153" s="3" t="s">
        <v>5614</v>
      </c>
      <c r="G3153" s="3" t="s">
        <v>5615</v>
      </c>
      <c r="H3153" s="2" t="s">
        <v>694</v>
      </c>
      <c r="I3153" s="4">
        <v>0</v>
      </c>
      <c r="J3153" s="5">
        <v>710000000</v>
      </c>
      <c r="K3153" s="5" t="s">
        <v>89</v>
      </c>
      <c r="L3153" s="2" t="s">
        <v>754</v>
      </c>
      <c r="M3153" s="6" t="s">
        <v>91</v>
      </c>
      <c r="N3153" s="7" t="s">
        <v>92</v>
      </c>
      <c r="O3153" s="7" t="s">
        <v>93</v>
      </c>
      <c r="P3153" s="3" t="s">
        <v>673</v>
      </c>
      <c r="Q3153" s="8">
        <v>796</v>
      </c>
      <c r="R3153" s="7" t="s">
        <v>118</v>
      </c>
      <c r="S3153" s="9">
        <v>21</v>
      </c>
      <c r="T3153" s="9">
        <v>1786</v>
      </c>
      <c r="U3153" s="9">
        <f t="shared" ref="U3153:U3222" si="2202">T3153*S3153</f>
        <v>37506</v>
      </c>
      <c r="V3153" s="9">
        <f t="shared" si="2154"/>
        <v>42006.720000000001</v>
      </c>
      <c r="W3153" s="7"/>
      <c r="X3153" s="2">
        <v>2016</v>
      </c>
      <c r="Y3153" s="2"/>
    </row>
    <row r="3154" spans="1:25" s="11" customFormat="1" ht="89.25" customHeight="1" outlineLevel="1" x14ac:dyDescent="0.25">
      <c r="A3154" s="1"/>
      <c r="B3154" s="2" t="s">
        <v>7343</v>
      </c>
      <c r="C3154" s="3" t="s">
        <v>83</v>
      </c>
      <c r="D3154" s="3" t="s">
        <v>5616</v>
      </c>
      <c r="E3154" s="3" t="s">
        <v>5617</v>
      </c>
      <c r="F3154" s="3" t="s">
        <v>5618</v>
      </c>
      <c r="G3154" s="3" t="s">
        <v>5619</v>
      </c>
      <c r="H3154" s="2" t="s">
        <v>694</v>
      </c>
      <c r="I3154" s="4">
        <v>0</v>
      </c>
      <c r="J3154" s="5">
        <v>710000000</v>
      </c>
      <c r="K3154" s="5" t="s">
        <v>89</v>
      </c>
      <c r="L3154" s="2" t="s">
        <v>754</v>
      </c>
      <c r="M3154" s="6" t="s">
        <v>91</v>
      </c>
      <c r="N3154" s="7" t="s">
        <v>92</v>
      </c>
      <c r="O3154" s="7" t="s">
        <v>93</v>
      </c>
      <c r="P3154" s="3" t="s">
        <v>673</v>
      </c>
      <c r="Q3154" s="8">
        <v>796</v>
      </c>
      <c r="R3154" s="7" t="s">
        <v>118</v>
      </c>
      <c r="S3154" s="9">
        <v>5</v>
      </c>
      <c r="T3154" s="9">
        <v>3125</v>
      </c>
      <c r="U3154" s="9">
        <f t="shared" si="2202"/>
        <v>15625</v>
      </c>
      <c r="V3154" s="9">
        <f t="shared" si="2154"/>
        <v>17500</v>
      </c>
      <c r="W3154" s="7"/>
      <c r="X3154" s="2">
        <v>2016</v>
      </c>
      <c r="Y3154" s="2"/>
    </row>
    <row r="3155" spans="1:25" s="11" customFormat="1" ht="89.25" customHeight="1" outlineLevel="1" x14ac:dyDescent="0.25">
      <c r="A3155" s="1"/>
      <c r="B3155" s="2" t="s">
        <v>7344</v>
      </c>
      <c r="C3155" s="3" t="s">
        <v>83</v>
      </c>
      <c r="D3155" s="3" t="s">
        <v>5620</v>
      </c>
      <c r="E3155" s="3" t="s">
        <v>5621</v>
      </c>
      <c r="F3155" s="3" t="s">
        <v>5622</v>
      </c>
      <c r="G3155" s="3"/>
      <c r="H3155" s="2" t="s">
        <v>694</v>
      </c>
      <c r="I3155" s="4">
        <v>0</v>
      </c>
      <c r="J3155" s="5">
        <v>710000000</v>
      </c>
      <c r="K3155" s="5" t="s">
        <v>89</v>
      </c>
      <c r="L3155" s="2" t="s">
        <v>754</v>
      </c>
      <c r="M3155" s="6" t="s">
        <v>91</v>
      </c>
      <c r="N3155" s="7" t="s">
        <v>92</v>
      </c>
      <c r="O3155" s="7" t="s">
        <v>93</v>
      </c>
      <c r="P3155" s="3" t="s">
        <v>673</v>
      </c>
      <c r="Q3155" s="8">
        <v>796</v>
      </c>
      <c r="R3155" s="7" t="s">
        <v>118</v>
      </c>
      <c r="S3155" s="9">
        <v>10</v>
      </c>
      <c r="T3155" s="9">
        <v>2286</v>
      </c>
      <c r="U3155" s="9">
        <f t="shared" si="2202"/>
        <v>22860</v>
      </c>
      <c r="V3155" s="9">
        <f t="shared" si="2154"/>
        <v>25603.200000000001</v>
      </c>
      <c r="W3155" s="7"/>
      <c r="X3155" s="2">
        <v>2016</v>
      </c>
      <c r="Y3155" s="2"/>
    </row>
    <row r="3156" spans="1:25" s="11" customFormat="1" ht="89.25" customHeight="1" outlineLevel="1" x14ac:dyDescent="0.25">
      <c r="A3156" s="1"/>
      <c r="B3156" s="2" t="s">
        <v>7345</v>
      </c>
      <c r="C3156" s="3" t="s">
        <v>83</v>
      </c>
      <c r="D3156" s="3" t="s">
        <v>5087</v>
      </c>
      <c r="E3156" s="3" t="s">
        <v>5088</v>
      </c>
      <c r="F3156" s="3" t="s">
        <v>5089</v>
      </c>
      <c r="G3156" s="3" t="s">
        <v>5623</v>
      </c>
      <c r="H3156" s="2" t="s">
        <v>694</v>
      </c>
      <c r="I3156" s="4">
        <v>0</v>
      </c>
      <c r="J3156" s="5">
        <v>710000000</v>
      </c>
      <c r="K3156" s="5" t="s">
        <v>89</v>
      </c>
      <c r="L3156" s="2" t="s">
        <v>754</v>
      </c>
      <c r="M3156" s="6" t="s">
        <v>91</v>
      </c>
      <c r="N3156" s="7" t="s">
        <v>92</v>
      </c>
      <c r="O3156" s="7" t="s">
        <v>93</v>
      </c>
      <c r="P3156" s="3" t="s">
        <v>673</v>
      </c>
      <c r="Q3156" s="8">
        <v>796</v>
      </c>
      <c r="R3156" s="7" t="s">
        <v>118</v>
      </c>
      <c r="S3156" s="9">
        <v>4</v>
      </c>
      <c r="T3156" s="9">
        <v>625</v>
      </c>
      <c r="U3156" s="9">
        <f t="shared" si="2202"/>
        <v>2500</v>
      </c>
      <c r="V3156" s="9">
        <f t="shared" si="2154"/>
        <v>2800.0000000000005</v>
      </c>
      <c r="W3156" s="7"/>
      <c r="X3156" s="2">
        <v>2016</v>
      </c>
      <c r="Y3156" s="2"/>
    </row>
    <row r="3157" spans="1:25" s="11" customFormat="1" ht="89.25" customHeight="1" outlineLevel="1" x14ac:dyDescent="0.25">
      <c r="A3157" s="1"/>
      <c r="B3157" s="2" t="s">
        <v>7346</v>
      </c>
      <c r="C3157" s="3" t="s">
        <v>83</v>
      </c>
      <c r="D3157" s="3" t="s">
        <v>5624</v>
      </c>
      <c r="E3157" s="3" t="s">
        <v>910</v>
      </c>
      <c r="F3157" s="3" t="s">
        <v>5625</v>
      </c>
      <c r="G3157" s="3" t="s">
        <v>5626</v>
      </c>
      <c r="H3157" s="2" t="s">
        <v>694</v>
      </c>
      <c r="I3157" s="4">
        <v>0</v>
      </c>
      <c r="J3157" s="5">
        <v>710000000</v>
      </c>
      <c r="K3157" s="5" t="s">
        <v>89</v>
      </c>
      <c r="L3157" s="2" t="s">
        <v>754</v>
      </c>
      <c r="M3157" s="6" t="s">
        <v>91</v>
      </c>
      <c r="N3157" s="7" t="s">
        <v>92</v>
      </c>
      <c r="O3157" s="7" t="s">
        <v>93</v>
      </c>
      <c r="P3157" s="3" t="s">
        <v>673</v>
      </c>
      <c r="Q3157" s="8">
        <v>796</v>
      </c>
      <c r="R3157" s="7" t="s">
        <v>118</v>
      </c>
      <c r="S3157" s="9">
        <v>1</v>
      </c>
      <c r="T3157" s="9">
        <v>2679</v>
      </c>
      <c r="U3157" s="9">
        <f t="shared" si="2202"/>
        <v>2679</v>
      </c>
      <c r="V3157" s="9">
        <f t="shared" si="2154"/>
        <v>3000.4800000000005</v>
      </c>
      <c r="W3157" s="7"/>
      <c r="X3157" s="2">
        <v>2016</v>
      </c>
      <c r="Y3157" s="2"/>
    </row>
    <row r="3158" spans="1:25" s="11" customFormat="1" ht="89.25" customHeight="1" outlineLevel="1" x14ac:dyDescent="0.25">
      <c r="A3158" s="1"/>
      <c r="B3158" s="2" t="s">
        <v>7347</v>
      </c>
      <c r="C3158" s="3" t="s">
        <v>83</v>
      </c>
      <c r="D3158" s="3" t="s">
        <v>5627</v>
      </c>
      <c r="E3158" s="3" t="s">
        <v>5628</v>
      </c>
      <c r="F3158" s="3" t="s">
        <v>5629</v>
      </c>
      <c r="G3158" s="3" t="s">
        <v>5630</v>
      </c>
      <c r="H3158" s="2" t="s">
        <v>694</v>
      </c>
      <c r="I3158" s="4">
        <v>0</v>
      </c>
      <c r="J3158" s="5">
        <v>710000000</v>
      </c>
      <c r="K3158" s="5" t="s">
        <v>89</v>
      </c>
      <c r="L3158" s="2" t="s">
        <v>754</v>
      </c>
      <c r="M3158" s="6" t="s">
        <v>91</v>
      </c>
      <c r="N3158" s="7" t="s">
        <v>92</v>
      </c>
      <c r="O3158" s="7" t="s">
        <v>93</v>
      </c>
      <c r="P3158" s="3" t="s">
        <v>673</v>
      </c>
      <c r="Q3158" s="8">
        <v>796</v>
      </c>
      <c r="R3158" s="7" t="s">
        <v>118</v>
      </c>
      <c r="S3158" s="9">
        <v>4</v>
      </c>
      <c r="T3158" s="9">
        <v>134</v>
      </c>
      <c r="U3158" s="9">
        <f t="shared" si="2202"/>
        <v>536</v>
      </c>
      <c r="V3158" s="9">
        <f t="shared" si="2154"/>
        <v>600.32000000000005</v>
      </c>
      <c r="W3158" s="7"/>
      <c r="X3158" s="2">
        <v>2016</v>
      </c>
      <c r="Y3158" s="2"/>
    </row>
    <row r="3159" spans="1:25" s="11" customFormat="1" ht="89.25" customHeight="1" outlineLevel="1" x14ac:dyDescent="0.25">
      <c r="A3159" s="1"/>
      <c r="B3159" s="2" t="s">
        <v>7348</v>
      </c>
      <c r="C3159" s="3" t="s">
        <v>83</v>
      </c>
      <c r="D3159" s="3" t="s">
        <v>5631</v>
      </c>
      <c r="E3159" s="3" t="s">
        <v>5632</v>
      </c>
      <c r="F3159" s="3" t="s">
        <v>5633</v>
      </c>
      <c r="G3159" s="3" t="s">
        <v>5634</v>
      </c>
      <c r="H3159" s="2" t="s">
        <v>694</v>
      </c>
      <c r="I3159" s="4">
        <v>0</v>
      </c>
      <c r="J3159" s="5">
        <v>710000000</v>
      </c>
      <c r="K3159" s="5" t="s">
        <v>89</v>
      </c>
      <c r="L3159" s="2" t="s">
        <v>754</v>
      </c>
      <c r="M3159" s="6" t="s">
        <v>91</v>
      </c>
      <c r="N3159" s="7" t="s">
        <v>92</v>
      </c>
      <c r="O3159" s="7" t="s">
        <v>93</v>
      </c>
      <c r="P3159" s="3" t="s">
        <v>673</v>
      </c>
      <c r="Q3159" s="8">
        <v>796</v>
      </c>
      <c r="R3159" s="7" t="s">
        <v>118</v>
      </c>
      <c r="S3159" s="9">
        <v>10</v>
      </c>
      <c r="T3159" s="9">
        <v>107</v>
      </c>
      <c r="U3159" s="9">
        <f t="shared" si="2202"/>
        <v>1070</v>
      </c>
      <c r="V3159" s="9">
        <f t="shared" si="2154"/>
        <v>1198.4000000000001</v>
      </c>
      <c r="W3159" s="7"/>
      <c r="X3159" s="2">
        <v>2016</v>
      </c>
      <c r="Y3159" s="2"/>
    </row>
    <row r="3160" spans="1:25" s="11" customFormat="1" ht="89.25" customHeight="1" outlineLevel="1" x14ac:dyDescent="0.25">
      <c r="A3160" s="1"/>
      <c r="B3160" s="2" t="s">
        <v>7349</v>
      </c>
      <c r="C3160" s="3" t="s">
        <v>83</v>
      </c>
      <c r="D3160" s="3" t="s">
        <v>5635</v>
      </c>
      <c r="E3160" s="3" t="s">
        <v>5636</v>
      </c>
      <c r="F3160" s="3" t="s">
        <v>5637</v>
      </c>
      <c r="G3160" s="3" t="s">
        <v>5638</v>
      </c>
      <c r="H3160" s="2" t="s">
        <v>694</v>
      </c>
      <c r="I3160" s="4">
        <v>0</v>
      </c>
      <c r="J3160" s="5">
        <v>710000000</v>
      </c>
      <c r="K3160" s="5" t="s">
        <v>89</v>
      </c>
      <c r="L3160" s="2" t="s">
        <v>754</v>
      </c>
      <c r="M3160" s="6" t="s">
        <v>91</v>
      </c>
      <c r="N3160" s="7" t="s">
        <v>92</v>
      </c>
      <c r="O3160" s="7" t="s">
        <v>93</v>
      </c>
      <c r="P3160" s="3" t="s">
        <v>673</v>
      </c>
      <c r="Q3160" s="8">
        <v>796</v>
      </c>
      <c r="R3160" s="7" t="s">
        <v>118</v>
      </c>
      <c r="S3160" s="9">
        <v>20</v>
      </c>
      <c r="T3160" s="9">
        <v>179</v>
      </c>
      <c r="U3160" s="9">
        <f t="shared" si="2202"/>
        <v>3580</v>
      </c>
      <c r="V3160" s="9">
        <f t="shared" si="2154"/>
        <v>4009.6000000000004</v>
      </c>
      <c r="W3160" s="7"/>
      <c r="X3160" s="2">
        <v>2016</v>
      </c>
      <c r="Y3160" s="2"/>
    </row>
    <row r="3161" spans="1:25" s="11" customFormat="1" ht="89.25" customHeight="1" outlineLevel="1" x14ac:dyDescent="0.25">
      <c r="A3161" s="1"/>
      <c r="B3161" s="2" t="s">
        <v>7350</v>
      </c>
      <c r="C3161" s="3" t="s">
        <v>83</v>
      </c>
      <c r="D3161" s="3" t="s">
        <v>5639</v>
      </c>
      <c r="E3161" s="3" t="s">
        <v>5640</v>
      </c>
      <c r="F3161" s="3" t="s">
        <v>5633</v>
      </c>
      <c r="G3161" s="3" t="s">
        <v>5641</v>
      </c>
      <c r="H3161" s="2" t="s">
        <v>694</v>
      </c>
      <c r="I3161" s="4">
        <v>0</v>
      </c>
      <c r="J3161" s="5">
        <v>710000000</v>
      </c>
      <c r="K3161" s="5" t="s">
        <v>89</v>
      </c>
      <c r="L3161" s="2" t="s">
        <v>754</v>
      </c>
      <c r="M3161" s="6" t="s">
        <v>91</v>
      </c>
      <c r="N3161" s="7" t="s">
        <v>92</v>
      </c>
      <c r="O3161" s="7" t="s">
        <v>93</v>
      </c>
      <c r="P3161" s="3" t="s">
        <v>673</v>
      </c>
      <c r="Q3161" s="8">
        <v>796</v>
      </c>
      <c r="R3161" s="7" t="s">
        <v>118</v>
      </c>
      <c r="S3161" s="9">
        <v>4</v>
      </c>
      <c r="T3161" s="9">
        <v>54</v>
      </c>
      <c r="U3161" s="9">
        <f t="shared" si="2202"/>
        <v>216</v>
      </c>
      <c r="V3161" s="9">
        <f t="shared" si="2154"/>
        <v>241.92000000000002</v>
      </c>
      <c r="W3161" s="7"/>
      <c r="X3161" s="2">
        <v>2016</v>
      </c>
      <c r="Y3161" s="2"/>
    </row>
    <row r="3162" spans="1:25" s="11" customFormat="1" ht="89.25" customHeight="1" outlineLevel="1" x14ac:dyDescent="0.25">
      <c r="A3162" s="1"/>
      <c r="B3162" s="2" t="s">
        <v>7351</v>
      </c>
      <c r="C3162" s="3" t="s">
        <v>83</v>
      </c>
      <c r="D3162" s="3" t="s">
        <v>5642</v>
      </c>
      <c r="E3162" s="3" t="s">
        <v>5088</v>
      </c>
      <c r="F3162" s="3" t="s">
        <v>5625</v>
      </c>
      <c r="G3162" s="3" t="s">
        <v>5643</v>
      </c>
      <c r="H3162" s="2" t="s">
        <v>694</v>
      </c>
      <c r="I3162" s="4">
        <v>0</v>
      </c>
      <c r="J3162" s="5">
        <v>710000000</v>
      </c>
      <c r="K3162" s="5" t="s">
        <v>89</v>
      </c>
      <c r="L3162" s="2" t="s">
        <v>754</v>
      </c>
      <c r="M3162" s="6" t="s">
        <v>91</v>
      </c>
      <c r="N3162" s="7" t="s">
        <v>92</v>
      </c>
      <c r="O3162" s="7" t="s">
        <v>93</v>
      </c>
      <c r="P3162" s="3" t="s">
        <v>673</v>
      </c>
      <c r="Q3162" s="8">
        <v>796</v>
      </c>
      <c r="R3162" s="7" t="s">
        <v>118</v>
      </c>
      <c r="S3162" s="9">
        <v>3</v>
      </c>
      <c r="T3162" s="9">
        <v>268</v>
      </c>
      <c r="U3162" s="9">
        <f t="shared" si="2202"/>
        <v>804</v>
      </c>
      <c r="V3162" s="9">
        <f t="shared" si="2154"/>
        <v>900.48000000000013</v>
      </c>
      <c r="W3162" s="7"/>
      <c r="X3162" s="2">
        <v>2016</v>
      </c>
      <c r="Y3162" s="2"/>
    </row>
    <row r="3163" spans="1:25" s="11" customFormat="1" ht="89.25" customHeight="1" outlineLevel="1" x14ac:dyDescent="0.25">
      <c r="A3163" s="1"/>
      <c r="B3163" s="2" t="s">
        <v>7352</v>
      </c>
      <c r="C3163" s="3" t="s">
        <v>83</v>
      </c>
      <c r="D3163" s="3" t="s">
        <v>5644</v>
      </c>
      <c r="E3163" s="3" t="s">
        <v>5645</v>
      </c>
      <c r="F3163" s="3" t="s">
        <v>5646</v>
      </c>
      <c r="G3163" s="3" t="s">
        <v>5647</v>
      </c>
      <c r="H3163" s="2" t="s">
        <v>694</v>
      </c>
      <c r="I3163" s="4">
        <v>0</v>
      </c>
      <c r="J3163" s="5">
        <v>710000000</v>
      </c>
      <c r="K3163" s="5" t="s">
        <v>89</v>
      </c>
      <c r="L3163" s="2" t="s">
        <v>754</v>
      </c>
      <c r="M3163" s="6" t="s">
        <v>91</v>
      </c>
      <c r="N3163" s="7" t="s">
        <v>92</v>
      </c>
      <c r="O3163" s="7" t="s">
        <v>93</v>
      </c>
      <c r="P3163" s="3" t="s">
        <v>673</v>
      </c>
      <c r="Q3163" s="8">
        <v>796</v>
      </c>
      <c r="R3163" s="7" t="s">
        <v>118</v>
      </c>
      <c r="S3163" s="9">
        <v>500</v>
      </c>
      <c r="T3163" s="9">
        <v>49</v>
      </c>
      <c r="U3163" s="9">
        <f t="shared" si="2202"/>
        <v>24500</v>
      </c>
      <c r="V3163" s="9">
        <f t="shared" si="2154"/>
        <v>27440.000000000004</v>
      </c>
      <c r="W3163" s="7"/>
      <c r="X3163" s="2">
        <v>2016</v>
      </c>
      <c r="Y3163" s="2"/>
    </row>
    <row r="3164" spans="1:25" s="11" customFormat="1" ht="89.25" customHeight="1" outlineLevel="1" x14ac:dyDescent="0.25">
      <c r="A3164" s="1"/>
      <c r="B3164" s="2" t="s">
        <v>7353</v>
      </c>
      <c r="C3164" s="3" t="s">
        <v>83</v>
      </c>
      <c r="D3164" s="3" t="s">
        <v>5648</v>
      </c>
      <c r="E3164" s="3" t="s">
        <v>5649</v>
      </c>
      <c r="F3164" s="3" t="s">
        <v>5650</v>
      </c>
      <c r="G3164" s="3" t="s">
        <v>5651</v>
      </c>
      <c r="H3164" s="2" t="s">
        <v>694</v>
      </c>
      <c r="I3164" s="4">
        <v>0</v>
      </c>
      <c r="J3164" s="5">
        <v>710000000</v>
      </c>
      <c r="K3164" s="5" t="s">
        <v>89</v>
      </c>
      <c r="L3164" s="2" t="s">
        <v>754</v>
      </c>
      <c r="M3164" s="6" t="s">
        <v>91</v>
      </c>
      <c r="N3164" s="7" t="s">
        <v>92</v>
      </c>
      <c r="O3164" s="7" t="s">
        <v>93</v>
      </c>
      <c r="P3164" s="3" t="s">
        <v>673</v>
      </c>
      <c r="Q3164" s="8">
        <v>796</v>
      </c>
      <c r="R3164" s="7" t="s">
        <v>118</v>
      </c>
      <c r="S3164" s="9">
        <v>3</v>
      </c>
      <c r="T3164" s="9">
        <v>3428</v>
      </c>
      <c r="U3164" s="9">
        <f t="shared" si="2202"/>
        <v>10284</v>
      </c>
      <c r="V3164" s="9">
        <f t="shared" si="2154"/>
        <v>11518.080000000002</v>
      </c>
      <c r="W3164" s="7"/>
      <c r="X3164" s="2">
        <v>2016</v>
      </c>
      <c r="Y3164" s="2"/>
    </row>
    <row r="3165" spans="1:25" s="11" customFormat="1" ht="89.25" customHeight="1" outlineLevel="1" x14ac:dyDescent="0.25">
      <c r="A3165" s="1"/>
      <c r="B3165" s="2" t="s">
        <v>7354</v>
      </c>
      <c r="C3165" s="3" t="s">
        <v>83</v>
      </c>
      <c r="D3165" s="3" t="s">
        <v>5652</v>
      </c>
      <c r="E3165" s="3" t="s">
        <v>5653</v>
      </c>
      <c r="F3165" s="3" t="s">
        <v>5654</v>
      </c>
      <c r="G3165" s="3" t="s">
        <v>5655</v>
      </c>
      <c r="H3165" s="2" t="s">
        <v>694</v>
      </c>
      <c r="I3165" s="4">
        <v>0</v>
      </c>
      <c r="J3165" s="5">
        <v>710000000</v>
      </c>
      <c r="K3165" s="5" t="s">
        <v>89</v>
      </c>
      <c r="L3165" s="2" t="s">
        <v>754</v>
      </c>
      <c r="M3165" s="6" t="s">
        <v>91</v>
      </c>
      <c r="N3165" s="7" t="s">
        <v>92</v>
      </c>
      <c r="O3165" s="7" t="s">
        <v>93</v>
      </c>
      <c r="P3165" s="3" t="s">
        <v>673</v>
      </c>
      <c r="Q3165" s="8" t="s">
        <v>2458</v>
      </c>
      <c r="R3165" s="7" t="s">
        <v>2459</v>
      </c>
      <c r="S3165" s="9">
        <v>4</v>
      </c>
      <c r="T3165" s="9">
        <v>10714</v>
      </c>
      <c r="U3165" s="9">
        <f t="shared" si="2202"/>
        <v>42856</v>
      </c>
      <c r="V3165" s="9">
        <f t="shared" si="2154"/>
        <v>47998.720000000001</v>
      </c>
      <c r="W3165" s="7"/>
      <c r="X3165" s="2">
        <v>2016</v>
      </c>
      <c r="Y3165" s="2"/>
    </row>
    <row r="3166" spans="1:25" s="11" customFormat="1" ht="89.25" customHeight="1" outlineLevel="1" x14ac:dyDescent="0.25">
      <c r="A3166" s="1"/>
      <c r="B3166" s="2" t="s">
        <v>7355</v>
      </c>
      <c r="C3166" s="3" t="s">
        <v>83</v>
      </c>
      <c r="D3166" s="3" t="s">
        <v>5652</v>
      </c>
      <c r="E3166" s="3" t="s">
        <v>5653</v>
      </c>
      <c r="F3166" s="3" t="s">
        <v>5654</v>
      </c>
      <c r="G3166" s="3" t="s">
        <v>5656</v>
      </c>
      <c r="H3166" s="2" t="s">
        <v>694</v>
      </c>
      <c r="I3166" s="4">
        <v>0</v>
      </c>
      <c r="J3166" s="5">
        <v>710000000</v>
      </c>
      <c r="K3166" s="5" t="s">
        <v>89</v>
      </c>
      <c r="L3166" s="2" t="s">
        <v>754</v>
      </c>
      <c r="M3166" s="6" t="s">
        <v>91</v>
      </c>
      <c r="N3166" s="7" t="s">
        <v>92</v>
      </c>
      <c r="O3166" s="7" t="s">
        <v>93</v>
      </c>
      <c r="P3166" s="3" t="s">
        <v>673</v>
      </c>
      <c r="Q3166" s="8" t="s">
        <v>2458</v>
      </c>
      <c r="R3166" s="7" t="s">
        <v>2459</v>
      </c>
      <c r="S3166" s="9">
        <v>4</v>
      </c>
      <c r="T3166" s="9">
        <v>10714</v>
      </c>
      <c r="U3166" s="9">
        <f t="shared" si="2202"/>
        <v>42856</v>
      </c>
      <c r="V3166" s="9">
        <f t="shared" si="2154"/>
        <v>47998.720000000001</v>
      </c>
      <c r="W3166" s="7"/>
      <c r="X3166" s="2">
        <v>2016</v>
      </c>
      <c r="Y3166" s="2"/>
    </row>
    <row r="3167" spans="1:25" s="11" customFormat="1" ht="89.25" customHeight="1" outlineLevel="1" x14ac:dyDescent="0.25">
      <c r="A3167" s="1"/>
      <c r="B3167" s="2" t="s">
        <v>7356</v>
      </c>
      <c r="C3167" s="3" t="s">
        <v>83</v>
      </c>
      <c r="D3167" s="3" t="s">
        <v>5657</v>
      </c>
      <c r="E3167" s="3" t="s">
        <v>3539</v>
      </c>
      <c r="F3167" s="3" t="s">
        <v>5658</v>
      </c>
      <c r="G3167" s="3" t="s">
        <v>5659</v>
      </c>
      <c r="H3167" s="2" t="s">
        <v>694</v>
      </c>
      <c r="I3167" s="4">
        <v>0</v>
      </c>
      <c r="J3167" s="5">
        <v>710000000</v>
      </c>
      <c r="K3167" s="5" t="s">
        <v>89</v>
      </c>
      <c r="L3167" s="2" t="s">
        <v>754</v>
      </c>
      <c r="M3167" s="6" t="s">
        <v>91</v>
      </c>
      <c r="N3167" s="7" t="s">
        <v>92</v>
      </c>
      <c r="O3167" s="7" t="s">
        <v>93</v>
      </c>
      <c r="P3167" s="3" t="s">
        <v>673</v>
      </c>
      <c r="Q3167" s="8" t="s">
        <v>2458</v>
      </c>
      <c r="R3167" s="7" t="s">
        <v>2459</v>
      </c>
      <c r="S3167" s="9">
        <v>4</v>
      </c>
      <c r="T3167" s="9">
        <v>6696</v>
      </c>
      <c r="U3167" s="9">
        <f t="shared" si="2202"/>
        <v>26784</v>
      </c>
      <c r="V3167" s="9">
        <f t="shared" si="2154"/>
        <v>29998.080000000002</v>
      </c>
      <c r="W3167" s="7"/>
      <c r="X3167" s="2">
        <v>2016</v>
      </c>
      <c r="Y3167" s="2"/>
    </row>
    <row r="3168" spans="1:25" s="11" customFormat="1" ht="89.25" customHeight="1" outlineLevel="1" x14ac:dyDescent="0.25">
      <c r="A3168" s="1"/>
      <c r="B3168" s="2" t="s">
        <v>7357</v>
      </c>
      <c r="C3168" s="3" t="s">
        <v>83</v>
      </c>
      <c r="D3168" s="3" t="s">
        <v>5660</v>
      </c>
      <c r="E3168" s="3" t="s">
        <v>5661</v>
      </c>
      <c r="F3168" s="3" t="s">
        <v>5662</v>
      </c>
      <c r="G3168" s="3" t="s">
        <v>5663</v>
      </c>
      <c r="H3168" s="2" t="s">
        <v>694</v>
      </c>
      <c r="I3168" s="4">
        <v>0</v>
      </c>
      <c r="J3168" s="5">
        <v>710000000</v>
      </c>
      <c r="K3168" s="5" t="s">
        <v>89</v>
      </c>
      <c r="L3168" s="2" t="s">
        <v>754</v>
      </c>
      <c r="M3168" s="6" t="s">
        <v>787</v>
      </c>
      <c r="N3168" s="7" t="s">
        <v>92</v>
      </c>
      <c r="O3168" s="7" t="s">
        <v>93</v>
      </c>
      <c r="P3168" s="3" t="s">
        <v>673</v>
      </c>
      <c r="Q3168" s="8" t="s">
        <v>5664</v>
      </c>
      <c r="R3168" s="7" t="s">
        <v>716</v>
      </c>
      <c r="S3168" s="9">
        <v>2.14</v>
      </c>
      <c r="T3168" s="9">
        <v>14895</v>
      </c>
      <c r="U3168" s="9">
        <f t="shared" si="2202"/>
        <v>31875.300000000003</v>
      </c>
      <c r="V3168" s="9">
        <f t="shared" si="2154"/>
        <v>35700.33600000001</v>
      </c>
      <c r="W3168" s="7"/>
      <c r="X3168" s="2">
        <v>2016</v>
      </c>
      <c r="Y3168" s="2"/>
    </row>
    <row r="3169" spans="1:25" s="11" customFormat="1" ht="89.25" customHeight="1" outlineLevel="1" x14ac:dyDescent="0.25">
      <c r="A3169" s="1"/>
      <c r="B3169" s="2" t="s">
        <v>7358</v>
      </c>
      <c r="C3169" s="3" t="s">
        <v>83</v>
      </c>
      <c r="D3169" s="3" t="s">
        <v>5660</v>
      </c>
      <c r="E3169" s="3" t="s">
        <v>5661</v>
      </c>
      <c r="F3169" s="3" t="s">
        <v>5662</v>
      </c>
      <c r="G3169" s="3" t="s">
        <v>5665</v>
      </c>
      <c r="H3169" s="2" t="s">
        <v>694</v>
      </c>
      <c r="I3169" s="4">
        <v>0</v>
      </c>
      <c r="J3169" s="5">
        <v>710000000</v>
      </c>
      <c r="K3169" s="5" t="s">
        <v>89</v>
      </c>
      <c r="L3169" s="2" t="s">
        <v>754</v>
      </c>
      <c r="M3169" s="6" t="s">
        <v>787</v>
      </c>
      <c r="N3169" s="7" t="s">
        <v>92</v>
      </c>
      <c r="O3169" s="7" t="s">
        <v>93</v>
      </c>
      <c r="P3169" s="3" t="s">
        <v>673</v>
      </c>
      <c r="Q3169" s="8" t="s">
        <v>5664</v>
      </c>
      <c r="R3169" s="7" t="s">
        <v>716</v>
      </c>
      <c r="S3169" s="9">
        <v>1.43</v>
      </c>
      <c r="T3169" s="9">
        <v>6618</v>
      </c>
      <c r="U3169" s="9">
        <f t="shared" si="2202"/>
        <v>9463.74</v>
      </c>
      <c r="V3169" s="9">
        <f t="shared" si="2154"/>
        <v>10599.388800000001</v>
      </c>
      <c r="W3169" s="7"/>
      <c r="X3169" s="2">
        <v>2016</v>
      </c>
      <c r="Y3169" s="2"/>
    </row>
    <row r="3170" spans="1:25" s="11" customFormat="1" ht="89.25" customHeight="1" outlineLevel="1" x14ac:dyDescent="0.25">
      <c r="A3170" s="1"/>
      <c r="B3170" s="2" t="s">
        <v>7359</v>
      </c>
      <c r="C3170" s="3" t="s">
        <v>83</v>
      </c>
      <c r="D3170" s="3" t="s">
        <v>5666</v>
      </c>
      <c r="E3170" s="3" t="s">
        <v>5667</v>
      </c>
      <c r="F3170" s="3" t="s">
        <v>5668</v>
      </c>
      <c r="G3170" s="3" t="s">
        <v>5669</v>
      </c>
      <c r="H3170" s="2" t="s">
        <v>694</v>
      </c>
      <c r="I3170" s="4">
        <v>0</v>
      </c>
      <c r="J3170" s="5">
        <v>710000000</v>
      </c>
      <c r="K3170" s="5" t="s">
        <v>89</v>
      </c>
      <c r="L3170" s="2" t="s">
        <v>754</v>
      </c>
      <c r="M3170" s="6" t="s">
        <v>787</v>
      </c>
      <c r="N3170" s="7" t="s">
        <v>92</v>
      </c>
      <c r="O3170" s="7" t="s">
        <v>93</v>
      </c>
      <c r="P3170" s="3" t="s">
        <v>673</v>
      </c>
      <c r="Q3170" s="8" t="s">
        <v>522</v>
      </c>
      <c r="R3170" s="7" t="s">
        <v>523</v>
      </c>
      <c r="S3170" s="9">
        <v>10</v>
      </c>
      <c r="T3170" s="9">
        <v>2679</v>
      </c>
      <c r="U3170" s="9">
        <f t="shared" si="2202"/>
        <v>26790</v>
      </c>
      <c r="V3170" s="9">
        <f t="shared" ref="V3170:V3239" si="2203">U3170*1.12</f>
        <v>30004.800000000003</v>
      </c>
      <c r="W3170" s="7"/>
      <c r="X3170" s="2">
        <v>2016</v>
      </c>
      <c r="Y3170" s="2"/>
    </row>
    <row r="3171" spans="1:25" s="11" customFormat="1" ht="89.25" customHeight="1" outlineLevel="1" x14ac:dyDescent="0.25">
      <c r="A3171" s="1"/>
      <c r="B3171" s="2" t="s">
        <v>7360</v>
      </c>
      <c r="C3171" s="3" t="s">
        <v>83</v>
      </c>
      <c r="D3171" s="3" t="s">
        <v>5666</v>
      </c>
      <c r="E3171" s="3" t="s">
        <v>5667</v>
      </c>
      <c r="F3171" s="3" t="s">
        <v>5668</v>
      </c>
      <c r="G3171" s="3" t="s">
        <v>5670</v>
      </c>
      <c r="H3171" s="2" t="s">
        <v>694</v>
      </c>
      <c r="I3171" s="4">
        <v>0</v>
      </c>
      <c r="J3171" s="5">
        <v>710000000</v>
      </c>
      <c r="K3171" s="5" t="s">
        <v>89</v>
      </c>
      <c r="L3171" s="2" t="s">
        <v>754</v>
      </c>
      <c r="M3171" s="6" t="s">
        <v>787</v>
      </c>
      <c r="N3171" s="7" t="s">
        <v>92</v>
      </c>
      <c r="O3171" s="7" t="s">
        <v>93</v>
      </c>
      <c r="P3171" s="3" t="s">
        <v>673</v>
      </c>
      <c r="Q3171" s="8" t="s">
        <v>522</v>
      </c>
      <c r="R3171" s="7" t="s">
        <v>523</v>
      </c>
      <c r="S3171" s="9">
        <v>10</v>
      </c>
      <c r="T3171" s="9">
        <v>1454</v>
      </c>
      <c r="U3171" s="9">
        <f t="shared" si="2202"/>
        <v>14540</v>
      </c>
      <c r="V3171" s="9">
        <f t="shared" si="2203"/>
        <v>16284.800000000001</v>
      </c>
      <c r="W3171" s="7"/>
      <c r="X3171" s="2">
        <v>2016</v>
      </c>
      <c r="Y3171" s="2"/>
    </row>
    <row r="3172" spans="1:25" s="11" customFormat="1" ht="89.25" customHeight="1" outlineLevel="1" x14ac:dyDescent="0.25">
      <c r="A3172" s="1"/>
      <c r="B3172" s="2" t="s">
        <v>7361</v>
      </c>
      <c r="C3172" s="3" t="s">
        <v>83</v>
      </c>
      <c r="D3172" s="3" t="s">
        <v>5666</v>
      </c>
      <c r="E3172" s="3" t="s">
        <v>5667</v>
      </c>
      <c r="F3172" s="3" t="s">
        <v>5668</v>
      </c>
      <c r="G3172" s="3" t="s">
        <v>5671</v>
      </c>
      <c r="H3172" s="2" t="s">
        <v>694</v>
      </c>
      <c r="I3172" s="4">
        <v>0</v>
      </c>
      <c r="J3172" s="5">
        <v>710000000</v>
      </c>
      <c r="K3172" s="5" t="s">
        <v>89</v>
      </c>
      <c r="L3172" s="2" t="s">
        <v>754</v>
      </c>
      <c r="M3172" s="6" t="s">
        <v>787</v>
      </c>
      <c r="N3172" s="7" t="s">
        <v>92</v>
      </c>
      <c r="O3172" s="7" t="s">
        <v>93</v>
      </c>
      <c r="P3172" s="3" t="s">
        <v>673</v>
      </c>
      <c r="Q3172" s="8" t="s">
        <v>522</v>
      </c>
      <c r="R3172" s="7" t="s">
        <v>523</v>
      </c>
      <c r="S3172" s="9">
        <f>23+4</f>
        <v>27</v>
      </c>
      <c r="T3172" s="9">
        <v>4063</v>
      </c>
      <c r="U3172" s="9">
        <f t="shared" si="2202"/>
        <v>109701</v>
      </c>
      <c r="V3172" s="9">
        <f t="shared" si="2203"/>
        <v>122865.12000000001</v>
      </c>
      <c r="W3172" s="7"/>
      <c r="X3172" s="2">
        <v>2016</v>
      </c>
      <c r="Y3172" s="2"/>
    </row>
    <row r="3173" spans="1:25" s="11" customFormat="1" ht="89.25" customHeight="1" outlineLevel="1" x14ac:dyDescent="0.25">
      <c r="A3173" s="1"/>
      <c r="B3173" s="2" t="s">
        <v>7362</v>
      </c>
      <c r="C3173" s="3" t="s">
        <v>83</v>
      </c>
      <c r="D3173" s="3" t="s">
        <v>5666</v>
      </c>
      <c r="E3173" s="3" t="s">
        <v>5667</v>
      </c>
      <c r="F3173" s="3" t="s">
        <v>5668</v>
      </c>
      <c r="G3173" s="3" t="s">
        <v>5672</v>
      </c>
      <c r="H3173" s="2" t="s">
        <v>694</v>
      </c>
      <c r="I3173" s="4">
        <v>0</v>
      </c>
      <c r="J3173" s="5">
        <v>710000000</v>
      </c>
      <c r="K3173" s="5" t="s">
        <v>89</v>
      </c>
      <c r="L3173" s="2" t="s">
        <v>754</v>
      </c>
      <c r="M3173" s="6" t="s">
        <v>787</v>
      </c>
      <c r="N3173" s="7" t="s">
        <v>92</v>
      </c>
      <c r="O3173" s="7" t="s">
        <v>93</v>
      </c>
      <c r="P3173" s="3" t="s">
        <v>673</v>
      </c>
      <c r="Q3173" s="8" t="s">
        <v>522</v>
      </c>
      <c r="R3173" s="7" t="s">
        <v>523</v>
      </c>
      <c r="S3173" s="9">
        <v>12</v>
      </c>
      <c r="T3173" s="9">
        <v>654</v>
      </c>
      <c r="U3173" s="9">
        <f t="shared" si="2202"/>
        <v>7848</v>
      </c>
      <c r="V3173" s="9">
        <f t="shared" si="2203"/>
        <v>8789.76</v>
      </c>
      <c r="W3173" s="7"/>
      <c r="X3173" s="2">
        <v>2016</v>
      </c>
      <c r="Y3173" s="2"/>
    </row>
    <row r="3174" spans="1:25" s="11" customFormat="1" ht="89.25" customHeight="1" outlineLevel="1" x14ac:dyDescent="0.25">
      <c r="A3174" s="1"/>
      <c r="B3174" s="2" t="s">
        <v>7363</v>
      </c>
      <c r="C3174" s="3" t="s">
        <v>83</v>
      </c>
      <c r="D3174" s="3" t="s">
        <v>5666</v>
      </c>
      <c r="E3174" s="3" t="s">
        <v>5667</v>
      </c>
      <c r="F3174" s="3" t="s">
        <v>5668</v>
      </c>
      <c r="G3174" s="3" t="s">
        <v>5673</v>
      </c>
      <c r="H3174" s="2" t="s">
        <v>694</v>
      </c>
      <c r="I3174" s="4">
        <v>0</v>
      </c>
      <c r="J3174" s="5">
        <v>710000000</v>
      </c>
      <c r="K3174" s="5" t="s">
        <v>89</v>
      </c>
      <c r="L3174" s="2" t="s">
        <v>754</v>
      </c>
      <c r="M3174" s="6" t="s">
        <v>787</v>
      </c>
      <c r="N3174" s="7" t="s">
        <v>92</v>
      </c>
      <c r="O3174" s="7" t="s">
        <v>93</v>
      </c>
      <c r="P3174" s="3" t="s">
        <v>673</v>
      </c>
      <c r="Q3174" s="8" t="s">
        <v>522</v>
      </c>
      <c r="R3174" s="7" t="s">
        <v>523</v>
      </c>
      <c r="S3174" s="9">
        <v>100</v>
      </c>
      <c r="T3174" s="9">
        <v>893</v>
      </c>
      <c r="U3174" s="9">
        <f t="shared" si="2202"/>
        <v>89300</v>
      </c>
      <c r="V3174" s="9">
        <f t="shared" si="2203"/>
        <v>100016.00000000001</v>
      </c>
      <c r="W3174" s="7"/>
      <c r="X3174" s="2">
        <v>2016</v>
      </c>
      <c r="Y3174" s="2"/>
    </row>
    <row r="3175" spans="1:25" s="11" customFormat="1" ht="89.25" customHeight="1" outlineLevel="1" x14ac:dyDescent="0.25">
      <c r="A3175" s="1"/>
      <c r="B3175" s="2" t="s">
        <v>7364</v>
      </c>
      <c r="C3175" s="3" t="s">
        <v>83</v>
      </c>
      <c r="D3175" s="3" t="s">
        <v>5674</v>
      </c>
      <c r="E3175" s="3" t="s">
        <v>5667</v>
      </c>
      <c r="F3175" s="3" t="s">
        <v>5675</v>
      </c>
      <c r="G3175" s="3" t="s">
        <v>5676</v>
      </c>
      <c r="H3175" s="2" t="s">
        <v>694</v>
      </c>
      <c r="I3175" s="4">
        <v>0</v>
      </c>
      <c r="J3175" s="5">
        <v>710000000</v>
      </c>
      <c r="K3175" s="5" t="s">
        <v>89</v>
      </c>
      <c r="L3175" s="2" t="s">
        <v>754</v>
      </c>
      <c r="M3175" s="6" t="s">
        <v>787</v>
      </c>
      <c r="N3175" s="7" t="s">
        <v>92</v>
      </c>
      <c r="O3175" s="7" t="s">
        <v>93</v>
      </c>
      <c r="P3175" s="3" t="s">
        <v>673</v>
      </c>
      <c r="Q3175" s="8" t="s">
        <v>522</v>
      </c>
      <c r="R3175" s="7" t="s">
        <v>523</v>
      </c>
      <c r="S3175" s="9">
        <v>10</v>
      </c>
      <c r="T3175" s="9">
        <v>404</v>
      </c>
      <c r="U3175" s="9">
        <f t="shared" si="2202"/>
        <v>4040</v>
      </c>
      <c r="V3175" s="9">
        <f t="shared" si="2203"/>
        <v>4524.8</v>
      </c>
      <c r="W3175" s="7"/>
      <c r="X3175" s="2">
        <v>2016</v>
      </c>
      <c r="Y3175" s="2"/>
    </row>
    <row r="3176" spans="1:25" s="11" customFormat="1" ht="89.25" customHeight="1" outlineLevel="1" x14ac:dyDescent="0.25">
      <c r="A3176" s="1"/>
      <c r="B3176" s="2" t="s">
        <v>7365</v>
      </c>
      <c r="C3176" s="3" t="s">
        <v>83</v>
      </c>
      <c r="D3176" s="3" t="s">
        <v>5677</v>
      </c>
      <c r="E3176" s="3" t="s">
        <v>5667</v>
      </c>
      <c r="F3176" s="3" t="s">
        <v>5678</v>
      </c>
      <c r="G3176" s="3"/>
      <c r="H3176" s="2" t="s">
        <v>694</v>
      </c>
      <c r="I3176" s="4">
        <v>0</v>
      </c>
      <c r="J3176" s="5">
        <v>710000000</v>
      </c>
      <c r="K3176" s="5" t="s">
        <v>89</v>
      </c>
      <c r="L3176" s="2" t="s">
        <v>754</v>
      </c>
      <c r="M3176" s="6" t="s">
        <v>787</v>
      </c>
      <c r="N3176" s="7" t="s">
        <v>92</v>
      </c>
      <c r="O3176" s="7" t="s">
        <v>93</v>
      </c>
      <c r="P3176" s="3" t="s">
        <v>673</v>
      </c>
      <c r="Q3176" s="8" t="s">
        <v>544</v>
      </c>
      <c r="R3176" s="7" t="s">
        <v>111</v>
      </c>
      <c r="S3176" s="9">
        <v>50</v>
      </c>
      <c r="T3176" s="9">
        <v>1518</v>
      </c>
      <c r="U3176" s="9">
        <f t="shared" si="2202"/>
        <v>75900</v>
      </c>
      <c r="V3176" s="9">
        <f t="shared" si="2203"/>
        <v>85008.000000000015</v>
      </c>
      <c r="W3176" s="7"/>
      <c r="X3176" s="2">
        <v>2016</v>
      </c>
      <c r="Y3176" s="2"/>
    </row>
    <row r="3177" spans="1:25" s="11" customFormat="1" ht="89.25" customHeight="1" outlineLevel="1" x14ac:dyDescent="0.25">
      <c r="A3177" s="1"/>
      <c r="B3177" s="2" t="s">
        <v>7366</v>
      </c>
      <c r="C3177" s="3" t="s">
        <v>83</v>
      </c>
      <c r="D3177" s="3" t="s">
        <v>5679</v>
      </c>
      <c r="E3177" s="3" t="s">
        <v>5680</v>
      </c>
      <c r="F3177" s="3" t="s">
        <v>5290</v>
      </c>
      <c r="G3177" s="3" t="s">
        <v>5681</v>
      </c>
      <c r="H3177" s="2" t="s">
        <v>694</v>
      </c>
      <c r="I3177" s="4">
        <v>0</v>
      </c>
      <c r="J3177" s="5">
        <v>710000000</v>
      </c>
      <c r="K3177" s="5" t="s">
        <v>89</v>
      </c>
      <c r="L3177" s="2" t="s">
        <v>754</v>
      </c>
      <c r="M3177" s="6" t="s">
        <v>787</v>
      </c>
      <c r="N3177" s="7" t="s">
        <v>92</v>
      </c>
      <c r="O3177" s="7" t="s">
        <v>93</v>
      </c>
      <c r="P3177" s="3" t="s">
        <v>673</v>
      </c>
      <c r="Q3177" s="8" t="s">
        <v>522</v>
      </c>
      <c r="R3177" s="7" t="s">
        <v>523</v>
      </c>
      <c r="S3177" s="9">
        <v>13</v>
      </c>
      <c r="T3177" s="9">
        <v>841</v>
      </c>
      <c r="U3177" s="9">
        <f t="shared" si="2202"/>
        <v>10933</v>
      </c>
      <c r="V3177" s="9">
        <f t="shared" si="2203"/>
        <v>12244.960000000001</v>
      </c>
      <c r="W3177" s="7"/>
      <c r="X3177" s="2">
        <v>2016</v>
      </c>
      <c r="Y3177" s="2"/>
    </row>
    <row r="3178" spans="1:25" s="11" customFormat="1" ht="89.25" customHeight="1" outlineLevel="1" x14ac:dyDescent="0.25">
      <c r="A3178" s="1"/>
      <c r="B3178" s="2" t="s">
        <v>7367</v>
      </c>
      <c r="C3178" s="3" t="s">
        <v>83</v>
      </c>
      <c r="D3178" s="3" t="s">
        <v>5682</v>
      </c>
      <c r="E3178" s="3" t="s">
        <v>5683</v>
      </c>
      <c r="F3178" s="3" t="s">
        <v>3170</v>
      </c>
      <c r="G3178" s="3" t="s">
        <v>5684</v>
      </c>
      <c r="H3178" s="2" t="s">
        <v>694</v>
      </c>
      <c r="I3178" s="4">
        <v>0</v>
      </c>
      <c r="J3178" s="5">
        <v>710000000</v>
      </c>
      <c r="K3178" s="5" t="s">
        <v>89</v>
      </c>
      <c r="L3178" s="2" t="s">
        <v>754</v>
      </c>
      <c r="M3178" s="6" t="s">
        <v>787</v>
      </c>
      <c r="N3178" s="7" t="s">
        <v>92</v>
      </c>
      <c r="O3178" s="7" t="s">
        <v>93</v>
      </c>
      <c r="P3178" s="3" t="s">
        <v>673</v>
      </c>
      <c r="Q3178" s="8" t="s">
        <v>522</v>
      </c>
      <c r="R3178" s="7" t="s">
        <v>523</v>
      </c>
      <c r="S3178" s="9">
        <v>50</v>
      </c>
      <c r="T3178" s="9">
        <v>804</v>
      </c>
      <c r="U3178" s="9">
        <f t="shared" si="2202"/>
        <v>40200</v>
      </c>
      <c r="V3178" s="9">
        <f t="shared" si="2203"/>
        <v>45024.000000000007</v>
      </c>
      <c r="W3178" s="7"/>
      <c r="X3178" s="2">
        <v>2016</v>
      </c>
      <c r="Y3178" s="2"/>
    </row>
    <row r="3179" spans="1:25" s="11" customFormat="1" ht="89.25" customHeight="1" outlineLevel="1" x14ac:dyDescent="0.25">
      <c r="A3179" s="1"/>
      <c r="B3179" s="2" t="s">
        <v>7368</v>
      </c>
      <c r="C3179" s="3" t="s">
        <v>83</v>
      </c>
      <c r="D3179" s="3" t="s">
        <v>5685</v>
      </c>
      <c r="E3179" s="3" t="s">
        <v>5686</v>
      </c>
      <c r="F3179" s="3" t="s">
        <v>5687</v>
      </c>
      <c r="G3179" s="3" t="s">
        <v>5688</v>
      </c>
      <c r="H3179" s="2" t="s">
        <v>694</v>
      </c>
      <c r="I3179" s="4">
        <v>0</v>
      </c>
      <c r="J3179" s="5">
        <v>710000000</v>
      </c>
      <c r="K3179" s="5" t="s">
        <v>89</v>
      </c>
      <c r="L3179" s="2" t="s">
        <v>754</v>
      </c>
      <c r="M3179" s="6" t="s">
        <v>787</v>
      </c>
      <c r="N3179" s="7" t="s">
        <v>92</v>
      </c>
      <c r="O3179" s="7" t="s">
        <v>93</v>
      </c>
      <c r="P3179" s="3" t="s">
        <v>673</v>
      </c>
      <c r="Q3179" s="8" t="s">
        <v>5689</v>
      </c>
      <c r="R3179" s="7" t="s">
        <v>5690</v>
      </c>
      <c r="S3179" s="9">
        <v>12</v>
      </c>
      <c r="T3179" s="9">
        <v>192</v>
      </c>
      <c r="U3179" s="9">
        <f t="shared" si="2202"/>
        <v>2304</v>
      </c>
      <c r="V3179" s="9">
        <f t="shared" si="2203"/>
        <v>2580.4800000000005</v>
      </c>
      <c r="W3179" s="7"/>
      <c r="X3179" s="2">
        <v>2016</v>
      </c>
      <c r="Y3179" s="2"/>
    </row>
    <row r="3180" spans="1:25" s="11" customFormat="1" ht="89.25" customHeight="1" outlineLevel="1" x14ac:dyDescent="0.25">
      <c r="A3180" s="1"/>
      <c r="B3180" s="2" t="s">
        <v>7369</v>
      </c>
      <c r="C3180" s="3" t="s">
        <v>83</v>
      </c>
      <c r="D3180" s="3" t="s">
        <v>5685</v>
      </c>
      <c r="E3180" s="3" t="s">
        <v>5686</v>
      </c>
      <c r="F3180" s="3" t="s">
        <v>5687</v>
      </c>
      <c r="G3180" s="3" t="s">
        <v>5691</v>
      </c>
      <c r="H3180" s="2" t="s">
        <v>694</v>
      </c>
      <c r="I3180" s="4">
        <v>0</v>
      </c>
      <c r="J3180" s="5">
        <v>710000000</v>
      </c>
      <c r="K3180" s="5" t="s">
        <v>89</v>
      </c>
      <c r="L3180" s="2" t="s">
        <v>754</v>
      </c>
      <c r="M3180" s="6" t="s">
        <v>787</v>
      </c>
      <c r="N3180" s="7" t="s">
        <v>92</v>
      </c>
      <c r="O3180" s="7" t="s">
        <v>93</v>
      </c>
      <c r="P3180" s="3" t="s">
        <v>673</v>
      </c>
      <c r="Q3180" s="8" t="s">
        <v>5689</v>
      </c>
      <c r="R3180" s="7" t="s">
        <v>5690</v>
      </c>
      <c r="S3180" s="9">
        <v>10</v>
      </c>
      <c r="T3180" s="9">
        <v>593.5</v>
      </c>
      <c r="U3180" s="9">
        <f t="shared" si="2202"/>
        <v>5935</v>
      </c>
      <c r="V3180" s="9">
        <f t="shared" si="2203"/>
        <v>6647.2000000000007</v>
      </c>
      <c r="W3180" s="7"/>
      <c r="X3180" s="2">
        <v>2016</v>
      </c>
      <c r="Y3180" s="2"/>
    </row>
    <row r="3181" spans="1:25" s="11" customFormat="1" ht="89.25" customHeight="1" outlineLevel="1" x14ac:dyDescent="0.25">
      <c r="A3181" s="1"/>
      <c r="B3181" s="2" t="s">
        <v>7370</v>
      </c>
      <c r="C3181" s="3" t="s">
        <v>83</v>
      </c>
      <c r="D3181" s="3" t="s">
        <v>5692</v>
      </c>
      <c r="E3181" s="3" t="s">
        <v>5693</v>
      </c>
      <c r="F3181" s="3" t="s">
        <v>5694</v>
      </c>
      <c r="G3181" s="3" t="s">
        <v>5695</v>
      </c>
      <c r="H3181" s="2" t="s">
        <v>694</v>
      </c>
      <c r="I3181" s="4">
        <v>0</v>
      </c>
      <c r="J3181" s="5">
        <v>710000000</v>
      </c>
      <c r="K3181" s="5" t="s">
        <v>89</v>
      </c>
      <c r="L3181" s="2" t="s">
        <v>754</v>
      </c>
      <c r="M3181" s="6" t="s">
        <v>787</v>
      </c>
      <c r="N3181" s="7" t="s">
        <v>92</v>
      </c>
      <c r="O3181" s="7" t="s">
        <v>93</v>
      </c>
      <c r="P3181" s="3" t="s">
        <v>673</v>
      </c>
      <c r="Q3181" s="8">
        <v>796</v>
      </c>
      <c r="R3181" s="7" t="s">
        <v>118</v>
      </c>
      <c r="S3181" s="9">
        <v>10</v>
      </c>
      <c r="T3181" s="9">
        <v>309</v>
      </c>
      <c r="U3181" s="9">
        <f t="shared" si="2202"/>
        <v>3090</v>
      </c>
      <c r="V3181" s="9">
        <f t="shared" si="2203"/>
        <v>3460.8</v>
      </c>
      <c r="W3181" s="7"/>
      <c r="X3181" s="2">
        <v>2016</v>
      </c>
      <c r="Y3181" s="2"/>
    </row>
    <row r="3182" spans="1:25" s="11" customFormat="1" ht="89.25" customHeight="1" outlineLevel="1" x14ac:dyDescent="0.25">
      <c r="A3182" s="1"/>
      <c r="B3182" s="2" t="s">
        <v>7371</v>
      </c>
      <c r="C3182" s="3" t="s">
        <v>83</v>
      </c>
      <c r="D3182" s="3" t="s">
        <v>5696</v>
      </c>
      <c r="E3182" s="3" t="s">
        <v>5697</v>
      </c>
      <c r="F3182" s="3" t="s">
        <v>5698</v>
      </c>
      <c r="G3182" s="3" t="s">
        <v>5699</v>
      </c>
      <c r="H3182" s="2" t="s">
        <v>694</v>
      </c>
      <c r="I3182" s="4">
        <v>0</v>
      </c>
      <c r="J3182" s="5">
        <v>710000000</v>
      </c>
      <c r="K3182" s="5" t="s">
        <v>89</v>
      </c>
      <c r="L3182" s="2" t="s">
        <v>754</v>
      </c>
      <c r="M3182" s="6" t="s">
        <v>787</v>
      </c>
      <c r="N3182" s="7" t="s">
        <v>92</v>
      </c>
      <c r="O3182" s="7" t="s">
        <v>93</v>
      </c>
      <c r="P3182" s="3" t="s">
        <v>673</v>
      </c>
      <c r="Q3182" s="8" t="s">
        <v>522</v>
      </c>
      <c r="R3182" s="7" t="s">
        <v>523</v>
      </c>
      <c r="S3182" s="9">
        <v>17</v>
      </c>
      <c r="T3182" s="9">
        <v>873</v>
      </c>
      <c r="U3182" s="9">
        <f t="shared" si="2202"/>
        <v>14841</v>
      </c>
      <c r="V3182" s="9">
        <f t="shared" si="2203"/>
        <v>16621.920000000002</v>
      </c>
      <c r="W3182" s="7"/>
      <c r="X3182" s="2">
        <v>2016</v>
      </c>
      <c r="Y3182" s="2"/>
    </row>
    <row r="3183" spans="1:25" s="11" customFormat="1" ht="114.75" customHeight="1" outlineLevel="1" x14ac:dyDescent="0.25">
      <c r="A3183" s="1"/>
      <c r="B3183" s="2" t="s">
        <v>7372</v>
      </c>
      <c r="C3183" s="3" t="s">
        <v>83</v>
      </c>
      <c r="D3183" s="3" t="s">
        <v>5700</v>
      </c>
      <c r="E3183" s="3" t="s">
        <v>5701</v>
      </c>
      <c r="F3183" s="3" t="s">
        <v>5702</v>
      </c>
      <c r="G3183" s="3" t="s">
        <v>5703</v>
      </c>
      <c r="H3183" s="2" t="s">
        <v>694</v>
      </c>
      <c r="I3183" s="4">
        <v>0</v>
      </c>
      <c r="J3183" s="5">
        <v>710000000</v>
      </c>
      <c r="K3183" s="5" t="s">
        <v>89</v>
      </c>
      <c r="L3183" s="2" t="s">
        <v>754</v>
      </c>
      <c r="M3183" s="6" t="s">
        <v>787</v>
      </c>
      <c r="N3183" s="7" t="s">
        <v>92</v>
      </c>
      <c r="O3183" s="7" t="s">
        <v>93</v>
      </c>
      <c r="P3183" s="3" t="s">
        <v>673</v>
      </c>
      <c r="Q3183" s="8" t="s">
        <v>522</v>
      </c>
      <c r="R3183" s="7" t="s">
        <v>523</v>
      </c>
      <c r="S3183" s="9">
        <f>150+200</f>
        <v>350</v>
      </c>
      <c r="T3183" s="9">
        <v>1285</v>
      </c>
      <c r="U3183" s="9">
        <f t="shared" si="2202"/>
        <v>449750</v>
      </c>
      <c r="V3183" s="9">
        <f t="shared" si="2203"/>
        <v>503720.00000000006</v>
      </c>
      <c r="W3183" s="7"/>
      <c r="X3183" s="2">
        <v>2016</v>
      </c>
      <c r="Y3183" s="2"/>
    </row>
    <row r="3184" spans="1:25" s="11" customFormat="1" ht="89.25" customHeight="1" outlineLevel="1" x14ac:dyDescent="0.25">
      <c r="A3184" s="1"/>
      <c r="B3184" s="2" t="s">
        <v>7373</v>
      </c>
      <c r="C3184" s="3" t="s">
        <v>83</v>
      </c>
      <c r="D3184" s="3" t="s">
        <v>5700</v>
      </c>
      <c r="E3184" s="3" t="s">
        <v>5701</v>
      </c>
      <c r="F3184" s="3" t="s">
        <v>5702</v>
      </c>
      <c r="G3184" s="3" t="s">
        <v>5704</v>
      </c>
      <c r="H3184" s="2" t="s">
        <v>694</v>
      </c>
      <c r="I3184" s="4">
        <v>0</v>
      </c>
      <c r="J3184" s="5">
        <v>710000000</v>
      </c>
      <c r="K3184" s="5" t="s">
        <v>89</v>
      </c>
      <c r="L3184" s="2" t="s">
        <v>754</v>
      </c>
      <c r="M3184" s="6" t="s">
        <v>91</v>
      </c>
      <c r="N3184" s="7" t="s">
        <v>92</v>
      </c>
      <c r="O3184" s="7" t="s">
        <v>93</v>
      </c>
      <c r="P3184" s="3" t="s">
        <v>673</v>
      </c>
      <c r="Q3184" s="8" t="s">
        <v>522</v>
      </c>
      <c r="R3184" s="7" t="s">
        <v>523</v>
      </c>
      <c r="S3184" s="9">
        <v>2</v>
      </c>
      <c r="T3184" s="9">
        <v>4023</v>
      </c>
      <c r="U3184" s="9">
        <f t="shared" si="2202"/>
        <v>8046</v>
      </c>
      <c r="V3184" s="9">
        <f t="shared" si="2203"/>
        <v>9011.52</v>
      </c>
      <c r="W3184" s="7"/>
      <c r="X3184" s="2">
        <v>2016</v>
      </c>
      <c r="Y3184" s="2"/>
    </row>
    <row r="3185" spans="1:25" s="11" customFormat="1" ht="89.25" customHeight="1" outlineLevel="1" x14ac:dyDescent="0.25">
      <c r="A3185" s="1"/>
      <c r="B3185" s="2" t="s">
        <v>7374</v>
      </c>
      <c r="C3185" s="3" t="s">
        <v>83</v>
      </c>
      <c r="D3185" s="3" t="s">
        <v>5666</v>
      </c>
      <c r="E3185" s="3" t="s">
        <v>5667</v>
      </c>
      <c r="F3185" s="3" t="s">
        <v>5668</v>
      </c>
      <c r="G3185" s="3" t="s">
        <v>5671</v>
      </c>
      <c r="H3185" s="2" t="s">
        <v>694</v>
      </c>
      <c r="I3185" s="4">
        <v>0</v>
      </c>
      <c r="J3185" s="5">
        <v>710000000</v>
      </c>
      <c r="K3185" s="5" t="s">
        <v>89</v>
      </c>
      <c r="L3185" s="2" t="s">
        <v>754</v>
      </c>
      <c r="M3185" s="6" t="s">
        <v>91</v>
      </c>
      <c r="N3185" s="7" t="s">
        <v>92</v>
      </c>
      <c r="O3185" s="7" t="s">
        <v>93</v>
      </c>
      <c r="P3185" s="3" t="s">
        <v>673</v>
      </c>
      <c r="Q3185" s="8" t="s">
        <v>522</v>
      </c>
      <c r="R3185" s="7" t="s">
        <v>523</v>
      </c>
      <c r="S3185" s="9">
        <v>2</v>
      </c>
      <c r="T3185" s="9">
        <v>4063</v>
      </c>
      <c r="U3185" s="9">
        <f t="shared" si="2202"/>
        <v>8126</v>
      </c>
      <c r="V3185" s="9">
        <f t="shared" si="2203"/>
        <v>9101.1200000000008</v>
      </c>
      <c r="W3185" s="7"/>
      <c r="X3185" s="2">
        <v>2016</v>
      </c>
      <c r="Y3185" s="2"/>
    </row>
    <row r="3186" spans="1:25" s="11" customFormat="1" ht="89.25" customHeight="1" outlineLevel="1" x14ac:dyDescent="0.25">
      <c r="A3186" s="1"/>
      <c r="B3186" s="2" t="s">
        <v>7375</v>
      </c>
      <c r="C3186" s="3" t="s">
        <v>83</v>
      </c>
      <c r="D3186" s="3" t="s">
        <v>5666</v>
      </c>
      <c r="E3186" s="3" t="s">
        <v>5667</v>
      </c>
      <c r="F3186" s="3" t="s">
        <v>5668</v>
      </c>
      <c r="G3186" s="3" t="s">
        <v>5705</v>
      </c>
      <c r="H3186" s="2" t="s">
        <v>694</v>
      </c>
      <c r="I3186" s="4">
        <v>0</v>
      </c>
      <c r="J3186" s="5">
        <v>710000000</v>
      </c>
      <c r="K3186" s="5" t="s">
        <v>89</v>
      </c>
      <c r="L3186" s="2" t="s">
        <v>754</v>
      </c>
      <c r="M3186" s="6" t="s">
        <v>91</v>
      </c>
      <c r="N3186" s="7" t="s">
        <v>92</v>
      </c>
      <c r="O3186" s="7" t="s">
        <v>93</v>
      </c>
      <c r="P3186" s="3" t="s">
        <v>673</v>
      </c>
      <c r="Q3186" s="8" t="s">
        <v>522</v>
      </c>
      <c r="R3186" s="7" t="s">
        <v>523</v>
      </c>
      <c r="S3186" s="9">
        <v>9</v>
      </c>
      <c r="T3186" s="9">
        <v>89</v>
      </c>
      <c r="U3186" s="9">
        <f t="shared" si="2202"/>
        <v>801</v>
      </c>
      <c r="V3186" s="9">
        <f t="shared" si="2203"/>
        <v>897.12000000000012</v>
      </c>
      <c r="W3186" s="7"/>
      <c r="X3186" s="2">
        <v>2016</v>
      </c>
      <c r="Y3186" s="2"/>
    </row>
    <row r="3187" spans="1:25" s="11" customFormat="1" ht="89.25" customHeight="1" outlineLevel="1" x14ac:dyDescent="0.25">
      <c r="A3187" s="1"/>
      <c r="B3187" s="2" t="s">
        <v>7376</v>
      </c>
      <c r="C3187" s="3" t="s">
        <v>83</v>
      </c>
      <c r="D3187" s="3" t="s">
        <v>5666</v>
      </c>
      <c r="E3187" s="3" t="s">
        <v>5667</v>
      </c>
      <c r="F3187" s="3" t="s">
        <v>5668</v>
      </c>
      <c r="G3187" s="3" t="s">
        <v>5706</v>
      </c>
      <c r="H3187" s="2" t="s">
        <v>694</v>
      </c>
      <c r="I3187" s="4">
        <v>0</v>
      </c>
      <c r="J3187" s="5">
        <v>710000000</v>
      </c>
      <c r="K3187" s="5" t="s">
        <v>89</v>
      </c>
      <c r="L3187" s="2" t="s">
        <v>754</v>
      </c>
      <c r="M3187" s="6" t="s">
        <v>91</v>
      </c>
      <c r="N3187" s="7" t="s">
        <v>92</v>
      </c>
      <c r="O3187" s="7" t="s">
        <v>93</v>
      </c>
      <c r="P3187" s="3" t="s">
        <v>673</v>
      </c>
      <c r="Q3187" s="8" t="s">
        <v>522</v>
      </c>
      <c r="R3187" s="7" t="s">
        <v>523</v>
      </c>
      <c r="S3187" s="9">
        <v>10</v>
      </c>
      <c r="T3187" s="9">
        <v>125</v>
      </c>
      <c r="U3187" s="9">
        <f t="shared" si="2202"/>
        <v>1250</v>
      </c>
      <c r="V3187" s="9">
        <f t="shared" si="2203"/>
        <v>1400.0000000000002</v>
      </c>
      <c r="W3187" s="7"/>
      <c r="X3187" s="2">
        <v>2016</v>
      </c>
      <c r="Y3187" s="2"/>
    </row>
    <row r="3188" spans="1:25" s="11" customFormat="1" ht="89.25" customHeight="1" outlineLevel="1" x14ac:dyDescent="0.25">
      <c r="A3188" s="1"/>
      <c r="B3188" s="2" t="s">
        <v>7377</v>
      </c>
      <c r="C3188" s="3" t="s">
        <v>83</v>
      </c>
      <c r="D3188" s="3" t="s">
        <v>5666</v>
      </c>
      <c r="E3188" s="3" t="s">
        <v>5667</v>
      </c>
      <c r="F3188" s="3" t="s">
        <v>5668</v>
      </c>
      <c r="G3188" s="3" t="s">
        <v>5707</v>
      </c>
      <c r="H3188" s="2" t="s">
        <v>694</v>
      </c>
      <c r="I3188" s="4">
        <v>0</v>
      </c>
      <c r="J3188" s="5">
        <v>710000000</v>
      </c>
      <c r="K3188" s="5" t="s">
        <v>89</v>
      </c>
      <c r="L3188" s="2" t="s">
        <v>754</v>
      </c>
      <c r="M3188" s="6" t="s">
        <v>91</v>
      </c>
      <c r="N3188" s="7" t="s">
        <v>92</v>
      </c>
      <c r="O3188" s="7" t="s">
        <v>93</v>
      </c>
      <c r="P3188" s="3" t="s">
        <v>673</v>
      </c>
      <c r="Q3188" s="8" t="s">
        <v>522</v>
      </c>
      <c r="R3188" s="7" t="s">
        <v>523</v>
      </c>
      <c r="S3188" s="9">
        <v>4</v>
      </c>
      <c r="T3188" s="9">
        <v>98</v>
      </c>
      <c r="U3188" s="9">
        <f t="shared" si="2202"/>
        <v>392</v>
      </c>
      <c r="V3188" s="9">
        <f t="shared" si="2203"/>
        <v>439.04</v>
      </c>
      <c r="W3188" s="7"/>
      <c r="X3188" s="2">
        <v>2016</v>
      </c>
      <c r="Y3188" s="2"/>
    </row>
    <row r="3189" spans="1:25" s="11" customFormat="1" ht="89.25" customHeight="1" outlineLevel="1" x14ac:dyDescent="0.25">
      <c r="A3189" s="1"/>
      <c r="B3189" s="2" t="s">
        <v>7378</v>
      </c>
      <c r="C3189" s="3" t="s">
        <v>83</v>
      </c>
      <c r="D3189" s="3" t="s">
        <v>5666</v>
      </c>
      <c r="E3189" s="3" t="s">
        <v>5667</v>
      </c>
      <c r="F3189" s="3" t="s">
        <v>5668</v>
      </c>
      <c r="G3189" s="3" t="s">
        <v>5708</v>
      </c>
      <c r="H3189" s="2" t="s">
        <v>694</v>
      </c>
      <c r="I3189" s="4">
        <v>0</v>
      </c>
      <c r="J3189" s="5">
        <v>710000000</v>
      </c>
      <c r="K3189" s="5" t="s">
        <v>89</v>
      </c>
      <c r="L3189" s="2" t="s">
        <v>754</v>
      </c>
      <c r="M3189" s="6" t="s">
        <v>91</v>
      </c>
      <c r="N3189" s="7" t="s">
        <v>92</v>
      </c>
      <c r="O3189" s="7" t="s">
        <v>93</v>
      </c>
      <c r="P3189" s="3" t="s">
        <v>673</v>
      </c>
      <c r="Q3189" s="8" t="s">
        <v>522</v>
      </c>
      <c r="R3189" s="7" t="s">
        <v>523</v>
      </c>
      <c r="S3189" s="9">
        <v>30</v>
      </c>
      <c r="T3189" s="9">
        <v>125</v>
      </c>
      <c r="U3189" s="9">
        <f t="shared" si="2202"/>
        <v>3750</v>
      </c>
      <c r="V3189" s="9">
        <f t="shared" si="2203"/>
        <v>4200</v>
      </c>
      <c r="W3189" s="7"/>
      <c r="X3189" s="2">
        <v>2016</v>
      </c>
      <c r="Y3189" s="2"/>
    </row>
    <row r="3190" spans="1:25" s="11" customFormat="1" ht="89.25" customHeight="1" outlineLevel="1" x14ac:dyDescent="0.25">
      <c r="A3190" s="1"/>
      <c r="B3190" s="2" t="s">
        <v>7379</v>
      </c>
      <c r="C3190" s="3" t="s">
        <v>83</v>
      </c>
      <c r="D3190" s="3" t="s">
        <v>5674</v>
      </c>
      <c r="E3190" s="3" t="s">
        <v>5667</v>
      </c>
      <c r="F3190" s="3" t="s">
        <v>5675</v>
      </c>
      <c r="G3190" s="3" t="s">
        <v>5709</v>
      </c>
      <c r="H3190" s="2" t="s">
        <v>694</v>
      </c>
      <c r="I3190" s="4">
        <v>0</v>
      </c>
      <c r="J3190" s="5">
        <v>710000000</v>
      </c>
      <c r="K3190" s="5" t="s">
        <v>89</v>
      </c>
      <c r="L3190" s="2" t="s">
        <v>754</v>
      </c>
      <c r="M3190" s="6" t="s">
        <v>91</v>
      </c>
      <c r="N3190" s="7" t="s">
        <v>92</v>
      </c>
      <c r="O3190" s="7" t="s">
        <v>93</v>
      </c>
      <c r="P3190" s="3" t="s">
        <v>673</v>
      </c>
      <c r="Q3190" s="8" t="s">
        <v>522</v>
      </c>
      <c r="R3190" s="7" t="s">
        <v>523</v>
      </c>
      <c r="S3190" s="9">
        <v>14</v>
      </c>
      <c r="T3190" s="9">
        <v>134</v>
      </c>
      <c r="U3190" s="9">
        <f t="shared" si="2202"/>
        <v>1876</v>
      </c>
      <c r="V3190" s="9">
        <f t="shared" si="2203"/>
        <v>2101.1200000000003</v>
      </c>
      <c r="W3190" s="7"/>
      <c r="X3190" s="2">
        <v>2016</v>
      </c>
      <c r="Y3190" s="2"/>
    </row>
    <row r="3191" spans="1:25" s="11" customFormat="1" ht="89.25" customHeight="1" outlineLevel="1" x14ac:dyDescent="0.25">
      <c r="A3191" s="1"/>
      <c r="B3191" s="2" t="s">
        <v>7380</v>
      </c>
      <c r="C3191" s="3" t="s">
        <v>83</v>
      </c>
      <c r="D3191" s="3" t="s">
        <v>5674</v>
      </c>
      <c r="E3191" s="3" t="s">
        <v>5667</v>
      </c>
      <c r="F3191" s="3" t="s">
        <v>5675</v>
      </c>
      <c r="G3191" s="3" t="s">
        <v>5710</v>
      </c>
      <c r="H3191" s="2" t="s">
        <v>694</v>
      </c>
      <c r="I3191" s="4">
        <v>0</v>
      </c>
      <c r="J3191" s="5">
        <v>710000000</v>
      </c>
      <c r="K3191" s="5" t="s">
        <v>89</v>
      </c>
      <c r="L3191" s="2" t="s">
        <v>754</v>
      </c>
      <c r="M3191" s="6" t="s">
        <v>91</v>
      </c>
      <c r="N3191" s="7" t="s">
        <v>92</v>
      </c>
      <c r="O3191" s="7" t="s">
        <v>93</v>
      </c>
      <c r="P3191" s="3" t="s">
        <v>673</v>
      </c>
      <c r="Q3191" s="8" t="s">
        <v>522</v>
      </c>
      <c r="R3191" s="7" t="s">
        <v>523</v>
      </c>
      <c r="S3191" s="9">
        <v>30</v>
      </c>
      <c r="T3191" s="9">
        <v>290</v>
      </c>
      <c r="U3191" s="9">
        <f t="shared" si="2202"/>
        <v>8700</v>
      </c>
      <c r="V3191" s="9">
        <f t="shared" si="2203"/>
        <v>9744.0000000000018</v>
      </c>
      <c r="W3191" s="7"/>
      <c r="X3191" s="2">
        <v>2016</v>
      </c>
      <c r="Y3191" s="2"/>
    </row>
    <row r="3192" spans="1:25" s="11" customFormat="1" ht="89.25" customHeight="1" outlineLevel="1" x14ac:dyDescent="0.25">
      <c r="A3192" s="1"/>
      <c r="B3192" s="2" t="s">
        <v>7381</v>
      </c>
      <c r="C3192" s="3" t="s">
        <v>83</v>
      </c>
      <c r="D3192" s="3" t="s">
        <v>5711</v>
      </c>
      <c r="E3192" s="3" t="s">
        <v>5712</v>
      </c>
      <c r="F3192" s="3" t="s">
        <v>5713</v>
      </c>
      <c r="G3192" s="3" t="s">
        <v>5714</v>
      </c>
      <c r="H3192" s="2" t="s">
        <v>694</v>
      </c>
      <c r="I3192" s="4">
        <v>0</v>
      </c>
      <c r="J3192" s="5">
        <v>710000000</v>
      </c>
      <c r="K3192" s="5" t="s">
        <v>89</v>
      </c>
      <c r="L3192" s="2" t="s">
        <v>754</v>
      </c>
      <c r="M3192" s="6" t="s">
        <v>91</v>
      </c>
      <c r="N3192" s="7" t="s">
        <v>92</v>
      </c>
      <c r="O3192" s="7" t="s">
        <v>93</v>
      </c>
      <c r="P3192" s="3" t="s">
        <v>673</v>
      </c>
      <c r="Q3192" s="8" t="s">
        <v>95</v>
      </c>
      <c r="R3192" s="7" t="s">
        <v>96</v>
      </c>
      <c r="S3192" s="9">
        <v>5</v>
      </c>
      <c r="T3192" s="9">
        <v>3670</v>
      </c>
      <c r="U3192" s="9">
        <f t="shared" si="2202"/>
        <v>18350</v>
      </c>
      <c r="V3192" s="9">
        <f t="shared" si="2203"/>
        <v>20552.000000000004</v>
      </c>
      <c r="W3192" s="7"/>
      <c r="X3192" s="2">
        <v>2016</v>
      </c>
      <c r="Y3192" s="2"/>
    </row>
    <row r="3193" spans="1:25" s="11" customFormat="1" ht="89.25" customHeight="1" outlineLevel="1" x14ac:dyDescent="0.2">
      <c r="A3193" s="25"/>
      <c r="B3193" s="2" t="s">
        <v>7382</v>
      </c>
      <c r="C3193" s="3" t="s">
        <v>83</v>
      </c>
      <c r="D3193" s="3" t="s">
        <v>5715</v>
      </c>
      <c r="E3193" s="3" t="s">
        <v>5716</v>
      </c>
      <c r="F3193" s="3" t="s">
        <v>5717</v>
      </c>
      <c r="G3193" s="3" t="s">
        <v>5718</v>
      </c>
      <c r="H3193" s="2" t="s">
        <v>765</v>
      </c>
      <c r="I3193" s="4">
        <v>0</v>
      </c>
      <c r="J3193" s="5">
        <v>710000000</v>
      </c>
      <c r="K3193" s="5" t="s">
        <v>89</v>
      </c>
      <c r="L3193" s="2" t="s">
        <v>754</v>
      </c>
      <c r="M3193" s="6" t="s">
        <v>91</v>
      </c>
      <c r="N3193" s="7" t="s">
        <v>92</v>
      </c>
      <c r="O3193" s="7" t="s">
        <v>93</v>
      </c>
      <c r="P3193" s="3" t="s">
        <v>673</v>
      </c>
      <c r="Q3193" s="8" t="s">
        <v>95</v>
      </c>
      <c r="R3193" s="7" t="s">
        <v>96</v>
      </c>
      <c r="S3193" s="9">
        <v>186</v>
      </c>
      <c r="T3193" s="9">
        <v>2310</v>
      </c>
      <c r="U3193" s="9">
        <v>0</v>
      </c>
      <c r="V3193" s="9">
        <f t="shared" si="2203"/>
        <v>0</v>
      </c>
      <c r="W3193" s="7"/>
      <c r="X3193" s="2">
        <v>2016</v>
      </c>
      <c r="Y3193" s="2" t="s">
        <v>7791</v>
      </c>
    </row>
    <row r="3194" spans="1:25" s="11" customFormat="1" ht="89.25" customHeight="1" outlineLevel="1" x14ac:dyDescent="0.25">
      <c r="A3194" s="1"/>
      <c r="B3194" s="2" t="s">
        <v>9408</v>
      </c>
      <c r="C3194" s="3" t="s">
        <v>83</v>
      </c>
      <c r="D3194" s="3" t="s">
        <v>5715</v>
      </c>
      <c r="E3194" s="3" t="s">
        <v>5716</v>
      </c>
      <c r="F3194" s="3" t="s">
        <v>5717</v>
      </c>
      <c r="G3194" s="3" t="s">
        <v>5718</v>
      </c>
      <c r="H3194" s="2" t="s">
        <v>765</v>
      </c>
      <c r="I3194" s="4">
        <v>0</v>
      </c>
      <c r="J3194" s="5">
        <v>710000000</v>
      </c>
      <c r="K3194" s="5" t="s">
        <v>89</v>
      </c>
      <c r="L3194" s="2" t="s">
        <v>754</v>
      </c>
      <c r="M3194" s="6" t="s">
        <v>91</v>
      </c>
      <c r="N3194" s="7" t="s">
        <v>92</v>
      </c>
      <c r="O3194" s="7" t="s">
        <v>93</v>
      </c>
      <c r="P3194" s="3" t="s">
        <v>673</v>
      </c>
      <c r="Q3194" s="8" t="s">
        <v>95</v>
      </c>
      <c r="R3194" s="7" t="s">
        <v>96</v>
      </c>
      <c r="S3194" s="9">
        <f>186+40</f>
        <v>226</v>
      </c>
      <c r="T3194" s="9">
        <v>456</v>
      </c>
      <c r="U3194" s="9">
        <f t="shared" ref="U3194" si="2204">T3194*S3194</f>
        <v>103056</v>
      </c>
      <c r="V3194" s="9">
        <f t="shared" ref="V3194" si="2205">U3194*1.12</f>
        <v>115422.72000000002</v>
      </c>
      <c r="W3194" s="7"/>
      <c r="X3194" s="2">
        <v>2016</v>
      </c>
      <c r="Y3194" s="2"/>
    </row>
    <row r="3195" spans="1:25" s="11" customFormat="1" ht="89.25" customHeight="1" outlineLevel="1" x14ac:dyDescent="0.2">
      <c r="A3195" s="25"/>
      <c r="B3195" s="2" t="s">
        <v>7383</v>
      </c>
      <c r="C3195" s="3" t="s">
        <v>83</v>
      </c>
      <c r="D3195" s="3" t="s">
        <v>5719</v>
      </c>
      <c r="E3195" s="3" t="s">
        <v>5720</v>
      </c>
      <c r="F3195" s="3" t="s">
        <v>5721</v>
      </c>
      <c r="G3195" s="3" t="s">
        <v>5722</v>
      </c>
      <c r="H3195" s="2" t="s">
        <v>765</v>
      </c>
      <c r="I3195" s="4">
        <v>0</v>
      </c>
      <c r="J3195" s="5">
        <v>710000000</v>
      </c>
      <c r="K3195" s="5" t="s">
        <v>89</v>
      </c>
      <c r="L3195" s="2" t="s">
        <v>754</v>
      </c>
      <c r="M3195" s="6" t="s">
        <v>91</v>
      </c>
      <c r="N3195" s="7" t="s">
        <v>92</v>
      </c>
      <c r="O3195" s="7" t="s">
        <v>93</v>
      </c>
      <c r="P3195" s="3" t="s">
        <v>673</v>
      </c>
      <c r="Q3195" s="8" t="s">
        <v>544</v>
      </c>
      <c r="R3195" s="7" t="s">
        <v>111</v>
      </c>
      <c r="S3195" s="9">
        <v>108</v>
      </c>
      <c r="T3195" s="9">
        <v>4178.5600000000004</v>
      </c>
      <c r="U3195" s="9">
        <v>0</v>
      </c>
      <c r="V3195" s="9">
        <f t="shared" si="2203"/>
        <v>0</v>
      </c>
      <c r="W3195" s="7"/>
      <c r="X3195" s="2">
        <v>2016</v>
      </c>
      <c r="Y3195" s="2" t="s">
        <v>7791</v>
      </c>
    </row>
    <row r="3196" spans="1:25" s="11" customFormat="1" ht="89.25" customHeight="1" outlineLevel="1" x14ac:dyDescent="0.25">
      <c r="A3196" s="1"/>
      <c r="B3196" s="2" t="s">
        <v>9409</v>
      </c>
      <c r="C3196" s="3" t="s">
        <v>83</v>
      </c>
      <c r="D3196" s="3" t="s">
        <v>5719</v>
      </c>
      <c r="E3196" s="3" t="s">
        <v>5720</v>
      </c>
      <c r="F3196" s="3" t="s">
        <v>5721</v>
      </c>
      <c r="G3196" s="3" t="s">
        <v>5722</v>
      </c>
      <c r="H3196" s="2" t="s">
        <v>765</v>
      </c>
      <c r="I3196" s="4">
        <v>0</v>
      </c>
      <c r="J3196" s="5">
        <v>710000000</v>
      </c>
      <c r="K3196" s="5" t="s">
        <v>89</v>
      </c>
      <c r="L3196" s="2" t="s">
        <v>754</v>
      </c>
      <c r="M3196" s="6" t="s">
        <v>91</v>
      </c>
      <c r="N3196" s="7" t="s">
        <v>92</v>
      </c>
      <c r="O3196" s="7" t="s">
        <v>93</v>
      </c>
      <c r="P3196" s="3" t="s">
        <v>673</v>
      </c>
      <c r="Q3196" s="8" t="s">
        <v>544</v>
      </c>
      <c r="R3196" s="7" t="s">
        <v>111</v>
      </c>
      <c r="S3196" s="9">
        <f>108+75</f>
        <v>183</v>
      </c>
      <c r="T3196" s="9">
        <v>1650</v>
      </c>
      <c r="U3196" s="9">
        <f t="shared" ref="U3196" si="2206">T3196*S3196</f>
        <v>301950</v>
      </c>
      <c r="V3196" s="9">
        <f t="shared" ref="V3196" si="2207">U3196*1.12</f>
        <v>338184.00000000006</v>
      </c>
      <c r="W3196" s="7"/>
      <c r="X3196" s="2">
        <v>2016</v>
      </c>
      <c r="Y3196" s="2"/>
    </row>
    <row r="3197" spans="1:25" s="11" customFormat="1" ht="89.25" customHeight="1" outlineLevel="1" x14ac:dyDescent="0.2">
      <c r="A3197" s="25"/>
      <c r="B3197" s="2" t="s">
        <v>7384</v>
      </c>
      <c r="C3197" s="3" t="s">
        <v>83</v>
      </c>
      <c r="D3197" s="3" t="s">
        <v>5723</v>
      </c>
      <c r="E3197" s="3" t="s">
        <v>5720</v>
      </c>
      <c r="F3197" s="3" t="s">
        <v>5724</v>
      </c>
      <c r="G3197" s="3" t="s">
        <v>5725</v>
      </c>
      <c r="H3197" s="2" t="s">
        <v>765</v>
      </c>
      <c r="I3197" s="4">
        <v>0</v>
      </c>
      <c r="J3197" s="5">
        <v>710000000</v>
      </c>
      <c r="K3197" s="5" t="s">
        <v>89</v>
      </c>
      <c r="L3197" s="2" t="s">
        <v>754</v>
      </c>
      <c r="M3197" s="6" t="s">
        <v>91</v>
      </c>
      <c r="N3197" s="7" t="s">
        <v>92</v>
      </c>
      <c r="O3197" s="7" t="s">
        <v>93</v>
      </c>
      <c r="P3197" s="3" t="s">
        <v>673</v>
      </c>
      <c r="Q3197" s="8" t="s">
        <v>544</v>
      </c>
      <c r="R3197" s="7" t="s">
        <v>111</v>
      </c>
      <c r="S3197" s="9">
        <v>253.7</v>
      </c>
      <c r="T3197" s="9">
        <v>3535.72</v>
      </c>
      <c r="U3197" s="9">
        <v>0</v>
      </c>
      <c r="V3197" s="9">
        <f t="shared" si="2203"/>
        <v>0</v>
      </c>
      <c r="W3197" s="7"/>
      <c r="X3197" s="2">
        <v>2016</v>
      </c>
      <c r="Y3197" s="2" t="s">
        <v>7791</v>
      </c>
    </row>
    <row r="3198" spans="1:25" s="11" customFormat="1" ht="89.25" customHeight="1" outlineLevel="1" x14ac:dyDescent="0.25">
      <c r="A3198" s="1"/>
      <c r="B3198" s="2" t="s">
        <v>9410</v>
      </c>
      <c r="C3198" s="3" t="s">
        <v>83</v>
      </c>
      <c r="D3198" s="3" t="s">
        <v>5723</v>
      </c>
      <c r="E3198" s="3" t="s">
        <v>5720</v>
      </c>
      <c r="F3198" s="3" t="s">
        <v>5724</v>
      </c>
      <c r="G3198" s="3" t="s">
        <v>5725</v>
      </c>
      <c r="H3198" s="2" t="s">
        <v>765</v>
      </c>
      <c r="I3198" s="4">
        <v>0</v>
      </c>
      <c r="J3198" s="5">
        <v>710000000</v>
      </c>
      <c r="K3198" s="5" t="s">
        <v>89</v>
      </c>
      <c r="L3198" s="2" t="s">
        <v>754</v>
      </c>
      <c r="M3198" s="6" t="s">
        <v>91</v>
      </c>
      <c r="N3198" s="7" t="s">
        <v>92</v>
      </c>
      <c r="O3198" s="7" t="s">
        <v>93</v>
      </c>
      <c r="P3198" s="3" t="s">
        <v>673</v>
      </c>
      <c r="Q3198" s="8" t="s">
        <v>544</v>
      </c>
      <c r="R3198" s="7" t="s">
        <v>111</v>
      </c>
      <c r="S3198" s="9">
        <f>253.7+125</f>
        <v>378.7</v>
      </c>
      <c r="T3198" s="9">
        <v>1550</v>
      </c>
      <c r="U3198" s="9">
        <f t="shared" ref="U3198" si="2208">T3198*S3198</f>
        <v>586985</v>
      </c>
      <c r="V3198" s="9">
        <f t="shared" ref="V3198" si="2209">U3198*1.12</f>
        <v>657423.20000000007</v>
      </c>
      <c r="W3198" s="7"/>
      <c r="X3198" s="2">
        <v>2016</v>
      </c>
      <c r="Y3198" s="2"/>
    </row>
    <row r="3199" spans="1:25" s="11" customFormat="1" ht="89.25" customHeight="1" outlineLevel="1" x14ac:dyDescent="0.25">
      <c r="A3199" s="1"/>
      <c r="B3199" s="2" t="s">
        <v>7385</v>
      </c>
      <c r="C3199" s="3" t="s">
        <v>83</v>
      </c>
      <c r="D3199" s="3" t="s">
        <v>5726</v>
      </c>
      <c r="E3199" s="3" t="s">
        <v>5720</v>
      </c>
      <c r="F3199" s="3" t="s">
        <v>5721</v>
      </c>
      <c r="G3199" s="3" t="s">
        <v>5727</v>
      </c>
      <c r="H3199" s="2" t="s">
        <v>765</v>
      </c>
      <c r="I3199" s="4">
        <v>0</v>
      </c>
      <c r="J3199" s="5">
        <v>710000000</v>
      </c>
      <c r="K3199" s="5" t="s">
        <v>89</v>
      </c>
      <c r="L3199" s="2" t="s">
        <v>754</v>
      </c>
      <c r="M3199" s="6" t="s">
        <v>91</v>
      </c>
      <c r="N3199" s="7" t="s">
        <v>92</v>
      </c>
      <c r="O3199" s="7" t="s">
        <v>93</v>
      </c>
      <c r="P3199" s="3" t="s">
        <v>673</v>
      </c>
      <c r="Q3199" s="8" t="s">
        <v>522</v>
      </c>
      <c r="R3199" s="7" t="s">
        <v>523</v>
      </c>
      <c r="S3199" s="9">
        <v>75</v>
      </c>
      <c r="T3199" s="9">
        <v>3535.72</v>
      </c>
      <c r="U3199" s="9">
        <f t="shared" si="2202"/>
        <v>265179</v>
      </c>
      <c r="V3199" s="9">
        <f t="shared" si="2203"/>
        <v>297000.48000000004</v>
      </c>
      <c r="W3199" s="7"/>
      <c r="X3199" s="2">
        <v>2016</v>
      </c>
      <c r="Y3199" s="2"/>
    </row>
    <row r="3200" spans="1:25" s="11" customFormat="1" ht="89.25" customHeight="1" outlineLevel="1" x14ac:dyDescent="0.2">
      <c r="A3200" s="25"/>
      <c r="B3200" s="2" t="s">
        <v>7386</v>
      </c>
      <c r="C3200" s="3" t="s">
        <v>83</v>
      </c>
      <c r="D3200" s="3" t="s">
        <v>5728</v>
      </c>
      <c r="E3200" s="3" t="s">
        <v>5729</v>
      </c>
      <c r="F3200" s="3" t="s">
        <v>5730</v>
      </c>
      <c r="G3200" s="3" t="s">
        <v>5731</v>
      </c>
      <c r="H3200" s="2" t="s">
        <v>765</v>
      </c>
      <c r="I3200" s="4">
        <v>0</v>
      </c>
      <c r="J3200" s="5">
        <v>710000000</v>
      </c>
      <c r="K3200" s="5" t="s">
        <v>89</v>
      </c>
      <c r="L3200" s="2" t="s">
        <v>754</v>
      </c>
      <c r="M3200" s="6" t="s">
        <v>91</v>
      </c>
      <c r="N3200" s="7" t="s">
        <v>92</v>
      </c>
      <c r="O3200" s="7" t="s">
        <v>93</v>
      </c>
      <c r="P3200" s="3" t="s">
        <v>673</v>
      </c>
      <c r="Q3200" s="8" t="s">
        <v>95</v>
      </c>
      <c r="R3200" s="7" t="s">
        <v>96</v>
      </c>
      <c r="S3200" s="9">
        <v>149.9</v>
      </c>
      <c r="T3200" s="9">
        <v>1500</v>
      </c>
      <c r="U3200" s="9">
        <v>0</v>
      </c>
      <c r="V3200" s="9">
        <f t="shared" si="2203"/>
        <v>0</v>
      </c>
      <c r="W3200" s="7"/>
      <c r="X3200" s="2">
        <v>2016</v>
      </c>
      <c r="Y3200" s="2" t="s">
        <v>9414</v>
      </c>
    </row>
    <row r="3201" spans="1:25" s="11" customFormat="1" ht="89.25" customHeight="1" outlineLevel="1" x14ac:dyDescent="0.25">
      <c r="A3201" s="1"/>
      <c r="B3201" s="2" t="s">
        <v>9411</v>
      </c>
      <c r="C3201" s="3" t="s">
        <v>83</v>
      </c>
      <c r="D3201" s="3" t="s">
        <v>5728</v>
      </c>
      <c r="E3201" s="3" t="s">
        <v>5729</v>
      </c>
      <c r="F3201" s="3" t="s">
        <v>5730</v>
      </c>
      <c r="G3201" s="3" t="s">
        <v>5731</v>
      </c>
      <c r="H3201" s="2" t="s">
        <v>765</v>
      </c>
      <c r="I3201" s="4">
        <v>0</v>
      </c>
      <c r="J3201" s="5">
        <v>710000000</v>
      </c>
      <c r="K3201" s="5" t="s">
        <v>89</v>
      </c>
      <c r="L3201" s="2" t="s">
        <v>754</v>
      </c>
      <c r="M3201" s="6" t="s">
        <v>91</v>
      </c>
      <c r="N3201" s="7" t="s">
        <v>92</v>
      </c>
      <c r="O3201" s="7" t="s">
        <v>93</v>
      </c>
      <c r="P3201" s="3" t="s">
        <v>673</v>
      </c>
      <c r="Q3201" s="8" t="s">
        <v>95</v>
      </c>
      <c r="R3201" s="7" t="s">
        <v>96</v>
      </c>
      <c r="S3201" s="9">
        <v>149.9</v>
      </c>
      <c r="T3201" s="9">
        <v>315</v>
      </c>
      <c r="U3201" s="9">
        <f t="shared" ref="U3201" si="2210">T3201*S3201</f>
        <v>47218.5</v>
      </c>
      <c r="V3201" s="9">
        <f t="shared" ref="V3201" si="2211">U3201*1.12</f>
        <v>52884.720000000008</v>
      </c>
      <c r="W3201" s="7"/>
      <c r="X3201" s="2">
        <v>2016</v>
      </c>
      <c r="Y3201" s="2"/>
    </row>
    <row r="3202" spans="1:25" s="11" customFormat="1" ht="89.25" customHeight="1" outlineLevel="1" x14ac:dyDescent="0.2">
      <c r="A3202" s="25"/>
      <c r="B3202" s="2" t="s">
        <v>7387</v>
      </c>
      <c r="C3202" s="3" t="s">
        <v>83</v>
      </c>
      <c r="D3202" s="3" t="s">
        <v>5732</v>
      </c>
      <c r="E3202" s="3" t="s">
        <v>5729</v>
      </c>
      <c r="F3202" s="3" t="s">
        <v>5733</v>
      </c>
      <c r="G3202" s="3" t="s">
        <v>5734</v>
      </c>
      <c r="H3202" s="2" t="s">
        <v>765</v>
      </c>
      <c r="I3202" s="4">
        <v>0</v>
      </c>
      <c r="J3202" s="5">
        <v>710000000</v>
      </c>
      <c r="K3202" s="5" t="s">
        <v>89</v>
      </c>
      <c r="L3202" s="2" t="s">
        <v>754</v>
      </c>
      <c r="M3202" s="6" t="s">
        <v>91</v>
      </c>
      <c r="N3202" s="7" t="s">
        <v>92</v>
      </c>
      <c r="O3202" s="7" t="s">
        <v>93</v>
      </c>
      <c r="P3202" s="3" t="s">
        <v>673</v>
      </c>
      <c r="Q3202" s="8" t="s">
        <v>522</v>
      </c>
      <c r="R3202" s="7" t="s">
        <v>523</v>
      </c>
      <c r="S3202" s="9">
        <v>15</v>
      </c>
      <c r="T3202" s="9">
        <v>4500</v>
      </c>
      <c r="U3202" s="9">
        <v>0</v>
      </c>
      <c r="V3202" s="9">
        <f t="shared" si="2203"/>
        <v>0</v>
      </c>
      <c r="W3202" s="7"/>
      <c r="X3202" s="2">
        <v>2016</v>
      </c>
      <c r="Y3202" s="2" t="s">
        <v>9414</v>
      </c>
    </row>
    <row r="3203" spans="1:25" s="11" customFormat="1" ht="89.25" customHeight="1" outlineLevel="1" x14ac:dyDescent="0.25">
      <c r="A3203" s="1"/>
      <c r="B3203" s="2" t="s">
        <v>9412</v>
      </c>
      <c r="C3203" s="3" t="s">
        <v>83</v>
      </c>
      <c r="D3203" s="3" t="s">
        <v>5732</v>
      </c>
      <c r="E3203" s="3" t="s">
        <v>5729</v>
      </c>
      <c r="F3203" s="3" t="s">
        <v>5733</v>
      </c>
      <c r="G3203" s="3" t="s">
        <v>5734</v>
      </c>
      <c r="H3203" s="2" t="s">
        <v>765</v>
      </c>
      <c r="I3203" s="4">
        <v>0</v>
      </c>
      <c r="J3203" s="5">
        <v>710000000</v>
      </c>
      <c r="K3203" s="5" t="s">
        <v>89</v>
      </c>
      <c r="L3203" s="2" t="s">
        <v>754</v>
      </c>
      <c r="M3203" s="6" t="s">
        <v>91</v>
      </c>
      <c r="N3203" s="7" t="s">
        <v>92</v>
      </c>
      <c r="O3203" s="7" t="s">
        <v>93</v>
      </c>
      <c r="P3203" s="3" t="s">
        <v>673</v>
      </c>
      <c r="Q3203" s="8" t="s">
        <v>522</v>
      </c>
      <c r="R3203" s="7" t="s">
        <v>523</v>
      </c>
      <c r="S3203" s="9">
        <v>15</v>
      </c>
      <c r="T3203" s="9">
        <v>2500</v>
      </c>
      <c r="U3203" s="9">
        <f t="shared" ref="U3203" si="2212">T3203*S3203</f>
        <v>37500</v>
      </c>
      <c r="V3203" s="9">
        <f t="shared" ref="V3203" si="2213">U3203*1.12</f>
        <v>42000.000000000007</v>
      </c>
      <c r="W3203" s="7"/>
      <c r="X3203" s="2">
        <v>2016</v>
      </c>
      <c r="Y3203" s="2"/>
    </row>
    <row r="3204" spans="1:25" s="11" customFormat="1" ht="89.25" customHeight="1" outlineLevel="1" x14ac:dyDescent="0.2">
      <c r="A3204" s="25"/>
      <c r="B3204" s="2" t="s">
        <v>7388</v>
      </c>
      <c r="C3204" s="3" t="s">
        <v>83</v>
      </c>
      <c r="D3204" s="3" t="s">
        <v>5735</v>
      </c>
      <c r="E3204" s="3" t="s">
        <v>5736</v>
      </c>
      <c r="F3204" s="3" t="s">
        <v>5737</v>
      </c>
      <c r="G3204" s="3" t="s">
        <v>5738</v>
      </c>
      <c r="H3204" s="2" t="s">
        <v>765</v>
      </c>
      <c r="I3204" s="4">
        <v>0</v>
      </c>
      <c r="J3204" s="5">
        <v>710000000</v>
      </c>
      <c r="K3204" s="5" t="s">
        <v>89</v>
      </c>
      <c r="L3204" s="2" t="s">
        <v>754</v>
      </c>
      <c r="M3204" s="6" t="s">
        <v>91</v>
      </c>
      <c r="N3204" s="7" t="s">
        <v>92</v>
      </c>
      <c r="O3204" s="7" t="s">
        <v>93</v>
      </c>
      <c r="P3204" s="3" t="s">
        <v>673</v>
      </c>
      <c r="Q3204" s="8" t="s">
        <v>544</v>
      </c>
      <c r="R3204" s="7" t="s">
        <v>111</v>
      </c>
      <c r="S3204" s="9">
        <v>197</v>
      </c>
      <c r="T3204" s="9">
        <v>1446.44</v>
      </c>
      <c r="U3204" s="9">
        <v>0</v>
      </c>
      <c r="V3204" s="9">
        <f t="shared" si="2203"/>
        <v>0</v>
      </c>
      <c r="W3204" s="7"/>
      <c r="X3204" s="2">
        <v>2016</v>
      </c>
      <c r="Y3204" s="2" t="s">
        <v>9414</v>
      </c>
    </row>
    <row r="3205" spans="1:25" s="11" customFormat="1" ht="89.25" customHeight="1" outlineLevel="1" x14ac:dyDescent="0.25">
      <c r="A3205" s="1"/>
      <c r="B3205" s="2" t="s">
        <v>9413</v>
      </c>
      <c r="C3205" s="3" t="s">
        <v>83</v>
      </c>
      <c r="D3205" s="3" t="s">
        <v>5735</v>
      </c>
      <c r="E3205" s="3" t="s">
        <v>5736</v>
      </c>
      <c r="F3205" s="3" t="s">
        <v>5737</v>
      </c>
      <c r="G3205" s="3" t="s">
        <v>5738</v>
      </c>
      <c r="H3205" s="2" t="s">
        <v>765</v>
      </c>
      <c r="I3205" s="4">
        <v>0</v>
      </c>
      <c r="J3205" s="5">
        <v>710000000</v>
      </c>
      <c r="K3205" s="5" t="s">
        <v>89</v>
      </c>
      <c r="L3205" s="2" t="s">
        <v>754</v>
      </c>
      <c r="M3205" s="6" t="s">
        <v>91</v>
      </c>
      <c r="N3205" s="7" t="s">
        <v>92</v>
      </c>
      <c r="O3205" s="7" t="s">
        <v>93</v>
      </c>
      <c r="P3205" s="3" t="s">
        <v>673</v>
      </c>
      <c r="Q3205" s="8" t="s">
        <v>544</v>
      </c>
      <c r="R3205" s="7" t="s">
        <v>111</v>
      </c>
      <c r="S3205" s="9">
        <v>197</v>
      </c>
      <c r="T3205" s="9">
        <v>1145</v>
      </c>
      <c r="U3205" s="9">
        <f t="shared" ref="U3205" si="2214">T3205*S3205</f>
        <v>225565</v>
      </c>
      <c r="V3205" s="9">
        <f t="shared" ref="V3205" si="2215">U3205*1.12</f>
        <v>252632.80000000002</v>
      </c>
      <c r="W3205" s="7"/>
      <c r="X3205" s="2">
        <v>2016</v>
      </c>
      <c r="Y3205" s="2"/>
    </row>
    <row r="3206" spans="1:25" s="11" customFormat="1" ht="89.25" customHeight="1" outlineLevel="1" x14ac:dyDescent="0.25">
      <c r="A3206" s="1"/>
      <c r="B3206" s="2" t="s">
        <v>7389</v>
      </c>
      <c r="C3206" s="3" t="s">
        <v>83</v>
      </c>
      <c r="D3206" s="3" t="s">
        <v>5739</v>
      </c>
      <c r="E3206" s="3" t="s">
        <v>5740</v>
      </c>
      <c r="F3206" s="3" t="s">
        <v>5741</v>
      </c>
      <c r="G3206" s="3" t="s">
        <v>5742</v>
      </c>
      <c r="H3206" s="2" t="s">
        <v>694</v>
      </c>
      <c r="I3206" s="4">
        <v>0</v>
      </c>
      <c r="J3206" s="5">
        <v>710000000</v>
      </c>
      <c r="K3206" s="5" t="s">
        <v>89</v>
      </c>
      <c r="L3206" s="2" t="s">
        <v>754</v>
      </c>
      <c r="M3206" s="6" t="s">
        <v>787</v>
      </c>
      <c r="N3206" s="7" t="s">
        <v>92</v>
      </c>
      <c r="O3206" s="7" t="s">
        <v>93</v>
      </c>
      <c r="P3206" s="3" t="s">
        <v>673</v>
      </c>
      <c r="Q3206" s="8" t="s">
        <v>522</v>
      </c>
      <c r="R3206" s="7" t="s">
        <v>523</v>
      </c>
      <c r="S3206" s="9">
        <f>146+33+4</f>
        <v>183</v>
      </c>
      <c r="T3206" s="9">
        <v>553.57000000000005</v>
      </c>
      <c r="U3206" s="9">
        <f t="shared" si="2202"/>
        <v>101303.31000000001</v>
      </c>
      <c r="V3206" s="9">
        <f t="shared" si="2203"/>
        <v>113459.70720000002</v>
      </c>
      <c r="W3206" s="7"/>
      <c r="X3206" s="2">
        <v>2016</v>
      </c>
      <c r="Y3206" s="2"/>
    </row>
    <row r="3207" spans="1:25" s="11" customFormat="1" ht="89.25" customHeight="1" outlineLevel="1" x14ac:dyDescent="0.25">
      <c r="A3207" s="1"/>
      <c r="B3207" s="2" t="s">
        <v>7390</v>
      </c>
      <c r="C3207" s="3" t="s">
        <v>83</v>
      </c>
      <c r="D3207" s="3" t="s">
        <v>5743</v>
      </c>
      <c r="E3207" s="3" t="s">
        <v>5744</v>
      </c>
      <c r="F3207" s="3" t="s">
        <v>5745</v>
      </c>
      <c r="G3207" s="19" t="s">
        <v>5746</v>
      </c>
      <c r="H3207" s="2" t="s">
        <v>694</v>
      </c>
      <c r="I3207" s="4">
        <v>0</v>
      </c>
      <c r="J3207" s="5">
        <v>710000000</v>
      </c>
      <c r="K3207" s="5" t="s">
        <v>89</v>
      </c>
      <c r="L3207" s="2" t="s">
        <v>754</v>
      </c>
      <c r="M3207" s="6" t="s">
        <v>91</v>
      </c>
      <c r="N3207" s="7" t="s">
        <v>92</v>
      </c>
      <c r="O3207" s="7" t="s">
        <v>93</v>
      </c>
      <c r="P3207" s="3" t="s">
        <v>673</v>
      </c>
      <c r="Q3207" s="8">
        <v>796</v>
      </c>
      <c r="R3207" s="7" t="s">
        <v>118</v>
      </c>
      <c r="S3207" s="9">
        <v>6</v>
      </c>
      <c r="T3207" s="9">
        <v>580</v>
      </c>
      <c r="U3207" s="9">
        <f t="shared" si="2202"/>
        <v>3480</v>
      </c>
      <c r="V3207" s="9">
        <f t="shared" si="2203"/>
        <v>3897.6000000000004</v>
      </c>
      <c r="W3207" s="7"/>
      <c r="X3207" s="2">
        <v>2016</v>
      </c>
      <c r="Y3207" s="2"/>
    </row>
    <row r="3208" spans="1:25" s="11" customFormat="1" ht="89.25" customHeight="1" outlineLevel="1" x14ac:dyDescent="0.25">
      <c r="A3208" s="1"/>
      <c r="B3208" s="2" t="s">
        <v>7391</v>
      </c>
      <c r="C3208" s="3" t="s">
        <v>83</v>
      </c>
      <c r="D3208" s="3" t="s">
        <v>5747</v>
      </c>
      <c r="E3208" s="3" t="s">
        <v>5744</v>
      </c>
      <c r="F3208" s="3" t="s">
        <v>5748</v>
      </c>
      <c r="G3208" s="19" t="s">
        <v>5749</v>
      </c>
      <c r="H3208" s="2" t="s">
        <v>694</v>
      </c>
      <c r="I3208" s="4">
        <v>0</v>
      </c>
      <c r="J3208" s="5">
        <v>710000000</v>
      </c>
      <c r="K3208" s="5" t="s">
        <v>89</v>
      </c>
      <c r="L3208" s="2" t="s">
        <v>754</v>
      </c>
      <c r="M3208" s="6" t="s">
        <v>91</v>
      </c>
      <c r="N3208" s="7" t="s">
        <v>92</v>
      </c>
      <c r="O3208" s="7" t="s">
        <v>93</v>
      </c>
      <c r="P3208" s="3" t="s">
        <v>673</v>
      </c>
      <c r="Q3208" s="8">
        <v>796</v>
      </c>
      <c r="R3208" s="7" t="s">
        <v>118</v>
      </c>
      <c r="S3208" s="9">
        <v>6</v>
      </c>
      <c r="T3208" s="9">
        <v>607</v>
      </c>
      <c r="U3208" s="9">
        <f t="shared" si="2202"/>
        <v>3642</v>
      </c>
      <c r="V3208" s="9">
        <f t="shared" si="2203"/>
        <v>4079.0400000000004</v>
      </c>
      <c r="W3208" s="7"/>
      <c r="X3208" s="2">
        <v>2016</v>
      </c>
      <c r="Y3208" s="2"/>
    </row>
    <row r="3209" spans="1:25" s="11" customFormat="1" ht="89.25" customHeight="1" outlineLevel="1" x14ac:dyDescent="0.25">
      <c r="A3209" s="1"/>
      <c r="B3209" s="2" t="s">
        <v>7392</v>
      </c>
      <c r="C3209" s="3" t="s">
        <v>83</v>
      </c>
      <c r="D3209" s="3" t="s">
        <v>5750</v>
      </c>
      <c r="E3209" s="3" t="s">
        <v>5751</v>
      </c>
      <c r="F3209" s="3" t="s">
        <v>5752</v>
      </c>
      <c r="G3209" s="19" t="s">
        <v>5753</v>
      </c>
      <c r="H3209" s="2" t="s">
        <v>694</v>
      </c>
      <c r="I3209" s="4">
        <v>0</v>
      </c>
      <c r="J3209" s="5">
        <v>710000000</v>
      </c>
      <c r="K3209" s="5" t="s">
        <v>89</v>
      </c>
      <c r="L3209" s="2" t="s">
        <v>754</v>
      </c>
      <c r="M3209" s="6" t="s">
        <v>91</v>
      </c>
      <c r="N3209" s="7" t="s">
        <v>92</v>
      </c>
      <c r="O3209" s="7" t="s">
        <v>93</v>
      </c>
      <c r="P3209" s="3" t="s">
        <v>673</v>
      </c>
      <c r="Q3209" s="8">
        <v>796</v>
      </c>
      <c r="R3209" s="7" t="s">
        <v>118</v>
      </c>
      <c r="S3209" s="9">
        <v>226</v>
      </c>
      <c r="T3209" s="9">
        <v>482</v>
      </c>
      <c r="U3209" s="9">
        <f t="shared" si="2202"/>
        <v>108932</v>
      </c>
      <c r="V3209" s="9">
        <f t="shared" si="2203"/>
        <v>122003.84000000001</v>
      </c>
      <c r="W3209" s="7"/>
      <c r="X3209" s="2">
        <v>2016</v>
      </c>
      <c r="Y3209" s="2"/>
    </row>
    <row r="3210" spans="1:25" s="11" customFormat="1" ht="89.25" customHeight="1" outlineLevel="1" x14ac:dyDescent="0.25">
      <c r="A3210" s="1"/>
      <c r="B3210" s="2" t="s">
        <v>7393</v>
      </c>
      <c r="C3210" s="3" t="s">
        <v>83</v>
      </c>
      <c r="D3210" s="3" t="s">
        <v>5754</v>
      </c>
      <c r="E3210" s="3" t="s">
        <v>5751</v>
      </c>
      <c r="F3210" s="3" t="s">
        <v>5755</v>
      </c>
      <c r="G3210" s="19" t="s">
        <v>5756</v>
      </c>
      <c r="H3210" s="2" t="s">
        <v>694</v>
      </c>
      <c r="I3210" s="4">
        <v>0</v>
      </c>
      <c r="J3210" s="5">
        <v>710000000</v>
      </c>
      <c r="K3210" s="5" t="s">
        <v>89</v>
      </c>
      <c r="L3210" s="2" t="s">
        <v>754</v>
      </c>
      <c r="M3210" s="6" t="s">
        <v>91</v>
      </c>
      <c r="N3210" s="7" t="s">
        <v>92</v>
      </c>
      <c r="O3210" s="7" t="s">
        <v>93</v>
      </c>
      <c r="P3210" s="3" t="s">
        <v>673</v>
      </c>
      <c r="Q3210" s="8">
        <v>796</v>
      </c>
      <c r="R3210" s="7" t="s">
        <v>118</v>
      </c>
      <c r="S3210" s="9">
        <v>238</v>
      </c>
      <c r="T3210" s="9">
        <v>534</v>
      </c>
      <c r="U3210" s="9">
        <f t="shared" si="2202"/>
        <v>127092</v>
      </c>
      <c r="V3210" s="9">
        <f t="shared" si="2203"/>
        <v>142343.04000000001</v>
      </c>
      <c r="W3210" s="7"/>
      <c r="X3210" s="2">
        <v>2016</v>
      </c>
      <c r="Y3210" s="2"/>
    </row>
    <row r="3211" spans="1:25" s="11" customFormat="1" ht="89.25" customHeight="1" outlineLevel="1" x14ac:dyDescent="0.25">
      <c r="A3211" s="1"/>
      <c r="B3211" s="2" t="s">
        <v>7394</v>
      </c>
      <c r="C3211" s="3" t="s">
        <v>83</v>
      </c>
      <c r="D3211" s="3" t="s">
        <v>5757</v>
      </c>
      <c r="E3211" s="3" t="s">
        <v>5758</v>
      </c>
      <c r="F3211" s="3" t="s">
        <v>5759</v>
      </c>
      <c r="G3211" s="19" t="s">
        <v>5760</v>
      </c>
      <c r="H3211" s="2" t="s">
        <v>694</v>
      </c>
      <c r="I3211" s="4">
        <v>0</v>
      </c>
      <c r="J3211" s="5">
        <v>710000000</v>
      </c>
      <c r="K3211" s="5" t="s">
        <v>89</v>
      </c>
      <c r="L3211" s="2" t="s">
        <v>754</v>
      </c>
      <c r="M3211" s="6" t="s">
        <v>91</v>
      </c>
      <c r="N3211" s="7" t="s">
        <v>92</v>
      </c>
      <c r="O3211" s="7" t="s">
        <v>93</v>
      </c>
      <c r="P3211" s="3" t="s">
        <v>673</v>
      </c>
      <c r="Q3211" s="8">
        <v>796</v>
      </c>
      <c r="R3211" s="7" t="s">
        <v>118</v>
      </c>
      <c r="S3211" s="9">
        <v>19</v>
      </c>
      <c r="T3211" s="9">
        <v>580</v>
      </c>
      <c r="U3211" s="9">
        <f t="shared" si="2202"/>
        <v>11020</v>
      </c>
      <c r="V3211" s="9">
        <f t="shared" si="2203"/>
        <v>12342.400000000001</v>
      </c>
      <c r="W3211" s="7"/>
      <c r="X3211" s="2">
        <v>2016</v>
      </c>
      <c r="Y3211" s="2"/>
    </row>
    <row r="3212" spans="1:25" s="11" customFormat="1" ht="89.25" customHeight="1" outlineLevel="1" x14ac:dyDescent="0.25">
      <c r="A3212" s="1"/>
      <c r="B3212" s="2" t="s">
        <v>7395</v>
      </c>
      <c r="C3212" s="3" t="s">
        <v>83</v>
      </c>
      <c r="D3212" s="3" t="s">
        <v>5761</v>
      </c>
      <c r="E3212" s="3" t="s">
        <v>5762</v>
      </c>
      <c r="F3212" s="3" t="s">
        <v>5763</v>
      </c>
      <c r="G3212" s="19" t="s">
        <v>5764</v>
      </c>
      <c r="H3212" s="2" t="s">
        <v>694</v>
      </c>
      <c r="I3212" s="4">
        <v>0</v>
      </c>
      <c r="J3212" s="5">
        <v>710000000</v>
      </c>
      <c r="K3212" s="5" t="s">
        <v>89</v>
      </c>
      <c r="L3212" s="2" t="s">
        <v>754</v>
      </c>
      <c r="M3212" s="6" t="s">
        <v>91</v>
      </c>
      <c r="N3212" s="7" t="s">
        <v>92</v>
      </c>
      <c r="O3212" s="7" t="s">
        <v>93</v>
      </c>
      <c r="P3212" s="3" t="s">
        <v>673</v>
      </c>
      <c r="Q3212" s="8">
        <v>796</v>
      </c>
      <c r="R3212" s="7" t="s">
        <v>118</v>
      </c>
      <c r="S3212" s="9">
        <v>273</v>
      </c>
      <c r="T3212" s="9">
        <v>446</v>
      </c>
      <c r="U3212" s="9">
        <f t="shared" si="2202"/>
        <v>121758</v>
      </c>
      <c r="V3212" s="9">
        <f t="shared" si="2203"/>
        <v>136368.96000000002</v>
      </c>
      <c r="W3212" s="7"/>
      <c r="X3212" s="2">
        <v>2016</v>
      </c>
      <c r="Y3212" s="2"/>
    </row>
    <row r="3213" spans="1:25" s="11" customFormat="1" ht="89.25" customHeight="1" outlineLevel="1" x14ac:dyDescent="0.25">
      <c r="A3213" s="1"/>
      <c r="B3213" s="2" t="s">
        <v>7396</v>
      </c>
      <c r="C3213" s="3" t="s">
        <v>83</v>
      </c>
      <c r="D3213" s="3" t="s">
        <v>5765</v>
      </c>
      <c r="E3213" s="3" t="s">
        <v>5762</v>
      </c>
      <c r="F3213" s="3" t="s">
        <v>5766</v>
      </c>
      <c r="G3213" s="19" t="s">
        <v>5767</v>
      </c>
      <c r="H3213" s="2" t="s">
        <v>694</v>
      </c>
      <c r="I3213" s="4">
        <v>0</v>
      </c>
      <c r="J3213" s="5">
        <v>710000000</v>
      </c>
      <c r="K3213" s="5" t="s">
        <v>89</v>
      </c>
      <c r="L3213" s="2" t="s">
        <v>754</v>
      </c>
      <c r="M3213" s="6" t="s">
        <v>91</v>
      </c>
      <c r="N3213" s="7" t="s">
        <v>92</v>
      </c>
      <c r="O3213" s="7" t="s">
        <v>93</v>
      </c>
      <c r="P3213" s="3" t="s">
        <v>673</v>
      </c>
      <c r="Q3213" s="8" t="s">
        <v>3876</v>
      </c>
      <c r="R3213" s="7" t="s">
        <v>2605</v>
      </c>
      <c r="S3213" s="9">
        <v>3</v>
      </c>
      <c r="T3213" s="9">
        <v>3045</v>
      </c>
      <c r="U3213" s="9">
        <f t="shared" si="2202"/>
        <v>9135</v>
      </c>
      <c r="V3213" s="9">
        <f t="shared" si="2203"/>
        <v>10231.200000000001</v>
      </c>
      <c r="W3213" s="7"/>
      <c r="X3213" s="2">
        <v>2016</v>
      </c>
      <c r="Y3213" s="2"/>
    </row>
    <row r="3214" spans="1:25" s="11" customFormat="1" ht="89.25" customHeight="1" outlineLevel="1" x14ac:dyDescent="0.25">
      <c r="A3214" s="1"/>
      <c r="B3214" s="2" t="s">
        <v>7397</v>
      </c>
      <c r="C3214" s="3" t="s">
        <v>83</v>
      </c>
      <c r="D3214" s="3" t="s">
        <v>5768</v>
      </c>
      <c r="E3214" s="3" t="s">
        <v>5769</v>
      </c>
      <c r="F3214" s="3" t="s">
        <v>5770</v>
      </c>
      <c r="G3214" s="19" t="s">
        <v>5771</v>
      </c>
      <c r="H3214" s="2" t="s">
        <v>694</v>
      </c>
      <c r="I3214" s="4">
        <v>0</v>
      </c>
      <c r="J3214" s="5">
        <v>710000000</v>
      </c>
      <c r="K3214" s="5" t="s">
        <v>89</v>
      </c>
      <c r="L3214" s="2" t="s">
        <v>754</v>
      </c>
      <c r="M3214" s="6" t="s">
        <v>91</v>
      </c>
      <c r="N3214" s="7" t="s">
        <v>92</v>
      </c>
      <c r="O3214" s="7" t="s">
        <v>93</v>
      </c>
      <c r="P3214" s="3" t="s">
        <v>673</v>
      </c>
      <c r="Q3214" s="8">
        <v>796</v>
      </c>
      <c r="R3214" s="7" t="s">
        <v>118</v>
      </c>
      <c r="S3214" s="9">
        <v>24</v>
      </c>
      <c r="T3214" s="9">
        <v>1955</v>
      </c>
      <c r="U3214" s="9">
        <f t="shared" si="2202"/>
        <v>46920</v>
      </c>
      <c r="V3214" s="9">
        <f t="shared" si="2203"/>
        <v>52550.400000000001</v>
      </c>
      <c r="W3214" s="7"/>
      <c r="X3214" s="2">
        <v>2016</v>
      </c>
      <c r="Y3214" s="2"/>
    </row>
    <row r="3215" spans="1:25" s="11" customFormat="1" ht="89.25" customHeight="1" outlineLevel="1" x14ac:dyDescent="0.25">
      <c r="A3215" s="1"/>
      <c r="B3215" s="2" t="s">
        <v>7398</v>
      </c>
      <c r="C3215" s="3" t="s">
        <v>83</v>
      </c>
      <c r="D3215" s="3" t="s">
        <v>5772</v>
      </c>
      <c r="E3215" s="3" t="s">
        <v>5740</v>
      </c>
      <c r="F3215" s="3" t="s">
        <v>5773</v>
      </c>
      <c r="G3215" s="19" t="s">
        <v>5774</v>
      </c>
      <c r="H3215" s="2" t="s">
        <v>694</v>
      </c>
      <c r="I3215" s="4">
        <v>0</v>
      </c>
      <c r="J3215" s="5">
        <v>710000000</v>
      </c>
      <c r="K3215" s="5" t="s">
        <v>89</v>
      </c>
      <c r="L3215" s="2" t="s">
        <v>754</v>
      </c>
      <c r="M3215" s="6" t="s">
        <v>91</v>
      </c>
      <c r="N3215" s="7" t="s">
        <v>92</v>
      </c>
      <c r="O3215" s="7" t="s">
        <v>93</v>
      </c>
      <c r="P3215" s="3" t="s">
        <v>673</v>
      </c>
      <c r="Q3215" s="8">
        <v>796</v>
      </c>
      <c r="R3215" s="7" t="s">
        <v>118</v>
      </c>
      <c r="S3215" s="9">
        <v>5</v>
      </c>
      <c r="T3215" s="9">
        <v>790</v>
      </c>
      <c r="U3215" s="9">
        <f t="shared" si="2202"/>
        <v>3950</v>
      </c>
      <c r="V3215" s="9">
        <f t="shared" si="2203"/>
        <v>4424</v>
      </c>
      <c r="W3215" s="7"/>
      <c r="X3215" s="2">
        <v>2016</v>
      </c>
      <c r="Y3215" s="2"/>
    </row>
    <row r="3216" spans="1:25" s="11" customFormat="1" ht="89.25" customHeight="1" outlineLevel="1" x14ac:dyDescent="0.25">
      <c r="A3216" s="1"/>
      <c r="B3216" s="2" t="s">
        <v>7399</v>
      </c>
      <c r="C3216" s="3" t="s">
        <v>83</v>
      </c>
      <c r="D3216" s="3" t="s">
        <v>5775</v>
      </c>
      <c r="E3216" s="3" t="s">
        <v>5740</v>
      </c>
      <c r="F3216" s="3" t="s">
        <v>5776</v>
      </c>
      <c r="G3216" s="19" t="s">
        <v>5777</v>
      </c>
      <c r="H3216" s="2" t="s">
        <v>694</v>
      </c>
      <c r="I3216" s="4">
        <v>0</v>
      </c>
      <c r="J3216" s="5">
        <v>710000000</v>
      </c>
      <c r="K3216" s="5" t="s">
        <v>89</v>
      </c>
      <c r="L3216" s="2" t="s">
        <v>754</v>
      </c>
      <c r="M3216" s="6" t="s">
        <v>91</v>
      </c>
      <c r="N3216" s="7" t="s">
        <v>92</v>
      </c>
      <c r="O3216" s="7" t="s">
        <v>93</v>
      </c>
      <c r="P3216" s="3" t="s">
        <v>673</v>
      </c>
      <c r="Q3216" s="8">
        <v>796</v>
      </c>
      <c r="R3216" s="7" t="s">
        <v>118</v>
      </c>
      <c r="S3216" s="9">
        <v>25</v>
      </c>
      <c r="T3216" s="9">
        <v>396</v>
      </c>
      <c r="U3216" s="9">
        <f t="shared" si="2202"/>
        <v>9900</v>
      </c>
      <c r="V3216" s="9">
        <f t="shared" si="2203"/>
        <v>11088.000000000002</v>
      </c>
      <c r="W3216" s="7"/>
      <c r="X3216" s="2">
        <v>2016</v>
      </c>
      <c r="Y3216" s="2"/>
    </row>
    <row r="3217" spans="1:25" s="11" customFormat="1" ht="89.25" customHeight="1" outlineLevel="1" x14ac:dyDescent="0.25">
      <c r="A3217" s="1"/>
      <c r="B3217" s="2" t="s">
        <v>7400</v>
      </c>
      <c r="C3217" s="3" t="s">
        <v>83</v>
      </c>
      <c r="D3217" s="3" t="s">
        <v>5778</v>
      </c>
      <c r="E3217" s="3" t="s">
        <v>5779</v>
      </c>
      <c r="F3217" s="3" t="s">
        <v>5780</v>
      </c>
      <c r="G3217" s="19" t="s">
        <v>5781</v>
      </c>
      <c r="H3217" s="2" t="s">
        <v>694</v>
      </c>
      <c r="I3217" s="4">
        <v>0</v>
      </c>
      <c r="J3217" s="5">
        <v>710000000</v>
      </c>
      <c r="K3217" s="5" t="s">
        <v>89</v>
      </c>
      <c r="L3217" s="2" t="s">
        <v>754</v>
      </c>
      <c r="M3217" s="6" t="s">
        <v>91</v>
      </c>
      <c r="N3217" s="7" t="s">
        <v>92</v>
      </c>
      <c r="O3217" s="7" t="s">
        <v>93</v>
      </c>
      <c r="P3217" s="3" t="s">
        <v>673</v>
      </c>
      <c r="Q3217" s="8">
        <v>796</v>
      </c>
      <c r="R3217" s="7" t="s">
        <v>118</v>
      </c>
      <c r="S3217" s="9">
        <v>18</v>
      </c>
      <c r="T3217" s="9">
        <v>576</v>
      </c>
      <c r="U3217" s="9">
        <f t="shared" si="2202"/>
        <v>10368</v>
      </c>
      <c r="V3217" s="9">
        <f t="shared" si="2203"/>
        <v>11612.160000000002</v>
      </c>
      <c r="W3217" s="7"/>
      <c r="X3217" s="2">
        <v>2016</v>
      </c>
      <c r="Y3217" s="2"/>
    </row>
    <row r="3218" spans="1:25" s="11" customFormat="1" ht="89.25" customHeight="1" outlineLevel="1" x14ac:dyDescent="0.25">
      <c r="A3218" s="1"/>
      <c r="B3218" s="2" t="s">
        <v>7401</v>
      </c>
      <c r="C3218" s="3" t="s">
        <v>83</v>
      </c>
      <c r="D3218" s="3" t="s">
        <v>5782</v>
      </c>
      <c r="E3218" s="3" t="s">
        <v>5783</v>
      </c>
      <c r="F3218" s="3" t="s">
        <v>5784</v>
      </c>
      <c r="G3218" s="60"/>
      <c r="H3218" s="2" t="s">
        <v>694</v>
      </c>
      <c r="I3218" s="4">
        <v>0</v>
      </c>
      <c r="J3218" s="5">
        <v>710000000</v>
      </c>
      <c r="K3218" s="5" t="s">
        <v>89</v>
      </c>
      <c r="L3218" s="2" t="s">
        <v>754</v>
      </c>
      <c r="M3218" s="6" t="s">
        <v>91</v>
      </c>
      <c r="N3218" s="7" t="s">
        <v>92</v>
      </c>
      <c r="O3218" s="7" t="s">
        <v>93</v>
      </c>
      <c r="P3218" s="3" t="s">
        <v>673</v>
      </c>
      <c r="Q3218" s="8">
        <v>796</v>
      </c>
      <c r="R3218" s="7" t="s">
        <v>118</v>
      </c>
      <c r="S3218" s="9">
        <v>30</v>
      </c>
      <c r="T3218" s="9">
        <v>1366</v>
      </c>
      <c r="U3218" s="9">
        <f t="shared" si="2202"/>
        <v>40980</v>
      </c>
      <c r="V3218" s="9">
        <f t="shared" si="2203"/>
        <v>45897.600000000006</v>
      </c>
      <c r="W3218" s="7"/>
      <c r="X3218" s="2">
        <v>2016</v>
      </c>
      <c r="Y3218" s="2"/>
    </row>
    <row r="3219" spans="1:25" s="11" customFormat="1" ht="89.25" customHeight="1" outlineLevel="1" x14ac:dyDescent="0.25">
      <c r="A3219" s="1"/>
      <c r="B3219" s="2" t="s">
        <v>7402</v>
      </c>
      <c r="C3219" s="3" t="s">
        <v>83</v>
      </c>
      <c r="D3219" s="3" t="s">
        <v>5785</v>
      </c>
      <c r="E3219" s="3" t="s">
        <v>5786</v>
      </c>
      <c r="F3219" s="3" t="s">
        <v>5787</v>
      </c>
      <c r="G3219" s="19" t="s">
        <v>5788</v>
      </c>
      <c r="H3219" s="2" t="s">
        <v>694</v>
      </c>
      <c r="I3219" s="4">
        <v>0</v>
      </c>
      <c r="J3219" s="5">
        <v>710000000</v>
      </c>
      <c r="K3219" s="5" t="s">
        <v>89</v>
      </c>
      <c r="L3219" s="2" t="s">
        <v>754</v>
      </c>
      <c r="M3219" s="6" t="s">
        <v>91</v>
      </c>
      <c r="N3219" s="7" t="s">
        <v>92</v>
      </c>
      <c r="O3219" s="7" t="s">
        <v>93</v>
      </c>
      <c r="P3219" s="3" t="s">
        <v>673</v>
      </c>
      <c r="Q3219" s="8">
        <v>796</v>
      </c>
      <c r="R3219" s="7" t="s">
        <v>118</v>
      </c>
      <c r="S3219" s="9">
        <v>30</v>
      </c>
      <c r="T3219" s="9">
        <v>1366</v>
      </c>
      <c r="U3219" s="9">
        <f t="shared" si="2202"/>
        <v>40980</v>
      </c>
      <c r="V3219" s="9">
        <f t="shared" si="2203"/>
        <v>45897.600000000006</v>
      </c>
      <c r="W3219" s="7"/>
      <c r="X3219" s="2">
        <v>2016</v>
      </c>
      <c r="Y3219" s="2"/>
    </row>
    <row r="3220" spans="1:25" s="11" customFormat="1" ht="89.25" customHeight="1" outlineLevel="1" x14ac:dyDescent="0.25">
      <c r="A3220" s="1"/>
      <c r="B3220" s="2" t="s">
        <v>7403</v>
      </c>
      <c r="C3220" s="3" t="s">
        <v>83</v>
      </c>
      <c r="D3220" s="3" t="s">
        <v>5789</v>
      </c>
      <c r="E3220" s="3" t="s">
        <v>3966</v>
      </c>
      <c r="F3220" s="3" t="s">
        <v>5790</v>
      </c>
      <c r="G3220" s="19" t="s">
        <v>5791</v>
      </c>
      <c r="H3220" s="2" t="s">
        <v>694</v>
      </c>
      <c r="I3220" s="4">
        <v>0</v>
      </c>
      <c r="J3220" s="5">
        <v>710000000</v>
      </c>
      <c r="K3220" s="5" t="s">
        <v>89</v>
      </c>
      <c r="L3220" s="2" t="s">
        <v>754</v>
      </c>
      <c r="M3220" s="6" t="s">
        <v>91</v>
      </c>
      <c r="N3220" s="7" t="s">
        <v>92</v>
      </c>
      <c r="O3220" s="7" t="s">
        <v>93</v>
      </c>
      <c r="P3220" s="3" t="s">
        <v>673</v>
      </c>
      <c r="Q3220" s="8">
        <v>796</v>
      </c>
      <c r="R3220" s="7" t="s">
        <v>118</v>
      </c>
      <c r="S3220" s="9">
        <v>25</v>
      </c>
      <c r="T3220" s="9">
        <v>670</v>
      </c>
      <c r="U3220" s="9">
        <f t="shared" si="2202"/>
        <v>16750</v>
      </c>
      <c r="V3220" s="9">
        <f t="shared" si="2203"/>
        <v>18760</v>
      </c>
      <c r="W3220" s="7"/>
      <c r="X3220" s="2">
        <v>2016</v>
      </c>
      <c r="Y3220" s="2"/>
    </row>
    <row r="3221" spans="1:25" s="11" customFormat="1" ht="89.25" customHeight="1" outlineLevel="1" x14ac:dyDescent="0.25">
      <c r="A3221" s="1"/>
      <c r="B3221" s="2" t="s">
        <v>7404</v>
      </c>
      <c r="C3221" s="3" t="s">
        <v>83</v>
      </c>
      <c r="D3221" s="3" t="s">
        <v>5789</v>
      </c>
      <c r="E3221" s="3" t="s">
        <v>3966</v>
      </c>
      <c r="F3221" s="3" t="s">
        <v>5790</v>
      </c>
      <c r="G3221" s="19" t="s">
        <v>5792</v>
      </c>
      <c r="H3221" s="2" t="s">
        <v>694</v>
      </c>
      <c r="I3221" s="4">
        <v>0</v>
      </c>
      <c r="J3221" s="5">
        <v>710000000</v>
      </c>
      <c r="K3221" s="5" t="s">
        <v>89</v>
      </c>
      <c r="L3221" s="2" t="s">
        <v>754</v>
      </c>
      <c r="M3221" s="6" t="s">
        <v>91</v>
      </c>
      <c r="N3221" s="7" t="s">
        <v>92</v>
      </c>
      <c r="O3221" s="7" t="s">
        <v>93</v>
      </c>
      <c r="P3221" s="3" t="s">
        <v>673</v>
      </c>
      <c r="Q3221" s="8">
        <v>796</v>
      </c>
      <c r="R3221" s="7" t="s">
        <v>118</v>
      </c>
      <c r="S3221" s="9">
        <v>3</v>
      </c>
      <c r="T3221" s="9">
        <v>496</v>
      </c>
      <c r="U3221" s="9">
        <f t="shared" si="2202"/>
        <v>1488</v>
      </c>
      <c r="V3221" s="9">
        <f t="shared" si="2203"/>
        <v>1666.5600000000002</v>
      </c>
      <c r="W3221" s="7"/>
      <c r="X3221" s="2">
        <v>2016</v>
      </c>
      <c r="Y3221" s="2"/>
    </row>
    <row r="3222" spans="1:25" s="11" customFormat="1" ht="89.25" customHeight="1" outlineLevel="1" x14ac:dyDescent="0.25">
      <c r="A3222" s="1"/>
      <c r="B3222" s="2" t="s">
        <v>7405</v>
      </c>
      <c r="C3222" s="3" t="s">
        <v>83</v>
      </c>
      <c r="D3222" s="3" t="s">
        <v>5793</v>
      </c>
      <c r="E3222" s="3" t="s">
        <v>3942</v>
      </c>
      <c r="F3222" s="3" t="s">
        <v>5794</v>
      </c>
      <c r="G3222" s="19" t="s">
        <v>5795</v>
      </c>
      <c r="H3222" s="2" t="s">
        <v>694</v>
      </c>
      <c r="I3222" s="4">
        <v>0</v>
      </c>
      <c r="J3222" s="5">
        <v>710000000</v>
      </c>
      <c r="K3222" s="5" t="s">
        <v>89</v>
      </c>
      <c r="L3222" s="2" t="s">
        <v>754</v>
      </c>
      <c r="M3222" s="6" t="s">
        <v>91</v>
      </c>
      <c r="N3222" s="7" t="s">
        <v>92</v>
      </c>
      <c r="O3222" s="7" t="s">
        <v>93</v>
      </c>
      <c r="P3222" s="3" t="s">
        <v>673</v>
      </c>
      <c r="Q3222" s="8">
        <v>796</v>
      </c>
      <c r="R3222" s="7" t="s">
        <v>118</v>
      </c>
      <c r="S3222" s="9">
        <v>2</v>
      </c>
      <c r="T3222" s="9">
        <v>2411</v>
      </c>
      <c r="U3222" s="9">
        <f t="shared" si="2202"/>
        <v>4822</v>
      </c>
      <c r="V3222" s="9">
        <f t="shared" si="2203"/>
        <v>5400.64</v>
      </c>
      <c r="W3222" s="7"/>
      <c r="X3222" s="2">
        <v>2016</v>
      </c>
      <c r="Y3222" s="2"/>
    </row>
    <row r="3223" spans="1:25" s="11" customFormat="1" ht="89.25" customHeight="1" outlineLevel="1" x14ac:dyDescent="0.25">
      <c r="A3223" s="1"/>
      <c r="B3223" s="2" t="s">
        <v>7406</v>
      </c>
      <c r="C3223" s="3" t="s">
        <v>83</v>
      </c>
      <c r="D3223" s="3" t="s">
        <v>5796</v>
      </c>
      <c r="E3223" s="3" t="s">
        <v>4846</v>
      </c>
      <c r="F3223" s="3" t="s">
        <v>5797</v>
      </c>
      <c r="G3223" s="19" t="s">
        <v>5798</v>
      </c>
      <c r="H3223" s="2" t="s">
        <v>694</v>
      </c>
      <c r="I3223" s="4">
        <v>0</v>
      </c>
      <c r="J3223" s="5">
        <v>710000000</v>
      </c>
      <c r="K3223" s="5" t="s">
        <v>89</v>
      </c>
      <c r="L3223" s="2" t="s">
        <v>754</v>
      </c>
      <c r="M3223" s="6" t="s">
        <v>91</v>
      </c>
      <c r="N3223" s="7" t="s">
        <v>92</v>
      </c>
      <c r="O3223" s="7" t="s">
        <v>93</v>
      </c>
      <c r="P3223" s="3" t="s">
        <v>673</v>
      </c>
      <c r="Q3223" s="8">
        <v>796</v>
      </c>
      <c r="R3223" s="7" t="s">
        <v>118</v>
      </c>
      <c r="S3223" s="9">
        <v>20</v>
      </c>
      <c r="T3223" s="9">
        <v>1964</v>
      </c>
      <c r="U3223" s="9">
        <f t="shared" ref="U3223:U3274" si="2216">T3223*S3223</f>
        <v>39280</v>
      </c>
      <c r="V3223" s="9">
        <f t="shared" si="2203"/>
        <v>43993.600000000006</v>
      </c>
      <c r="W3223" s="7"/>
      <c r="X3223" s="2">
        <v>2016</v>
      </c>
      <c r="Y3223" s="2"/>
    </row>
    <row r="3224" spans="1:25" s="11" customFormat="1" ht="89.25" customHeight="1" outlineLevel="1" x14ac:dyDescent="0.25">
      <c r="A3224" s="1"/>
      <c r="B3224" s="2" t="s">
        <v>7407</v>
      </c>
      <c r="C3224" s="3" t="s">
        <v>83</v>
      </c>
      <c r="D3224" s="3" t="s">
        <v>5799</v>
      </c>
      <c r="E3224" s="3" t="s">
        <v>5800</v>
      </c>
      <c r="F3224" s="3" t="s">
        <v>5801</v>
      </c>
      <c r="G3224" s="19" t="s">
        <v>5802</v>
      </c>
      <c r="H3224" s="2" t="s">
        <v>694</v>
      </c>
      <c r="I3224" s="4">
        <v>0</v>
      </c>
      <c r="J3224" s="5">
        <v>710000000</v>
      </c>
      <c r="K3224" s="5" t="s">
        <v>89</v>
      </c>
      <c r="L3224" s="2" t="s">
        <v>754</v>
      </c>
      <c r="M3224" s="6" t="s">
        <v>91</v>
      </c>
      <c r="N3224" s="7" t="s">
        <v>92</v>
      </c>
      <c r="O3224" s="7" t="s">
        <v>93</v>
      </c>
      <c r="P3224" s="3" t="s">
        <v>673</v>
      </c>
      <c r="Q3224" s="8">
        <v>796</v>
      </c>
      <c r="R3224" s="7" t="s">
        <v>118</v>
      </c>
      <c r="S3224" s="9">
        <v>5</v>
      </c>
      <c r="T3224" s="9">
        <v>8214</v>
      </c>
      <c r="U3224" s="9">
        <f t="shared" si="2216"/>
        <v>41070</v>
      </c>
      <c r="V3224" s="9">
        <f t="shared" si="2203"/>
        <v>45998.400000000001</v>
      </c>
      <c r="W3224" s="7"/>
      <c r="X3224" s="2">
        <v>2016</v>
      </c>
      <c r="Y3224" s="2"/>
    </row>
    <row r="3225" spans="1:25" s="11" customFormat="1" ht="89.25" customHeight="1" outlineLevel="1" x14ac:dyDescent="0.25">
      <c r="A3225" s="1"/>
      <c r="B3225" s="2" t="s">
        <v>7408</v>
      </c>
      <c r="C3225" s="3" t="s">
        <v>83</v>
      </c>
      <c r="D3225" s="3" t="s">
        <v>5803</v>
      </c>
      <c r="E3225" s="3" t="s">
        <v>5804</v>
      </c>
      <c r="F3225" s="3" t="s">
        <v>5805</v>
      </c>
      <c r="G3225" s="19" t="s">
        <v>5806</v>
      </c>
      <c r="H3225" s="2" t="s">
        <v>694</v>
      </c>
      <c r="I3225" s="4">
        <v>0</v>
      </c>
      <c r="J3225" s="5">
        <v>710000000</v>
      </c>
      <c r="K3225" s="5" t="s">
        <v>89</v>
      </c>
      <c r="L3225" s="2" t="s">
        <v>754</v>
      </c>
      <c r="M3225" s="6" t="s">
        <v>91</v>
      </c>
      <c r="N3225" s="7" t="s">
        <v>92</v>
      </c>
      <c r="O3225" s="7" t="s">
        <v>93</v>
      </c>
      <c r="P3225" s="3" t="s">
        <v>673</v>
      </c>
      <c r="Q3225" s="8">
        <v>796</v>
      </c>
      <c r="R3225" s="7" t="s">
        <v>118</v>
      </c>
      <c r="S3225" s="9">
        <v>2</v>
      </c>
      <c r="T3225" s="9">
        <v>7451</v>
      </c>
      <c r="U3225" s="9">
        <f t="shared" si="2216"/>
        <v>14902</v>
      </c>
      <c r="V3225" s="9">
        <f t="shared" si="2203"/>
        <v>16690.240000000002</v>
      </c>
      <c r="W3225" s="7"/>
      <c r="X3225" s="2">
        <v>2016</v>
      </c>
      <c r="Y3225" s="2"/>
    </row>
    <row r="3226" spans="1:25" s="11" customFormat="1" ht="89.25" customHeight="1" outlineLevel="1" x14ac:dyDescent="0.25">
      <c r="A3226" s="1"/>
      <c r="B3226" s="2" t="s">
        <v>7409</v>
      </c>
      <c r="C3226" s="3" t="s">
        <v>83</v>
      </c>
      <c r="D3226" s="3" t="s">
        <v>5807</v>
      </c>
      <c r="E3226" s="3" t="s">
        <v>5808</v>
      </c>
      <c r="F3226" s="3" t="s">
        <v>5809</v>
      </c>
      <c r="G3226" s="19" t="s">
        <v>5810</v>
      </c>
      <c r="H3226" s="2" t="s">
        <v>694</v>
      </c>
      <c r="I3226" s="4">
        <v>0</v>
      </c>
      <c r="J3226" s="5">
        <v>710000000</v>
      </c>
      <c r="K3226" s="5" t="s">
        <v>89</v>
      </c>
      <c r="L3226" s="2" t="s">
        <v>754</v>
      </c>
      <c r="M3226" s="6" t="s">
        <v>91</v>
      </c>
      <c r="N3226" s="7" t="s">
        <v>92</v>
      </c>
      <c r="O3226" s="7" t="s">
        <v>93</v>
      </c>
      <c r="P3226" s="3" t="s">
        <v>673</v>
      </c>
      <c r="Q3226" s="8">
        <v>796</v>
      </c>
      <c r="R3226" s="7" t="s">
        <v>118</v>
      </c>
      <c r="S3226" s="9">
        <v>34</v>
      </c>
      <c r="T3226" s="9">
        <v>348</v>
      </c>
      <c r="U3226" s="9">
        <f t="shared" si="2216"/>
        <v>11832</v>
      </c>
      <c r="V3226" s="9">
        <f t="shared" si="2203"/>
        <v>13251.840000000002</v>
      </c>
      <c r="W3226" s="7"/>
      <c r="X3226" s="2">
        <v>2016</v>
      </c>
      <c r="Y3226" s="2"/>
    </row>
    <row r="3227" spans="1:25" s="11" customFormat="1" ht="89.25" customHeight="1" outlineLevel="1" x14ac:dyDescent="0.25">
      <c r="A3227" s="1"/>
      <c r="B3227" s="2" t="s">
        <v>7410</v>
      </c>
      <c r="C3227" s="3" t="s">
        <v>83</v>
      </c>
      <c r="D3227" s="3" t="s">
        <v>5811</v>
      </c>
      <c r="E3227" s="3" t="s">
        <v>5812</v>
      </c>
      <c r="F3227" s="3" t="s">
        <v>5813</v>
      </c>
      <c r="G3227" s="19" t="s">
        <v>5814</v>
      </c>
      <c r="H3227" s="2" t="s">
        <v>694</v>
      </c>
      <c r="I3227" s="4">
        <v>0</v>
      </c>
      <c r="J3227" s="5">
        <v>710000000</v>
      </c>
      <c r="K3227" s="5" t="s">
        <v>89</v>
      </c>
      <c r="L3227" s="2" t="s">
        <v>754</v>
      </c>
      <c r="M3227" s="6" t="s">
        <v>91</v>
      </c>
      <c r="N3227" s="7" t="s">
        <v>92</v>
      </c>
      <c r="O3227" s="7" t="s">
        <v>93</v>
      </c>
      <c r="P3227" s="3" t="s">
        <v>673</v>
      </c>
      <c r="Q3227" s="8">
        <v>796</v>
      </c>
      <c r="R3227" s="7" t="s">
        <v>118</v>
      </c>
      <c r="S3227" s="9">
        <v>7</v>
      </c>
      <c r="T3227" s="9">
        <v>2589</v>
      </c>
      <c r="U3227" s="9">
        <f t="shared" si="2216"/>
        <v>18123</v>
      </c>
      <c r="V3227" s="9">
        <f t="shared" si="2203"/>
        <v>20297.760000000002</v>
      </c>
      <c r="W3227" s="7"/>
      <c r="X3227" s="2">
        <v>2016</v>
      </c>
      <c r="Y3227" s="2"/>
    </row>
    <row r="3228" spans="1:25" s="11" customFormat="1" ht="89.25" customHeight="1" outlineLevel="1" x14ac:dyDescent="0.25">
      <c r="A3228" s="1"/>
      <c r="B3228" s="2" t="s">
        <v>7411</v>
      </c>
      <c r="C3228" s="3" t="s">
        <v>83</v>
      </c>
      <c r="D3228" s="3" t="s">
        <v>5815</v>
      </c>
      <c r="E3228" s="3" t="s">
        <v>3995</v>
      </c>
      <c r="F3228" s="3" t="s">
        <v>3749</v>
      </c>
      <c r="G3228" s="19" t="s">
        <v>5816</v>
      </c>
      <c r="H3228" s="2" t="s">
        <v>694</v>
      </c>
      <c r="I3228" s="4">
        <v>0</v>
      </c>
      <c r="J3228" s="5">
        <v>710000000</v>
      </c>
      <c r="K3228" s="5" t="s">
        <v>89</v>
      </c>
      <c r="L3228" s="2" t="s">
        <v>754</v>
      </c>
      <c r="M3228" s="6" t="s">
        <v>91</v>
      </c>
      <c r="N3228" s="7" t="s">
        <v>92</v>
      </c>
      <c r="O3228" s="7" t="s">
        <v>93</v>
      </c>
      <c r="P3228" s="3" t="s">
        <v>673</v>
      </c>
      <c r="Q3228" s="8">
        <v>796</v>
      </c>
      <c r="R3228" s="7" t="s">
        <v>118</v>
      </c>
      <c r="S3228" s="9">
        <v>6</v>
      </c>
      <c r="T3228" s="9">
        <v>1875</v>
      </c>
      <c r="U3228" s="9">
        <f t="shared" si="2216"/>
        <v>11250</v>
      </c>
      <c r="V3228" s="9">
        <f t="shared" si="2203"/>
        <v>12600.000000000002</v>
      </c>
      <c r="W3228" s="7"/>
      <c r="X3228" s="2">
        <v>2016</v>
      </c>
      <c r="Y3228" s="2"/>
    </row>
    <row r="3229" spans="1:25" s="11" customFormat="1" ht="89.25" customHeight="1" outlineLevel="1" x14ac:dyDescent="0.25">
      <c r="A3229" s="1"/>
      <c r="B3229" s="2" t="s">
        <v>7412</v>
      </c>
      <c r="C3229" s="3" t="s">
        <v>83</v>
      </c>
      <c r="D3229" s="3" t="s">
        <v>5817</v>
      </c>
      <c r="E3229" s="3" t="s">
        <v>5818</v>
      </c>
      <c r="F3229" s="3" t="s">
        <v>3749</v>
      </c>
      <c r="G3229" s="60"/>
      <c r="H3229" s="2" t="s">
        <v>694</v>
      </c>
      <c r="I3229" s="4">
        <v>0</v>
      </c>
      <c r="J3229" s="5">
        <v>710000000</v>
      </c>
      <c r="K3229" s="5" t="s">
        <v>89</v>
      </c>
      <c r="L3229" s="2" t="s">
        <v>754</v>
      </c>
      <c r="M3229" s="6" t="s">
        <v>91</v>
      </c>
      <c r="N3229" s="7" t="s">
        <v>92</v>
      </c>
      <c r="O3229" s="7" t="s">
        <v>93</v>
      </c>
      <c r="P3229" s="3" t="s">
        <v>673</v>
      </c>
      <c r="Q3229" s="8">
        <v>796</v>
      </c>
      <c r="R3229" s="7" t="s">
        <v>118</v>
      </c>
      <c r="S3229" s="9">
        <v>5</v>
      </c>
      <c r="T3229" s="9">
        <v>1589</v>
      </c>
      <c r="U3229" s="9">
        <f t="shared" si="2216"/>
        <v>7945</v>
      </c>
      <c r="V3229" s="9">
        <f t="shared" si="2203"/>
        <v>8898.4000000000015</v>
      </c>
      <c r="W3229" s="7"/>
      <c r="X3229" s="2">
        <v>2016</v>
      </c>
      <c r="Y3229" s="2"/>
    </row>
    <row r="3230" spans="1:25" s="11" customFormat="1" ht="89.25" customHeight="1" outlineLevel="1" x14ac:dyDescent="0.25">
      <c r="A3230" s="1"/>
      <c r="B3230" s="2" t="s">
        <v>7413</v>
      </c>
      <c r="C3230" s="3" t="s">
        <v>83</v>
      </c>
      <c r="D3230" s="3" t="s">
        <v>5819</v>
      </c>
      <c r="E3230" s="3" t="s">
        <v>5820</v>
      </c>
      <c r="F3230" s="3" t="s">
        <v>3749</v>
      </c>
      <c r="G3230" s="60"/>
      <c r="H3230" s="2" t="s">
        <v>694</v>
      </c>
      <c r="I3230" s="4">
        <v>0</v>
      </c>
      <c r="J3230" s="5">
        <v>710000000</v>
      </c>
      <c r="K3230" s="5" t="s">
        <v>89</v>
      </c>
      <c r="L3230" s="2" t="s">
        <v>754</v>
      </c>
      <c r="M3230" s="6" t="s">
        <v>91</v>
      </c>
      <c r="N3230" s="7" t="s">
        <v>92</v>
      </c>
      <c r="O3230" s="7" t="s">
        <v>93</v>
      </c>
      <c r="P3230" s="3" t="s">
        <v>673</v>
      </c>
      <c r="Q3230" s="8">
        <v>796</v>
      </c>
      <c r="R3230" s="7" t="s">
        <v>118</v>
      </c>
      <c r="S3230" s="9">
        <v>4</v>
      </c>
      <c r="T3230" s="9">
        <v>2256</v>
      </c>
      <c r="U3230" s="9">
        <f t="shared" si="2216"/>
        <v>9024</v>
      </c>
      <c r="V3230" s="9">
        <f t="shared" si="2203"/>
        <v>10106.880000000001</v>
      </c>
      <c r="W3230" s="7"/>
      <c r="X3230" s="2">
        <v>2016</v>
      </c>
      <c r="Y3230" s="2"/>
    </row>
    <row r="3231" spans="1:25" s="11" customFormat="1" ht="89.25" customHeight="1" outlineLevel="1" x14ac:dyDescent="0.25">
      <c r="A3231" s="1"/>
      <c r="B3231" s="2" t="s">
        <v>7414</v>
      </c>
      <c r="C3231" s="3" t="s">
        <v>83</v>
      </c>
      <c r="D3231" s="3" t="s">
        <v>5821</v>
      </c>
      <c r="E3231" s="3" t="s">
        <v>5822</v>
      </c>
      <c r="F3231" s="3" t="s">
        <v>5823</v>
      </c>
      <c r="G3231" s="19" t="s">
        <v>5824</v>
      </c>
      <c r="H3231" s="2" t="s">
        <v>694</v>
      </c>
      <c r="I3231" s="4">
        <v>0</v>
      </c>
      <c r="J3231" s="5">
        <v>710000000</v>
      </c>
      <c r="K3231" s="5" t="s">
        <v>89</v>
      </c>
      <c r="L3231" s="2" t="s">
        <v>754</v>
      </c>
      <c r="M3231" s="6" t="s">
        <v>91</v>
      </c>
      <c r="N3231" s="7" t="s">
        <v>92</v>
      </c>
      <c r="O3231" s="7" t="s">
        <v>93</v>
      </c>
      <c r="P3231" s="3" t="s">
        <v>673</v>
      </c>
      <c r="Q3231" s="8">
        <v>796</v>
      </c>
      <c r="R3231" s="7" t="s">
        <v>118</v>
      </c>
      <c r="S3231" s="9">
        <v>150</v>
      </c>
      <c r="T3231" s="9">
        <v>286</v>
      </c>
      <c r="U3231" s="9">
        <f t="shared" si="2216"/>
        <v>42900</v>
      </c>
      <c r="V3231" s="9">
        <f t="shared" si="2203"/>
        <v>48048.000000000007</v>
      </c>
      <c r="W3231" s="7"/>
      <c r="X3231" s="2">
        <v>2016</v>
      </c>
      <c r="Y3231" s="2"/>
    </row>
    <row r="3232" spans="1:25" s="11" customFormat="1" ht="89.25" customHeight="1" outlineLevel="1" x14ac:dyDescent="0.25">
      <c r="A3232" s="1"/>
      <c r="B3232" s="2" t="s">
        <v>7415</v>
      </c>
      <c r="C3232" s="3" t="s">
        <v>83</v>
      </c>
      <c r="D3232" s="3" t="s">
        <v>5825</v>
      </c>
      <c r="E3232" s="3" t="s">
        <v>5822</v>
      </c>
      <c r="F3232" s="3" t="s">
        <v>5826</v>
      </c>
      <c r="G3232" s="19" t="s">
        <v>5827</v>
      </c>
      <c r="H3232" s="2" t="s">
        <v>694</v>
      </c>
      <c r="I3232" s="4">
        <v>0</v>
      </c>
      <c r="J3232" s="5">
        <v>710000000</v>
      </c>
      <c r="K3232" s="5" t="s">
        <v>89</v>
      </c>
      <c r="L3232" s="2" t="s">
        <v>754</v>
      </c>
      <c r="M3232" s="6" t="s">
        <v>91</v>
      </c>
      <c r="N3232" s="7" t="s">
        <v>92</v>
      </c>
      <c r="O3232" s="7" t="s">
        <v>93</v>
      </c>
      <c r="P3232" s="3" t="s">
        <v>673</v>
      </c>
      <c r="Q3232" s="8">
        <v>796</v>
      </c>
      <c r="R3232" s="7" t="s">
        <v>118</v>
      </c>
      <c r="S3232" s="9">
        <v>150</v>
      </c>
      <c r="T3232" s="9">
        <v>379</v>
      </c>
      <c r="U3232" s="9">
        <f t="shared" si="2216"/>
        <v>56850</v>
      </c>
      <c r="V3232" s="9">
        <f t="shared" si="2203"/>
        <v>63672.000000000007</v>
      </c>
      <c r="W3232" s="7"/>
      <c r="X3232" s="2">
        <v>2016</v>
      </c>
      <c r="Y3232" s="2"/>
    </row>
    <row r="3233" spans="1:25" s="11" customFormat="1" ht="89.25" customHeight="1" outlineLevel="1" x14ac:dyDescent="0.25">
      <c r="A3233" s="1"/>
      <c r="B3233" s="2" t="s">
        <v>7416</v>
      </c>
      <c r="C3233" s="3" t="s">
        <v>83</v>
      </c>
      <c r="D3233" s="3" t="s">
        <v>5828</v>
      </c>
      <c r="E3233" s="3" t="s">
        <v>2934</v>
      </c>
      <c r="F3233" s="3" t="s">
        <v>5826</v>
      </c>
      <c r="G3233" s="19" t="s">
        <v>5829</v>
      </c>
      <c r="H3233" s="2" t="s">
        <v>694</v>
      </c>
      <c r="I3233" s="4">
        <v>0</v>
      </c>
      <c r="J3233" s="5">
        <v>710000000</v>
      </c>
      <c r="K3233" s="5" t="s">
        <v>89</v>
      </c>
      <c r="L3233" s="2" t="s">
        <v>754</v>
      </c>
      <c r="M3233" s="6" t="s">
        <v>91</v>
      </c>
      <c r="N3233" s="7" t="s">
        <v>92</v>
      </c>
      <c r="O3233" s="7" t="s">
        <v>93</v>
      </c>
      <c r="P3233" s="3" t="s">
        <v>673</v>
      </c>
      <c r="Q3233" s="8">
        <v>796</v>
      </c>
      <c r="R3233" s="7" t="s">
        <v>118</v>
      </c>
      <c r="S3233" s="9">
        <v>300</v>
      </c>
      <c r="T3233" s="9">
        <v>379</v>
      </c>
      <c r="U3233" s="9">
        <f t="shared" si="2216"/>
        <v>113700</v>
      </c>
      <c r="V3233" s="9">
        <f t="shared" si="2203"/>
        <v>127344.00000000001</v>
      </c>
      <c r="W3233" s="7"/>
      <c r="X3233" s="2">
        <v>2016</v>
      </c>
      <c r="Y3233" s="2"/>
    </row>
    <row r="3234" spans="1:25" s="11" customFormat="1" ht="89.25" customHeight="1" outlineLevel="1" x14ac:dyDescent="0.25">
      <c r="A3234" s="1"/>
      <c r="B3234" s="2" t="s">
        <v>7417</v>
      </c>
      <c r="C3234" s="3" t="s">
        <v>83</v>
      </c>
      <c r="D3234" s="3" t="s">
        <v>5830</v>
      </c>
      <c r="E3234" s="3" t="s">
        <v>5831</v>
      </c>
      <c r="F3234" s="3" t="s">
        <v>5832</v>
      </c>
      <c r="G3234" s="19" t="s">
        <v>5833</v>
      </c>
      <c r="H3234" s="2" t="s">
        <v>694</v>
      </c>
      <c r="I3234" s="4">
        <v>0</v>
      </c>
      <c r="J3234" s="5">
        <v>710000000</v>
      </c>
      <c r="K3234" s="5" t="s">
        <v>89</v>
      </c>
      <c r="L3234" s="2" t="s">
        <v>754</v>
      </c>
      <c r="M3234" s="6" t="s">
        <v>91</v>
      </c>
      <c r="N3234" s="7" t="s">
        <v>92</v>
      </c>
      <c r="O3234" s="7" t="s">
        <v>93</v>
      </c>
      <c r="P3234" s="3" t="s">
        <v>673</v>
      </c>
      <c r="Q3234" s="8">
        <v>796</v>
      </c>
      <c r="R3234" s="7" t="s">
        <v>118</v>
      </c>
      <c r="S3234" s="9">
        <v>83</v>
      </c>
      <c r="T3234" s="9">
        <v>7741</v>
      </c>
      <c r="U3234" s="9">
        <f t="shared" si="2216"/>
        <v>642503</v>
      </c>
      <c r="V3234" s="9">
        <f t="shared" si="2203"/>
        <v>719603.3600000001</v>
      </c>
      <c r="W3234" s="7"/>
      <c r="X3234" s="2">
        <v>2016</v>
      </c>
      <c r="Y3234" s="2"/>
    </row>
    <row r="3235" spans="1:25" s="11" customFormat="1" ht="89.25" customHeight="1" outlineLevel="1" x14ac:dyDescent="0.25">
      <c r="A3235" s="1"/>
      <c r="B3235" s="2" t="s">
        <v>7418</v>
      </c>
      <c r="C3235" s="3" t="s">
        <v>83</v>
      </c>
      <c r="D3235" s="3" t="s">
        <v>5834</v>
      </c>
      <c r="E3235" s="3" t="s">
        <v>5835</v>
      </c>
      <c r="F3235" s="3" t="s">
        <v>5836</v>
      </c>
      <c r="G3235" s="19" t="s">
        <v>5837</v>
      </c>
      <c r="H3235" s="2" t="s">
        <v>694</v>
      </c>
      <c r="I3235" s="4">
        <v>0</v>
      </c>
      <c r="J3235" s="5">
        <v>710000000</v>
      </c>
      <c r="K3235" s="5" t="s">
        <v>89</v>
      </c>
      <c r="L3235" s="2" t="s">
        <v>754</v>
      </c>
      <c r="M3235" s="6" t="s">
        <v>91</v>
      </c>
      <c r="N3235" s="7" t="s">
        <v>92</v>
      </c>
      <c r="O3235" s="7" t="s">
        <v>93</v>
      </c>
      <c r="P3235" s="3" t="s">
        <v>673</v>
      </c>
      <c r="Q3235" s="8" t="s">
        <v>2439</v>
      </c>
      <c r="R3235" s="7" t="s">
        <v>2440</v>
      </c>
      <c r="S3235" s="9">
        <v>80</v>
      </c>
      <c r="T3235" s="9">
        <v>2464</v>
      </c>
      <c r="U3235" s="9">
        <f t="shared" si="2216"/>
        <v>197120</v>
      </c>
      <c r="V3235" s="9">
        <f t="shared" si="2203"/>
        <v>220774.40000000002</v>
      </c>
      <c r="W3235" s="7"/>
      <c r="X3235" s="2">
        <v>2016</v>
      </c>
      <c r="Y3235" s="2"/>
    </row>
    <row r="3236" spans="1:25" s="11" customFormat="1" ht="89.25" customHeight="1" outlineLevel="1" x14ac:dyDescent="0.25">
      <c r="A3236" s="1"/>
      <c r="B3236" s="2" t="s">
        <v>7419</v>
      </c>
      <c r="C3236" s="3" t="s">
        <v>83</v>
      </c>
      <c r="D3236" s="3" t="s">
        <v>5834</v>
      </c>
      <c r="E3236" s="3" t="s">
        <v>5835</v>
      </c>
      <c r="F3236" s="3" t="s">
        <v>5836</v>
      </c>
      <c r="G3236" s="19" t="s">
        <v>5838</v>
      </c>
      <c r="H3236" s="2" t="s">
        <v>694</v>
      </c>
      <c r="I3236" s="4">
        <v>0</v>
      </c>
      <c r="J3236" s="5">
        <v>710000000</v>
      </c>
      <c r="K3236" s="5" t="s">
        <v>89</v>
      </c>
      <c r="L3236" s="2" t="s">
        <v>754</v>
      </c>
      <c r="M3236" s="6" t="s">
        <v>91</v>
      </c>
      <c r="N3236" s="7" t="s">
        <v>92</v>
      </c>
      <c r="O3236" s="7" t="s">
        <v>93</v>
      </c>
      <c r="P3236" s="3" t="s">
        <v>673</v>
      </c>
      <c r="Q3236" s="8" t="s">
        <v>2439</v>
      </c>
      <c r="R3236" s="7" t="s">
        <v>2440</v>
      </c>
      <c r="S3236" s="9">
        <v>12</v>
      </c>
      <c r="T3236" s="9">
        <v>2304</v>
      </c>
      <c r="U3236" s="9">
        <f t="shared" si="2216"/>
        <v>27648</v>
      </c>
      <c r="V3236" s="9">
        <f t="shared" si="2203"/>
        <v>30965.760000000002</v>
      </c>
      <c r="W3236" s="7"/>
      <c r="X3236" s="2">
        <v>2016</v>
      </c>
      <c r="Y3236" s="2"/>
    </row>
    <row r="3237" spans="1:25" s="11" customFormat="1" ht="89.25" customHeight="1" outlineLevel="1" x14ac:dyDescent="0.25">
      <c r="A3237" s="1"/>
      <c r="B3237" s="2" t="s">
        <v>7420</v>
      </c>
      <c r="C3237" s="3" t="s">
        <v>83</v>
      </c>
      <c r="D3237" s="3" t="s">
        <v>5839</v>
      </c>
      <c r="E3237" s="3" t="s">
        <v>5751</v>
      </c>
      <c r="F3237" s="3" t="s">
        <v>5840</v>
      </c>
      <c r="G3237" s="60"/>
      <c r="H3237" s="2" t="s">
        <v>694</v>
      </c>
      <c r="I3237" s="4">
        <v>0</v>
      </c>
      <c r="J3237" s="5">
        <v>710000000</v>
      </c>
      <c r="K3237" s="5" t="s">
        <v>89</v>
      </c>
      <c r="L3237" s="2" t="s">
        <v>754</v>
      </c>
      <c r="M3237" s="6" t="s">
        <v>91</v>
      </c>
      <c r="N3237" s="7" t="s">
        <v>92</v>
      </c>
      <c r="O3237" s="7" t="s">
        <v>93</v>
      </c>
      <c r="P3237" s="3" t="s">
        <v>673</v>
      </c>
      <c r="Q3237" s="8">
        <v>796</v>
      </c>
      <c r="R3237" s="7" t="s">
        <v>118</v>
      </c>
      <c r="S3237" s="9">
        <v>4000</v>
      </c>
      <c r="T3237" s="9">
        <v>13</v>
      </c>
      <c r="U3237" s="9">
        <f t="shared" si="2216"/>
        <v>52000</v>
      </c>
      <c r="V3237" s="9">
        <f t="shared" si="2203"/>
        <v>58240.000000000007</v>
      </c>
      <c r="W3237" s="7"/>
      <c r="X3237" s="2">
        <v>2016</v>
      </c>
      <c r="Y3237" s="2"/>
    </row>
    <row r="3238" spans="1:25" s="11" customFormat="1" ht="89.25" customHeight="1" outlineLevel="1" x14ac:dyDescent="0.25">
      <c r="A3238" s="1"/>
      <c r="B3238" s="2" t="s">
        <v>7421</v>
      </c>
      <c r="C3238" s="3" t="s">
        <v>83</v>
      </c>
      <c r="D3238" s="3" t="s">
        <v>5841</v>
      </c>
      <c r="E3238" s="3" t="s">
        <v>5740</v>
      </c>
      <c r="F3238" s="3" t="s">
        <v>5741</v>
      </c>
      <c r="G3238" s="60"/>
      <c r="H3238" s="2" t="s">
        <v>694</v>
      </c>
      <c r="I3238" s="4">
        <v>0</v>
      </c>
      <c r="J3238" s="5">
        <v>710000000</v>
      </c>
      <c r="K3238" s="5" t="s">
        <v>89</v>
      </c>
      <c r="L3238" s="2" t="s">
        <v>754</v>
      </c>
      <c r="M3238" s="6" t="s">
        <v>91</v>
      </c>
      <c r="N3238" s="7" t="s">
        <v>92</v>
      </c>
      <c r="O3238" s="7" t="s">
        <v>93</v>
      </c>
      <c r="P3238" s="3" t="s">
        <v>673</v>
      </c>
      <c r="Q3238" s="8">
        <v>796</v>
      </c>
      <c r="R3238" s="7" t="s">
        <v>118</v>
      </c>
      <c r="S3238" s="9">
        <v>3187</v>
      </c>
      <c r="T3238" s="9">
        <v>6</v>
      </c>
      <c r="U3238" s="9">
        <f t="shared" si="2216"/>
        <v>19122</v>
      </c>
      <c r="V3238" s="9">
        <f t="shared" si="2203"/>
        <v>21416.640000000003</v>
      </c>
      <c r="W3238" s="7"/>
      <c r="X3238" s="2">
        <v>2016</v>
      </c>
      <c r="Y3238" s="2"/>
    </row>
    <row r="3239" spans="1:25" s="11" customFormat="1" ht="89.25" customHeight="1" outlineLevel="1" x14ac:dyDescent="0.25">
      <c r="A3239" s="1"/>
      <c r="B3239" s="2" t="s">
        <v>7422</v>
      </c>
      <c r="C3239" s="3" t="s">
        <v>83</v>
      </c>
      <c r="D3239" s="3" t="s">
        <v>5842</v>
      </c>
      <c r="E3239" s="3" t="s">
        <v>5822</v>
      </c>
      <c r="F3239" s="3" t="s">
        <v>5843</v>
      </c>
      <c r="G3239" s="60"/>
      <c r="H3239" s="2" t="s">
        <v>694</v>
      </c>
      <c r="I3239" s="4">
        <v>0</v>
      </c>
      <c r="J3239" s="5">
        <v>710000000</v>
      </c>
      <c r="K3239" s="5" t="s">
        <v>89</v>
      </c>
      <c r="L3239" s="2" t="s">
        <v>754</v>
      </c>
      <c r="M3239" s="6" t="s">
        <v>91</v>
      </c>
      <c r="N3239" s="7" t="s">
        <v>92</v>
      </c>
      <c r="O3239" s="7" t="s">
        <v>93</v>
      </c>
      <c r="P3239" s="3" t="s">
        <v>673</v>
      </c>
      <c r="Q3239" s="8">
        <v>796</v>
      </c>
      <c r="R3239" s="7" t="s">
        <v>118</v>
      </c>
      <c r="S3239" s="9">
        <v>797</v>
      </c>
      <c r="T3239" s="9">
        <v>6</v>
      </c>
      <c r="U3239" s="9">
        <f t="shared" si="2216"/>
        <v>4782</v>
      </c>
      <c r="V3239" s="9">
        <f t="shared" si="2203"/>
        <v>5355.84</v>
      </c>
      <c r="W3239" s="7"/>
      <c r="X3239" s="2">
        <v>2016</v>
      </c>
      <c r="Y3239" s="2"/>
    </row>
    <row r="3240" spans="1:25" s="11" customFormat="1" ht="89.25" customHeight="1" outlineLevel="1" x14ac:dyDescent="0.25">
      <c r="A3240" s="1"/>
      <c r="B3240" s="2" t="s">
        <v>7423</v>
      </c>
      <c r="C3240" s="3" t="s">
        <v>83</v>
      </c>
      <c r="D3240" s="3" t="s">
        <v>5844</v>
      </c>
      <c r="E3240" s="3" t="s">
        <v>2934</v>
      </c>
      <c r="F3240" s="3" t="s">
        <v>5843</v>
      </c>
      <c r="G3240" s="60"/>
      <c r="H3240" s="2" t="s">
        <v>694</v>
      </c>
      <c r="I3240" s="4">
        <v>0</v>
      </c>
      <c r="J3240" s="5">
        <v>710000000</v>
      </c>
      <c r="K3240" s="5" t="s">
        <v>89</v>
      </c>
      <c r="L3240" s="2" t="s">
        <v>754</v>
      </c>
      <c r="M3240" s="6" t="s">
        <v>91</v>
      </c>
      <c r="N3240" s="7" t="s">
        <v>92</v>
      </c>
      <c r="O3240" s="7" t="s">
        <v>93</v>
      </c>
      <c r="P3240" s="3" t="s">
        <v>673</v>
      </c>
      <c r="Q3240" s="8">
        <v>796</v>
      </c>
      <c r="R3240" s="7" t="s">
        <v>118</v>
      </c>
      <c r="S3240" s="9">
        <v>797</v>
      </c>
      <c r="T3240" s="9">
        <v>6</v>
      </c>
      <c r="U3240" s="9">
        <f t="shared" si="2216"/>
        <v>4782</v>
      </c>
      <c r="V3240" s="9">
        <f t="shared" ref="V3240:V3274" si="2217">U3240*1.12</f>
        <v>5355.84</v>
      </c>
      <c r="W3240" s="7"/>
      <c r="X3240" s="2">
        <v>2016</v>
      </c>
      <c r="Y3240" s="2"/>
    </row>
    <row r="3241" spans="1:25" s="11" customFormat="1" ht="89.25" customHeight="1" outlineLevel="1" x14ac:dyDescent="0.25">
      <c r="A3241" s="1"/>
      <c r="B3241" s="2" t="s">
        <v>7424</v>
      </c>
      <c r="C3241" s="3" t="s">
        <v>83</v>
      </c>
      <c r="D3241" s="3" t="s">
        <v>5845</v>
      </c>
      <c r="E3241" s="3" t="s">
        <v>5846</v>
      </c>
      <c r="F3241" s="3" t="s">
        <v>5847</v>
      </c>
      <c r="G3241" s="3" t="s">
        <v>5848</v>
      </c>
      <c r="H3241" s="2" t="s">
        <v>694</v>
      </c>
      <c r="I3241" s="4">
        <v>0</v>
      </c>
      <c r="J3241" s="5">
        <v>710000000</v>
      </c>
      <c r="K3241" s="5" t="s">
        <v>89</v>
      </c>
      <c r="L3241" s="2" t="s">
        <v>754</v>
      </c>
      <c r="M3241" s="6" t="s">
        <v>682</v>
      </c>
      <c r="N3241" s="7" t="s">
        <v>92</v>
      </c>
      <c r="O3241" s="7" t="s">
        <v>93</v>
      </c>
      <c r="P3241" s="3" t="s">
        <v>673</v>
      </c>
      <c r="Q3241" s="8">
        <v>796</v>
      </c>
      <c r="R3241" s="7" t="s">
        <v>118</v>
      </c>
      <c r="S3241" s="9">
        <v>10</v>
      </c>
      <c r="T3241" s="9">
        <v>2245.98</v>
      </c>
      <c r="U3241" s="9">
        <f t="shared" si="2216"/>
        <v>22459.8</v>
      </c>
      <c r="V3241" s="9">
        <f t="shared" si="2217"/>
        <v>25154.976000000002</v>
      </c>
      <c r="W3241" s="7"/>
      <c r="X3241" s="2">
        <v>2016</v>
      </c>
      <c r="Y3241" s="2"/>
    </row>
    <row r="3242" spans="1:25" s="11" customFormat="1" ht="89.25" customHeight="1" outlineLevel="1" x14ac:dyDescent="0.25">
      <c r="A3242" s="1"/>
      <c r="B3242" s="2" t="s">
        <v>7425</v>
      </c>
      <c r="C3242" s="3" t="s">
        <v>83</v>
      </c>
      <c r="D3242" s="3" t="s">
        <v>5845</v>
      </c>
      <c r="E3242" s="3" t="s">
        <v>5846</v>
      </c>
      <c r="F3242" s="3" t="s">
        <v>5847</v>
      </c>
      <c r="G3242" s="3" t="s">
        <v>5849</v>
      </c>
      <c r="H3242" s="2" t="s">
        <v>694</v>
      </c>
      <c r="I3242" s="4">
        <v>0</v>
      </c>
      <c r="J3242" s="5">
        <v>710000000</v>
      </c>
      <c r="K3242" s="5" t="s">
        <v>89</v>
      </c>
      <c r="L3242" s="2" t="s">
        <v>754</v>
      </c>
      <c r="M3242" s="6" t="s">
        <v>682</v>
      </c>
      <c r="N3242" s="7" t="s">
        <v>92</v>
      </c>
      <c r="O3242" s="7" t="s">
        <v>93</v>
      </c>
      <c r="P3242" s="3" t="s">
        <v>673</v>
      </c>
      <c r="Q3242" s="8">
        <v>796</v>
      </c>
      <c r="R3242" s="7" t="s">
        <v>118</v>
      </c>
      <c r="S3242" s="9">
        <v>5</v>
      </c>
      <c r="T3242" s="9">
        <v>5028.34</v>
      </c>
      <c r="U3242" s="9">
        <f t="shared" si="2216"/>
        <v>25141.7</v>
      </c>
      <c r="V3242" s="9">
        <f t="shared" si="2217"/>
        <v>28158.704000000005</v>
      </c>
      <c r="W3242" s="7"/>
      <c r="X3242" s="2">
        <v>2016</v>
      </c>
      <c r="Y3242" s="2"/>
    </row>
    <row r="3243" spans="1:25" s="11" customFormat="1" ht="89.25" customHeight="1" outlineLevel="1" x14ac:dyDescent="0.25">
      <c r="A3243" s="1"/>
      <c r="B3243" s="2" t="s">
        <v>7426</v>
      </c>
      <c r="C3243" s="3" t="s">
        <v>83</v>
      </c>
      <c r="D3243" s="3" t="s">
        <v>5845</v>
      </c>
      <c r="E3243" s="3" t="s">
        <v>5846</v>
      </c>
      <c r="F3243" s="3" t="s">
        <v>5847</v>
      </c>
      <c r="G3243" s="3" t="s">
        <v>5850</v>
      </c>
      <c r="H3243" s="2" t="s">
        <v>694</v>
      </c>
      <c r="I3243" s="4">
        <v>0</v>
      </c>
      <c r="J3243" s="5">
        <v>710000000</v>
      </c>
      <c r="K3243" s="5" t="s">
        <v>89</v>
      </c>
      <c r="L3243" s="2" t="s">
        <v>754</v>
      </c>
      <c r="M3243" s="6" t="s">
        <v>682</v>
      </c>
      <c r="N3243" s="7" t="s">
        <v>92</v>
      </c>
      <c r="O3243" s="7" t="s">
        <v>93</v>
      </c>
      <c r="P3243" s="3" t="s">
        <v>673</v>
      </c>
      <c r="Q3243" s="8">
        <v>796</v>
      </c>
      <c r="R3243" s="7" t="s">
        <v>118</v>
      </c>
      <c r="S3243" s="9">
        <v>2</v>
      </c>
      <c r="T3243" s="9">
        <v>7327.68</v>
      </c>
      <c r="U3243" s="9">
        <f t="shared" si="2216"/>
        <v>14655.36</v>
      </c>
      <c r="V3243" s="9">
        <f t="shared" si="2217"/>
        <v>16414.003200000003</v>
      </c>
      <c r="W3243" s="7"/>
      <c r="X3243" s="2">
        <v>2016</v>
      </c>
      <c r="Y3243" s="2"/>
    </row>
    <row r="3244" spans="1:25" s="11" customFormat="1" ht="89.25" customHeight="1" outlineLevel="1" x14ac:dyDescent="0.25">
      <c r="A3244" s="1"/>
      <c r="B3244" s="2" t="s">
        <v>7427</v>
      </c>
      <c r="C3244" s="3" t="s">
        <v>83</v>
      </c>
      <c r="D3244" s="3" t="s">
        <v>5845</v>
      </c>
      <c r="E3244" s="3" t="s">
        <v>5846</v>
      </c>
      <c r="F3244" s="3" t="s">
        <v>5847</v>
      </c>
      <c r="G3244" s="3" t="s">
        <v>5851</v>
      </c>
      <c r="H3244" s="2" t="s">
        <v>694</v>
      </c>
      <c r="I3244" s="4">
        <v>0</v>
      </c>
      <c r="J3244" s="5">
        <v>710000000</v>
      </c>
      <c r="K3244" s="5" t="s">
        <v>89</v>
      </c>
      <c r="L3244" s="2" t="s">
        <v>754</v>
      </c>
      <c r="M3244" s="6" t="s">
        <v>682</v>
      </c>
      <c r="N3244" s="7" t="s">
        <v>92</v>
      </c>
      <c r="O3244" s="7" t="s">
        <v>93</v>
      </c>
      <c r="P3244" s="3" t="s">
        <v>673</v>
      </c>
      <c r="Q3244" s="8">
        <v>796</v>
      </c>
      <c r="R3244" s="7" t="s">
        <v>118</v>
      </c>
      <c r="S3244" s="9">
        <v>5</v>
      </c>
      <c r="T3244" s="9">
        <v>5540.63</v>
      </c>
      <c r="U3244" s="9">
        <f t="shared" si="2216"/>
        <v>27703.15</v>
      </c>
      <c r="V3244" s="9">
        <f t="shared" si="2217"/>
        <v>31027.528000000006</v>
      </c>
      <c r="W3244" s="7"/>
      <c r="X3244" s="2">
        <v>2016</v>
      </c>
      <c r="Y3244" s="2"/>
    </row>
    <row r="3245" spans="1:25" s="11" customFormat="1" ht="89.25" customHeight="1" outlineLevel="1" x14ac:dyDescent="0.25">
      <c r="A3245" s="1"/>
      <c r="B3245" s="2" t="s">
        <v>7428</v>
      </c>
      <c r="C3245" s="3" t="s">
        <v>83</v>
      </c>
      <c r="D3245" s="3" t="s">
        <v>5852</v>
      </c>
      <c r="E3245" s="3" t="s">
        <v>5846</v>
      </c>
      <c r="F3245" s="3" t="s">
        <v>5853</v>
      </c>
      <c r="G3245" s="3" t="s">
        <v>5854</v>
      </c>
      <c r="H3245" s="2" t="s">
        <v>694</v>
      </c>
      <c r="I3245" s="4">
        <v>0</v>
      </c>
      <c r="J3245" s="5">
        <v>710000000</v>
      </c>
      <c r="K3245" s="5" t="s">
        <v>89</v>
      </c>
      <c r="L3245" s="2" t="s">
        <v>754</v>
      </c>
      <c r="M3245" s="6" t="s">
        <v>682</v>
      </c>
      <c r="N3245" s="7" t="s">
        <v>92</v>
      </c>
      <c r="O3245" s="7" t="s">
        <v>93</v>
      </c>
      <c r="P3245" s="3" t="s">
        <v>673</v>
      </c>
      <c r="Q3245" s="8">
        <v>796</v>
      </c>
      <c r="R3245" s="7" t="s">
        <v>118</v>
      </c>
      <c r="S3245" s="9">
        <v>15</v>
      </c>
      <c r="T3245" s="9">
        <v>87.95</v>
      </c>
      <c r="U3245" s="9">
        <f t="shared" si="2216"/>
        <v>1319.25</v>
      </c>
      <c r="V3245" s="9">
        <f t="shared" si="2217"/>
        <v>1477.5600000000002</v>
      </c>
      <c r="W3245" s="7"/>
      <c r="X3245" s="2">
        <v>2016</v>
      </c>
      <c r="Y3245" s="2"/>
    </row>
    <row r="3246" spans="1:25" s="11" customFormat="1" ht="89.25" customHeight="1" outlineLevel="1" x14ac:dyDescent="0.25">
      <c r="A3246" s="1"/>
      <c r="B3246" s="2" t="s">
        <v>7429</v>
      </c>
      <c r="C3246" s="3" t="s">
        <v>83</v>
      </c>
      <c r="D3246" s="3" t="s">
        <v>5845</v>
      </c>
      <c r="E3246" s="3" t="s">
        <v>5846</v>
      </c>
      <c r="F3246" s="3" t="s">
        <v>5847</v>
      </c>
      <c r="G3246" s="3" t="s">
        <v>5855</v>
      </c>
      <c r="H3246" s="2" t="s">
        <v>694</v>
      </c>
      <c r="I3246" s="4">
        <v>0</v>
      </c>
      <c r="J3246" s="5">
        <v>710000000</v>
      </c>
      <c r="K3246" s="5" t="s">
        <v>89</v>
      </c>
      <c r="L3246" s="2" t="s">
        <v>754</v>
      </c>
      <c r="M3246" s="6" t="s">
        <v>682</v>
      </c>
      <c r="N3246" s="7" t="s">
        <v>92</v>
      </c>
      <c r="O3246" s="7" t="s">
        <v>93</v>
      </c>
      <c r="P3246" s="3" t="s">
        <v>673</v>
      </c>
      <c r="Q3246" s="8">
        <v>796</v>
      </c>
      <c r="R3246" s="7" t="s">
        <v>118</v>
      </c>
      <c r="S3246" s="9">
        <v>10</v>
      </c>
      <c r="T3246" s="9">
        <v>26.39</v>
      </c>
      <c r="U3246" s="9">
        <f t="shared" si="2216"/>
        <v>263.89999999999998</v>
      </c>
      <c r="V3246" s="9">
        <f t="shared" si="2217"/>
        <v>295.56799999999998</v>
      </c>
      <c r="W3246" s="7"/>
      <c r="X3246" s="2">
        <v>2016</v>
      </c>
      <c r="Y3246" s="2"/>
    </row>
    <row r="3247" spans="1:25" s="11" customFormat="1" ht="89.25" customHeight="1" outlineLevel="1" x14ac:dyDescent="0.25">
      <c r="A3247" s="1"/>
      <c r="B3247" s="2" t="s">
        <v>7430</v>
      </c>
      <c r="C3247" s="3" t="s">
        <v>83</v>
      </c>
      <c r="D3247" s="3" t="s">
        <v>5852</v>
      </c>
      <c r="E3247" s="3" t="s">
        <v>5846</v>
      </c>
      <c r="F3247" s="3" t="s">
        <v>5853</v>
      </c>
      <c r="G3247" s="3" t="s">
        <v>5856</v>
      </c>
      <c r="H3247" s="2" t="s">
        <v>694</v>
      </c>
      <c r="I3247" s="4">
        <v>0</v>
      </c>
      <c r="J3247" s="5">
        <v>710000000</v>
      </c>
      <c r="K3247" s="5" t="s">
        <v>89</v>
      </c>
      <c r="L3247" s="2" t="s">
        <v>754</v>
      </c>
      <c r="M3247" s="6" t="s">
        <v>682</v>
      </c>
      <c r="N3247" s="7" t="s">
        <v>92</v>
      </c>
      <c r="O3247" s="7" t="s">
        <v>93</v>
      </c>
      <c r="P3247" s="3" t="s">
        <v>673</v>
      </c>
      <c r="Q3247" s="8" t="s">
        <v>117</v>
      </c>
      <c r="R3247" s="7" t="s">
        <v>118</v>
      </c>
      <c r="S3247" s="9">
        <v>2</v>
      </c>
      <c r="T3247" s="9">
        <v>241.97</v>
      </c>
      <c r="U3247" s="9">
        <f t="shared" si="2216"/>
        <v>483.94</v>
      </c>
      <c r="V3247" s="9">
        <f t="shared" si="2217"/>
        <v>542.01280000000008</v>
      </c>
      <c r="W3247" s="7"/>
      <c r="X3247" s="2">
        <v>2016</v>
      </c>
      <c r="Y3247" s="2"/>
    </row>
    <row r="3248" spans="1:25" s="11" customFormat="1" ht="89.25" customHeight="1" outlineLevel="1" x14ac:dyDescent="0.25">
      <c r="A3248" s="1"/>
      <c r="B3248" s="2" t="s">
        <v>7431</v>
      </c>
      <c r="C3248" s="3" t="s">
        <v>83</v>
      </c>
      <c r="D3248" s="3" t="s">
        <v>5852</v>
      </c>
      <c r="E3248" s="3" t="s">
        <v>5846</v>
      </c>
      <c r="F3248" s="3" t="s">
        <v>5853</v>
      </c>
      <c r="G3248" s="3" t="s">
        <v>5857</v>
      </c>
      <c r="H3248" s="2" t="s">
        <v>694</v>
      </c>
      <c r="I3248" s="4">
        <v>0</v>
      </c>
      <c r="J3248" s="5">
        <v>710000000</v>
      </c>
      <c r="K3248" s="5" t="s">
        <v>89</v>
      </c>
      <c r="L3248" s="2" t="s">
        <v>754</v>
      </c>
      <c r="M3248" s="6" t="s">
        <v>682</v>
      </c>
      <c r="N3248" s="7" t="s">
        <v>92</v>
      </c>
      <c r="O3248" s="7" t="s">
        <v>93</v>
      </c>
      <c r="P3248" s="3" t="s">
        <v>673</v>
      </c>
      <c r="Q3248" s="8">
        <v>796</v>
      </c>
      <c r="R3248" s="7" t="s">
        <v>118</v>
      </c>
      <c r="S3248" s="9">
        <v>20</v>
      </c>
      <c r="T3248" s="9">
        <v>87.95</v>
      </c>
      <c r="U3248" s="9">
        <f t="shared" si="2216"/>
        <v>1759</v>
      </c>
      <c r="V3248" s="9">
        <f t="shared" si="2217"/>
        <v>1970.0800000000002</v>
      </c>
      <c r="W3248" s="7"/>
      <c r="X3248" s="2">
        <v>2016</v>
      </c>
      <c r="Y3248" s="2"/>
    </row>
    <row r="3249" spans="1:25" s="11" customFormat="1" ht="89.25" customHeight="1" outlineLevel="1" x14ac:dyDescent="0.25">
      <c r="A3249" s="1"/>
      <c r="B3249" s="2" t="s">
        <v>7432</v>
      </c>
      <c r="C3249" s="3" t="s">
        <v>83</v>
      </c>
      <c r="D3249" s="3" t="s">
        <v>5852</v>
      </c>
      <c r="E3249" s="3" t="s">
        <v>5846</v>
      </c>
      <c r="F3249" s="3" t="s">
        <v>5853</v>
      </c>
      <c r="G3249" s="3" t="s">
        <v>5858</v>
      </c>
      <c r="H3249" s="2" t="s">
        <v>694</v>
      </c>
      <c r="I3249" s="4">
        <v>0</v>
      </c>
      <c r="J3249" s="5">
        <v>710000000</v>
      </c>
      <c r="K3249" s="5" t="s">
        <v>89</v>
      </c>
      <c r="L3249" s="2" t="s">
        <v>754</v>
      </c>
      <c r="M3249" s="6" t="s">
        <v>682</v>
      </c>
      <c r="N3249" s="7" t="s">
        <v>92</v>
      </c>
      <c r="O3249" s="7" t="s">
        <v>93</v>
      </c>
      <c r="P3249" s="3" t="s">
        <v>673</v>
      </c>
      <c r="Q3249" s="8">
        <v>796</v>
      </c>
      <c r="R3249" s="7" t="s">
        <v>118</v>
      </c>
      <c r="S3249" s="9">
        <v>20</v>
      </c>
      <c r="T3249" s="9">
        <v>61.61</v>
      </c>
      <c r="U3249" s="9">
        <f t="shared" si="2216"/>
        <v>1232.2</v>
      </c>
      <c r="V3249" s="9">
        <f t="shared" si="2217"/>
        <v>1380.0640000000001</v>
      </c>
      <c r="W3249" s="7"/>
      <c r="X3249" s="2">
        <v>2016</v>
      </c>
      <c r="Y3249" s="2"/>
    </row>
    <row r="3250" spans="1:25" s="11" customFormat="1" ht="89.25" customHeight="1" outlineLevel="1" x14ac:dyDescent="0.25">
      <c r="A3250" s="1"/>
      <c r="B3250" s="2" t="s">
        <v>7433</v>
      </c>
      <c r="C3250" s="3" t="s">
        <v>83</v>
      </c>
      <c r="D3250" s="3" t="s">
        <v>4074</v>
      </c>
      <c r="E3250" s="3" t="s">
        <v>4075</v>
      </c>
      <c r="F3250" s="3" t="s">
        <v>4076</v>
      </c>
      <c r="G3250" s="3" t="s">
        <v>5859</v>
      </c>
      <c r="H3250" s="2" t="s">
        <v>694</v>
      </c>
      <c r="I3250" s="4">
        <v>0</v>
      </c>
      <c r="J3250" s="5">
        <v>710000000</v>
      </c>
      <c r="K3250" s="5" t="s">
        <v>89</v>
      </c>
      <c r="L3250" s="2" t="s">
        <v>754</v>
      </c>
      <c r="M3250" s="6" t="s">
        <v>682</v>
      </c>
      <c r="N3250" s="7" t="s">
        <v>92</v>
      </c>
      <c r="O3250" s="7" t="s">
        <v>93</v>
      </c>
      <c r="P3250" s="3" t="s">
        <v>673</v>
      </c>
      <c r="Q3250" s="8">
        <v>796</v>
      </c>
      <c r="R3250" s="7" t="s">
        <v>118</v>
      </c>
      <c r="S3250" s="9">
        <v>10</v>
      </c>
      <c r="T3250" s="9">
        <v>351.78</v>
      </c>
      <c r="U3250" s="9">
        <f t="shared" si="2216"/>
        <v>3517.7999999999997</v>
      </c>
      <c r="V3250" s="9">
        <f t="shared" si="2217"/>
        <v>3939.9360000000001</v>
      </c>
      <c r="W3250" s="7"/>
      <c r="X3250" s="2">
        <v>2016</v>
      </c>
      <c r="Y3250" s="2"/>
    </row>
    <row r="3251" spans="1:25" s="11" customFormat="1" ht="89.25" customHeight="1" outlineLevel="1" x14ac:dyDescent="0.25">
      <c r="A3251" s="1"/>
      <c r="B3251" s="2" t="s">
        <v>7434</v>
      </c>
      <c r="C3251" s="3" t="s">
        <v>83</v>
      </c>
      <c r="D3251" s="3" t="s">
        <v>4074</v>
      </c>
      <c r="E3251" s="3" t="s">
        <v>4075</v>
      </c>
      <c r="F3251" s="3" t="s">
        <v>4076</v>
      </c>
      <c r="G3251" s="3" t="s">
        <v>5860</v>
      </c>
      <c r="H3251" s="2" t="s">
        <v>694</v>
      </c>
      <c r="I3251" s="4">
        <v>0</v>
      </c>
      <c r="J3251" s="5">
        <v>710000000</v>
      </c>
      <c r="K3251" s="5" t="s">
        <v>89</v>
      </c>
      <c r="L3251" s="2" t="s">
        <v>754</v>
      </c>
      <c r="M3251" s="6" t="s">
        <v>682</v>
      </c>
      <c r="N3251" s="7" t="s">
        <v>92</v>
      </c>
      <c r="O3251" s="7" t="s">
        <v>93</v>
      </c>
      <c r="P3251" s="3" t="s">
        <v>673</v>
      </c>
      <c r="Q3251" s="8">
        <v>796</v>
      </c>
      <c r="R3251" s="7" t="s">
        <v>118</v>
      </c>
      <c r="S3251" s="9">
        <v>10</v>
      </c>
      <c r="T3251" s="9">
        <v>351.78</v>
      </c>
      <c r="U3251" s="9">
        <f t="shared" si="2216"/>
        <v>3517.7999999999997</v>
      </c>
      <c r="V3251" s="9">
        <f t="shared" si="2217"/>
        <v>3939.9360000000001</v>
      </c>
      <c r="W3251" s="7"/>
      <c r="X3251" s="2">
        <v>2016</v>
      </c>
      <c r="Y3251" s="2"/>
    </row>
    <row r="3252" spans="1:25" s="11" customFormat="1" ht="89.25" customHeight="1" outlineLevel="1" x14ac:dyDescent="0.25">
      <c r="A3252" s="1"/>
      <c r="B3252" s="2" t="s">
        <v>7435</v>
      </c>
      <c r="C3252" s="3" t="s">
        <v>83</v>
      </c>
      <c r="D3252" s="3" t="s">
        <v>4074</v>
      </c>
      <c r="E3252" s="3" t="s">
        <v>4075</v>
      </c>
      <c r="F3252" s="3" t="s">
        <v>4076</v>
      </c>
      <c r="G3252" s="3" t="s">
        <v>5861</v>
      </c>
      <c r="H3252" s="2" t="s">
        <v>694</v>
      </c>
      <c r="I3252" s="4">
        <v>0</v>
      </c>
      <c r="J3252" s="5">
        <v>710000000</v>
      </c>
      <c r="K3252" s="5" t="s">
        <v>89</v>
      </c>
      <c r="L3252" s="2" t="s">
        <v>754</v>
      </c>
      <c r="M3252" s="6" t="s">
        <v>682</v>
      </c>
      <c r="N3252" s="7" t="s">
        <v>92</v>
      </c>
      <c r="O3252" s="7" t="s">
        <v>93</v>
      </c>
      <c r="P3252" s="3" t="s">
        <v>673</v>
      </c>
      <c r="Q3252" s="8">
        <v>796</v>
      </c>
      <c r="R3252" s="7" t="s">
        <v>118</v>
      </c>
      <c r="S3252" s="9">
        <v>10</v>
      </c>
      <c r="T3252" s="9">
        <v>351.78</v>
      </c>
      <c r="U3252" s="9">
        <f t="shared" si="2216"/>
        <v>3517.7999999999997</v>
      </c>
      <c r="V3252" s="9">
        <f t="shared" si="2217"/>
        <v>3939.9360000000001</v>
      </c>
      <c r="W3252" s="7"/>
      <c r="X3252" s="2">
        <v>2016</v>
      </c>
      <c r="Y3252" s="2"/>
    </row>
    <row r="3253" spans="1:25" s="11" customFormat="1" ht="89.25" customHeight="1" outlineLevel="1" x14ac:dyDescent="0.25">
      <c r="A3253" s="1"/>
      <c r="B3253" s="2" t="s">
        <v>7436</v>
      </c>
      <c r="C3253" s="3" t="s">
        <v>83</v>
      </c>
      <c r="D3253" s="3" t="s">
        <v>5862</v>
      </c>
      <c r="E3253" s="3" t="s">
        <v>872</v>
      </c>
      <c r="F3253" s="3" t="s">
        <v>5863</v>
      </c>
      <c r="G3253" s="3" t="s">
        <v>5864</v>
      </c>
      <c r="H3253" s="2" t="s">
        <v>694</v>
      </c>
      <c r="I3253" s="4">
        <v>0</v>
      </c>
      <c r="J3253" s="5">
        <v>710000000</v>
      </c>
      <c r="K3253" s="5" t="s">
        <v>89</v>
      </c>
      <c r="L3253" s="2" t="s">
        <v>754</v>
      </c>
      <c r="M3253" s="6" t="s">
        <v>682</v>
      </c>
      <c r="N3253" s="7" t="s">
        <v>92</v>
      </c>
      <c r="O3253" s="7" t="s">
        <v>93</v>
      </c>
      <c r="P3253" s="3" t="s">
        <v>673</v>
      </c>
      <c r="Q3253" s="8">
        <v>796</v>
      </c>
      <c r="R3253" s="7" t="s">
        <v>118</v>
      </c>
      <c r="S3253" s="9">
        <v>5</v>
      </c>
      <c r="T3253" s="9">
        <v>2770.31</v>
      </c>
      <c r="U3253" s="9">
        <f t="shared" si="2216"/>
        <v>13851.55</v>
      </c>
      <c r="V3253" s="9">
        <f t="shared" si="2217"/>
        <v>15513.736000000001</v>
      </c>
      <c r="W3253" s="7"/>
      <c r="X3253" s="2">
        <v>2016</v>
      </c>
      <c r="Y3253" s="2"/>
    </row>
    <row r="3254" spans="1:25" s="11" customFormat="1" ht="89.25" customHeight="1" outlineLevel="1" x14ac:dyDescent="0.25">
      <c r="A3254" s="1"/>
      <c r="B3254" s="2" t="s">
        <v>7437</v>
      </c>
      <c r="C3254" s="3" t="s">
        <v>83</v>
      </c>
      <c r="D3254" s="3" t="s">
        <v>5862</v>
      </c>
      <c r="E3254" s="3" t="s">
        <v>872</v>
      </c>
      <c r="F3254" s="3" t="s">
        <v>5863</v>
      </c>
      <c r="G3254" s="3" t="s">
        <v>5865</v>
      </c>
      <c r="H3254" s="2" t="s">
        <v>694</v>
      </c>
      <c r="I3254" s="4">
        <v>0</v>
      </c>
      <c r="J3254" s="5">
        <v>710000000</v>
      </c>
      <c r="K3254" s="5" t="s">
        <v>89</v>
      </c>
      <c r="L3254" s="2" t="s">
        <v>754</v>
      </c>
      <c r="M3254" s="6" t="s">
        <v>682</v>
      </c>
      <c r="N3254" s="7" t="s">
        <v>92</v>
      </c>
      <c r="O3254" s="7" t="s">
        <v>93</v>
      </c>
      <c r="P3254" s="3" t="s">
        <v>673</v>
      </c>
      <c r="Q3254" s="8">
        <v>796</v>
      </c>
      <c r="R3254" s="7" t="s">
        <v>118</v>
      </c>
      <c r="S3254" s="9">
        <v>5</v>
      </c>
      <c r="T3254" s="9">
        <v>2300.6799999999998</v>
      </c>
      <c r="U3254" s="9">
        <f t="shared" si="2216"/>
        <v>11503.4</v>
      </c>
      <c r="V3254" s="9">
        <f t="shared" si="2217"/>
        <v>12883.808000000001</v>
      </c>
      <c r="W3254" s="7"/>
      <c r="X3254" s="2">
        <v>2016</v>
      </c>
      <c r="Y3254" s="2"/>
    </row>
    <row r="3255" spans="1:25" s="11" customFormat="1" ht="89.25" customHeight="1" outlineLevel="1" x14ac:dyDescent="0.25">
      <c r="A3255" s="1"/>
      <c r="B3255" s="2" t="s">
        <v>7438</v>
      </c>
      <c r="C3255" s="3" t="s">
        <v>83</v>
      </c>
      <c r="D3255" s="3" t="s">
        <v>5866</v>
      </c>
      <c r="E3255" s="3" t="s">
        <v>5867</v>
      </c>
      <c r="F3255" s="3" t="s">
        <v>5868</v>
      </c>
      <c r="G3255" s="3" t="s">
        <v>5869</v>
      </c>
      <c r="H3255" s="2" t="s">
        <v>694</v>
      </c>
      <c r="I3255" s="4">
        <v>0</v>
      </c>
      <c r="J3255" s="5">
        <v>710000000</v>
      </c>
      <c r="K3255" s="5" t="s">
        <v>89</v>
      </c>
      <c r="L3255" s="2" t="s">
        <v>754</v>
      </c>
      <c r="M3255" s="6" t="s">
        <v>682</v>
      </c>
      <c r="N3255" s="7" t="s">
        <v>92</v>
      </c>
      <c r="O3255" s="7" t="s">
        <v>93</v>
      </c>
      <c r="P3255" s="3" t="s">
        <v>673</v>
      </c>
      <c r="Q3255" s="8">
        <v>796</v>
      </c>
      <c r="R3255" s="7" t="s">
        <v>118</v>
      </c>
      <c r="S3255" s="9">
        <v>25</v>
      </c>
      <c r="T3255" s="9">
        <v>192.41</v>
      </c>
      <c r="U3255" s="9">
        <f t="shared" si="2216"/>
        <v>4810.25</v>
      </c>
      <c r="V3255" s="9">
        <f t="shared" si="2217"/>
        <v>5387.4800000000005</v>
      </c>
      <c r="W3255" s="7"/>
      <c r="X3255" s="2">
        <v>2016</v>
      </c>
      <c r="Y3255" s="2"/>
    </row>
    <row r="3256" spans="1:25" s="11" customFormat="1" ht="89.25" customHeight="1" outlineLevel="1" x14ac:dyDescent="0.25">
      <c r="A3256" s="1"/>
      <c r="B3256" s="2" t="s">
        <v>7439</v>
      </c>
      <c r="C3256" s="3" t="s">
        <v>83</v>
      </c>
      <c r="D3256" s="3" t="s">
        <v>4104</v>
      </c>
      <c r="E3256" s="3" t="s">
        <v>4101</v>
      </c>
      <c r="F3256" s="3" t="s">
        <v>4105</v>
      </c>
      <c r="G3256" s="3" t="s">
        <v>5870</v>
      </c>
      <c r="H3256" s="2" t="s">
        <v>694</v>
      </c>
      <c r="I3256" s="4">
        <v>0</v>
      </c>
      <c r="J3256" s="5">
        <v>710000000</v>
      </c>
      <c r="K3256" s="5" t="s">
        <v>89</v>
      </c>
      <c r="L3256" s="2" t="s">
        <v>754</v>
      </c>
      <c r="M3256" s="6" t="s">
        <v>682</v>
      </c>
      <c r="N3256" s="7" t="s">
        <v>92</v>
      </c>
      <c r="O3256" s="7" t="s">
        <v>93</v>
      </c>
      <c r="P3256" s="3" t="s">
        <v>673</v>
      </c>
      <c r="Q3256" s="8">
        <v>796</v>
      </c>
      <c r="R3256" s="7" t="s">
        <v>118</v>
      </c>
      <c r="S3256" s="9">
        <v>5</v>
      </c>
      <c r="T3256" s="9">
        <v>2198.66</v>
      </c>
      <c r="U3256" s="9">
        <f t="shared" si="2216"/>
        <v>10993.3</v>
      </c>
      <c r="V3256" s="9">
        <f t="shared" si="2217"/>
        <v>12312.496000000001</v>
      </c>
      <c r="W3256" s="7"/>
      <c r="X3256" s="2">
        <v>2016</v>
      </c>
      <c r="Y3256" s="2"/>
    </row>
    <row r="3257" spans="1:25" s="11" customFormat="1" ht="89.25" customHeight="1" outlineLevel="1" x14ac:dyDescent="0.25">
      <c r="A3257" s="1"/>
      <c r="B3257" s="2" t="s">
        <v>7440</v>
      </c>
      <c r="C3257" s="3" t="s">
        <v>83</v>
      </c>
      <c r="D3257" s="3" t="s">
        <v>5871</v>
      </c>
      <c r="E3257" s="3" t="s">
        <v>5872</v>
      </c>
      <c r="F3257" s="3" t="s">
        <v>5873</v>
      </c>
      <c r="G3257" s="3" t="s">
        <v>5874</v>
      </c>
      <c r="H3257" s="2" t="s">
        <v>694</v>
      </c>
      <c r="I3257" s="4">
        <v>0</v>
      </c>
      <c r="J3257" s="5">
        <v>710000000</v>
      </c>
      <c r="K3257" s="5" t="s">
        <v>89</v>
      </c>
      <c r="L3257" s="2" t="s">
        <v>754</v>
      </c>
      <c r="M3257" s="6" t="s">
        <v>682</v>
      </c>
      <c r="N3257" s="7" t="s">
        <v>92</v>
      </c>
      <c r="O3257" s="7" t="s">
        <v>93</v>
      </c>
      <c r="P3257" s="3" t="s">
        <v>673</v>
      </c>
      <c r="Q3257" s="8">
        <v>796</v>
      </c>
      <c r="R3257" s="7" t="s">
        <v>118</v>
      </c>
      <c r="S3257" s="9">
        <v>10</v>
      </c>
      <c r="T3257" s="9">
        <v>131.91999999999999</v>
      </c>
      <c r="U3257" s="9">
        <f t="shared" si="2216"/>
        <v>1319.1999999999998</v>
      </c>
      <c r="V3257" s="9">
        <f t="shared" si="2217"/>
        <v>1477.5039999999999</v>
      </c>
      <c r="W3257" s="7"/>
      <c r="X3257" s="2">
        <v>2016</v>
      </c>
      <c r="Y3257" s="2"/>
    </row>
    <row r="3258" spans="1:25" s="11" customFormat="1" ht="89.25" customHeight="1" outlineLevel="1" x14ac:dyDescent="0.25">
      <c r="A3258" s="1"/>
      <c r="B3258" s="2" t="s">
        <v>7441</v>
      </c>
      <c r="C3258" s="3" t="s">
        <v>83</v>
      </c>
      <c r="D3258" s="3" t="s">
        <v>5875</v>
      </c>
      <c r="E3258" s="3" t="s">
        <v>5876</v>
      </c>
      <c r="F3258" s="3" t="s">
        <v>5877</v>
      </c>
      <c r="G3258" s="19"/>
      <c r="H3258" s="2" t="s">
        <v>694</v>
      </c>
      <c r="I3258" s="4">
        <v>0</v>
      </c>
      <c r="J3258" s="5">
        <v>710000000</v>
      </c>
      <c r="K3258" s="5" t="s">
        <v>89</v>
      </c>
      <c r="L3258" s="2" t="s">
        <v>754</v>
      </c>
      <c r="M3258" s="6" t="s">
        <v>787</v>
      </c>
      <c r="N3258" s="7" t="s">
        <v>92</v>
      </c>
      <c r="O3258" s="7" t="s">
        <v>93</v>
      </c>
      <c r="P3258" s="3" t="s">
        <v>673</v>
      </c>
      <c r="Q3258" s="8" t="s">
        <v>861</v>
      </c>
      <c r="R3258" s="7" t="s">
        <v>812</v>
      </c>
      <c r="S3258" s="9">
        <f>10+10+5</f>
        <v>25</v>
      </c>
      <c r="T3258" s="9">
        <v>803.57</v>
      </c>
      <c r="U3258" s="9">
        <f t="shared" si="2216"/>
        <v>20089.25</v>
      </c>
      <c r="V3258" s="9">
        <f t="shared" si="2217"/>
        <v>22499.960000000003</v>
      </c>
      <c r="W3258" s="7"/>
      <c r="X3258" s="2">
        <v>2016</v>
      </c>
      <c r="Y3258" s="2"/>
    </row>
    <row r="3259" spans="1:25" s="11" customFormat="1" ht="89.25" customHeight="1" outlineLevel="1" x14ac:dyDescent="0.25">
      <c r="A3259" s="1"/>
      <c r="B3259" s="2" t="s">
        <v>7442</v>
      </c>
      <c r="C3259" s="3" t="s">
        <v>83</v>
      </c>
      <c r="D3259" s="3" t="s">
        <v>5878</v>
      </c>
      <c r="E3259" s="3" t="s">
        <v>5879</v>
      </c>
      <c r="F3259" s="3" t="s">
        <v>5880</v>
      </c>
      <c r="G3259" s="3"/>
      <c r="H3259" s="2" t="s">
        <v>694</v>
      </c>
      <c r="I3259" s="4">
        <v>0</v>
      </c>
      <c r="J3259" s="5">
        <v>710000000</v>
      </c>
      <c r="K3259" s="5" t="s">
        <v>89</v>
      </c>
      <c r="L3259" s="2" t="s">
        <v>754</v>
      </c>
      <c r="M3259" s="6" t="s">
        <v>787</v>
      </c>
      <c r="N3259" s="7" t="s">
        <v>92</v>
      </c>
      <c r="O3259" s="7" t="s">
        <v>93</v>
      </c>
      <c r="P3259" s="3" t="s">
        <v>673</v>
      </c>
      <c r="Q3259" s="8">
        <v>796</v>
      </c>
      <c r="R3259" s="7" t="s">
        <v>118</v>
      </c>
      <c r="S3259" s="9">
        <v>202</v>
      </c>
      <c r="T3259" s="9">
        <v>3000</v>
      </c>
      <c r="U3259" s="9">
        <f t="shared" si="2216"/>
        <v>606000</v>
      </c>
      <c r="V3259" s="9">
        <f t="shared" si="2217"/>
        <v>678720.00000000012</v>
      </c>
      <c r="W3259" s="7"/>
      <c r="X3259" s="2">
        <v>2016</v>
      </c>
      <c r="Y3259" s="2"/>
    </row>
    <row r="3260" spans="1:25" s="11" customFormat="1" ht="89.25" customHeight="1" outlineLevel="1" x14ac:dyDescent="0.25">
      <c r="A3260" s="1"/>
      <c r="B3260" s="2" t="s">
        <v>7443</v>
      </c>
      <c r="C3260" s="3" t="s">
        <v>83</v>
      </c>
      <c r="D3260" s="3" t="s">
        <v>5878</v>
      </c>
      <c r="E3260" s="3" t="s">
        <v>5879</v>
      </c>
      <c r="F3260" s="3" t="s">
        <v>5880</v>
      </c>
      <c r="G3260" s="3" t="s">
        <v>5881</v>
      </c>
      <c r="H3260" s="2" t="s">
        <v>694</v>
      </c>
      <c r="I3260" s="4">
        <v>0</v>
      </c>
      <c r="J3260" s="5">
        <v>710000000</v>
      </c>
      <c r="K3260" s="5" t="s">
        <v>89</v>
      </c>
      <c r="L3260" s="2" t="s">
        <v>754</v>
      </c>
      <c r="M3260" s="6" t="s">
        <v>787</v>
      </c>
      <c r="N3260" s="7" t="s">
        <v>92</v>
      </c>
      <c r="O3260" s="7" t="s">
        <v>93</v>
      </c>
      <c r="P3260" s="3" t="s">
        <v>673</v>
      </c>
      <c r="Q3260" s="8">
        <v>796</v>
      </c>
      <c r="R3260" s="7" t="s">
        <v>118</v>
      </c>
      <c r="S3260" s="9">
        <v>5</v>
      </c>
      <c r="T3260" s="9">
        <v>1830.36</v>
      </c>
      <c r="U3260" s="9">
        <f t="shared" si="2216"/>
        <v>9151.7999999999993</v>
      </c>
      <c r="V3260" s="9">
        <f t="shared" si="2217"/>
        <v>10250.016</v>
      </c>
      <c r="W3260" s="7"/>
      <c r="X3260" s="2">
        <v>2016</v>
      </c>
      <c r="Y3260" s="2"/>
    </row>
    <row r="3261" spans="1:25" s="11" customFormat="1" ht="89.25" customHeight="1" outlineLevel="1" x14ac:dyDescent="0.25">
      <c r="A3261" s="1"/>
      <c r="B3261" s="2" t="s">
        <v>7444</v>
      </c>
      <c r="C3261" s="3" t="s">
        <v>83</v>
      </c>
      <c r="D3261" s="3" t="s">
        <v>5882</v>
      </c>
      <c r="E3261" s="3" t="s">
        <v>4842</v>
      </c>
      <c r="F3261" s="3" t="s">
        <v>5883</v>
      </c>
      <c r="G3261" s="3"/>
      <c r="H3261" s="2" t="s">
        <v>694</v>
      </c>
      <c r="I3261" s="4">
        <v>0</v>
      </c>
      <c r="J3261" s="5">
        <v>710000000</v>
      </c>
      <c r="K3261" s="5" t="s">
        <v>89</v>
      </c>
      <c r="L3261" s="2" t="s">
        <v>754</v>
      </c>
      <c r="M3261" s="6" t="s">
        <v>787</v>
      </c>
      <c r="N3261" s="7" t="s">
        <v>92</v>
      </c>
      <c r="O3261" s="7" t="s">
        <v>93</v>
      </c>
      <c r="P3261" s="3" t="s">
        <v>673</v>
      </c>
      <c r="Q3261" s="8">
        <v>796</v>
      </c>
      <c r="R3261" s="7" t="s">
        <v>118</v>
      </c>
      <c r="S3261" s="9">
        <v>300</v>
      </c>
      <c r="T3261" s="9">
        <v>151.79</v>
      </c>
      <c r="U3261" s="9">
        <f t="shared" si="2216"/>
        <v>45537</v>
      </c>
      <c r="V3261" s="9">
        <f t="shared" si="2217"/>
        <v>51001.440000000002</v>
      </c>
      <c r="W3261" s="7"/>
      <c r="X3261" s="2">
        <v>2016</v>
      </c>
      <c r="Y3261" s="2"/>
    </row>
    <row r="3262" spans="1:25" s="11" customFormat="1" ht="89.25" customHeight="1" outlineLevel="1" x14ac:dyDescent="0.25">
      <c r="A3262" s="16"/>
      <c r="B3262" s="2" t="s">
        <v>7445</v>
      </c>
      <c r="C3262" s="3" t="s">
        <v>83</v>
      </c>
      <c r="D3262" s="3" t="s">
        <v>5884</v>
      </c>
      <c r="E3262" s="3" t="s">
        <v>5885</v>
      </c>
      <c r="F3262" s="3" t="s">
        <v>5886</v>
      </c>
      <c r="G3262" s="3" t="s">
        <v>5887</v>
      </c>
      <c r="H3262" s="2" t="s">
        <v>694</v>
      </c>
      <c r="I3262" s="4">
        <v>0</v>
      </c>
      <c r="J3262" s="5">
        <v>710000000</v>
      </c>
      <c r="K3262" s="5" t="s">
        <v>89</v>
      </c>
      <c r="L3262" s="2" t="s">
        <v>754</v>
      </c>
      <c r="M3262" s="6" t="s">
        <v>787</v>
      </c>
      <c r="N3262" s="7" t="s">
        <v>92</v>
      </c>
      <c r="O3262" s="7" t="s">
        <v>93</v>
      </c>
      <c r="P3262" s="3" t="s">
        <v>673</v>
      </c>
      <c r="Q3262" s="8">
        <v>796</v>
      </c>
      <c r="R3262" s="7" t="s">
        <v>118</v>
      </c>
      <c r="S3262" s="9">
        <v>1000</v>
      </c>
      <c r="T3262" s="9">
        <v>107.14</v>
      </c>
      <c r="U3262" s="9">
        <v>0</v>
      </c>
      <c r="V3262" s="9">
        <f t="shared" si="2217"/>
        <v>0</v>
      </c>
      <c r="W3262" s="7"/>
      <c r="X3262" s="2">
        <v>2016</v>
      </c>
      <c r="Y3262" s="2">
        <v>11.12</v>
      </c>
    </row>
    <row r="3263" spans="1:25" s="11" customFormat="1" ht="89.25" customHeight="1" outlineLevel="1" x14ac:dyDescent="0.25">
      <c r="A3263" s="16"/>
      <c r="B3263" s="2" t="s">
        <v>9078</v>
      </c>
      <c r="C3263" s="3" t="s">
        <v>83</v>
      </c>
      <c r="D3263" s="3" t="s">
        <v>5884</v>
      </c>
      <c r="E3263" s="3" t="s">
        <v>5885</v>
      </c>
      <c r="F3263" s="3" t="s">
        <v>5886</v>
      </c>
      <c r="G3263" s="3" t="s">
        <v>5887</v>
      </c>
      <c r="H3263" s="2" t="s">
        <v>694</v>
      </c>
      <c r="I3263" s="4">
        <v>0</v>
      </c>
      <c r="J3263" s="5">
        <v>710000000</v>
      </c>
      <c r="K3263" s="5" t="s">
        <v>89</v>
      </c>
      <c r="L3263" s="2" t="s">
        <v>1738</v>
      </c>
      <c r="M3263" s="6" t="s">
        <v>1481</v>
      </c>
      <c r="N3263" s="7" t="s">
        <v>92</v>
      </c>
      <c r="O3263" s="7" t="s">
        <v>93</v>
      </c>
      <c r="P3263" s="3" t="s">
        <v>673</v>
      </c>
      <c r="Q3263" s="8">
        <v>796</v>
      </c>
      <c r="R3263" s="7" t="s">
        <v>118</v>
      </c>
      <c r="S3263" s="9">
        <v>1000</v>
      </c>
      <c r="T3263" s="9">
        <v>107.14</v>
      </c>
      <c r="U3263" s="9">
        <f t="shared" ref="U3263" si="2218">T3263*S3263</f>
        <v>107140</v>
      </c>
      <c r="V3263" s="9">
        <f t="shared" ref="V3263" si="2219">U3263*1.12</f>
        <v>119996.80000000002</v>
      </c>
      <c r="W3263" s="7"/>
      <c r="X3263" s="2">
        <v>2016</v>
      </c>
      <c r="Y3263" s="2"/>
    </row>
    <row r="3264" spans="1:25" s="11" customFormat="1" ht="89.25" customHeight="1" outlineLevel="1" x14ac:dyDescent="0.25">
      <c r="A3264" s="1"/>
      <c r="B3264" s="2" t="s">
        <v>7446</v>
      </c>
      <c r="C3264" s="3" t="s">
        <v>83</v>
      </c>
      <c r="D3264" s="3" t="s">
        <v>5884</v>
      </c>
      <c r="E3264" s="3" t="s">
        <v>5885</v>
      </c>
      <c r="F3264" s="3" t="s">
        <v>5886</v>
      </c>
      <c r="G3264" s="3" t="s">
        <v>5888</v>
      </c>
      <c r="H3264" s="2" t="s">
        <v>694</v>
      </c>
      <c r="I3264" s="4">
        <v>0</v>
      </c>
      <c r="J3264" s="5">
        <v>710000000</v>
      </c>
      <c r="K3264" s="5" t="s">
        <v>89</v>
      </c>
      <c r="L3264" s="2" t="s">
        <v>754</v>
      </c>
      <c r="M3264" s="6" t="s">
        <v>787</v>
      </c>
      <c r="N3264" s="7" t="s">
        <v>92</v>
      </c>
      <c r="O3264" s="7" t="s">
        <v>93</v>
      </c>
      <c r="P3264" s="3" t="s">
        <v>673</v>
      </c>
      <c r="Q3264" s="8">
        <v>796</v>
      </c>
      <c r="R3264" s="7" t="s">
        <v>118</v>
      </c>
      <c r="S3264" s="9">
        <v>11</v>
      </c>
      <c r="T3264" s="9">
        <v>1875</v>
      </c>
      <c r="U3264" s="9">
        <v>20625</v>
      </c>
      <c r="V3264" s="9">
        <v>23100.000000000004</v>
      </c>
      <c r="W3264" s="7"/>
      <c r="X3264" s="2">
        <v>2016</v>
      </c>
      <c r="Y3264" s="2"/>
    </row>
    <row r="3265" spans="1:25" s="11" customFormat="1" ht="89.25" customHeight="1" outlineLevel="1" x14ac:dyDescent="0.25">
      <c r="A3265" s="1"/>
      <c r="B3265" s="2" t="s">
        <v>7447</v>
      </c>
      <c r="C3265" s="3" t="s">
        <v>83</v>
      </c>
      <c r="D3265" s="3" t="s">
        <v>5889</v>
      </c>
      <c r="E3265" s="3" t="s">
        <v>5890</v>
      </c>
      <c r="F3265" s="3" t="s">
        <v>5891</v>
      </c>
      <c r="G3265" s="3" t="s">
        <v>5892</v>
      </c>
      <c r="H3265" s="2" t="s">
        <v>694</v>
      </c>
      <c r="I3265" s="4">
        <v>0</v>
      </c>
      <c r="J3265" s="5">
        <v>710000000</v>
      </c>
      <c r="K3265" s="5" t="s">
        <v>89</v>
      </c>
      <c r="L3265" s="2" t="s">
        <v>754</v>
      </c>
      <c r="M3265" s="6" t="s">
        <v>787</v>
      </c>
      <c r="N3265" s="7" t="s">
        <v>92</v>
      </c>
      <c r="O3265" s="7" t="s">
        <v>93</v>
      </c>
      <c r="P3265" s="3" t="s">
        <v>673</v>
      </c>
      <c r="Q3265" s="8">
        <v>796</v>
      </c>
      <c r="R3265" s="7" t="s">
        <v>118</v>
      </c>
      <c r="S3265" s="9">
        <v>70</v>
      </c>
      <c r="T3265" s="9">
        <v>3169.64</v>
      </c>
      <c r="U3265" s="9">
        <f t="shared" si="2216"/>
        <v>221874.8</v>
      </c>
      <c r="V3265" s="9">
        <f t="shared" si="2217"/>
        <v>248499.77600000001</v>
      </c>
      <c r="W3265" s="7"/>
      <c r="X3265" s="2">
        <v>2016</v>
      </c>
      <c r="Y3265" s="2"/>
    </row>
    <row r="3266" spans="1:25" s="11" customFormat="1" ht="89.25" customHeight="1" outlineLevel="1" x14ac:dyDescent="0.25">
      <c r="A3266" s="1"/>
      <c r="B3266" s="2" t="s">
        <v>7448</v>
      </c>
      <c r="C3266" s="3" t="s">
        <v>83</v>
      </c>
      <c r="D3266" s="3" t="s">
        <v>3313</v>
      </c>
      <c r="E3266" s="3" t="s">
        <v>2924</v>
      </c>
      <c r="F3266" s="3" t="s">
        <v>3314</v>
      </c>
      <c r="G3266" s="3" t="s">
        <v>5893</v>
      </c>
      <c r="H3266" s="2" t="s">
        <v>694</v>
      </c>
      <c r="I3266" s="4">
        <v>0</v>
      </c>
      <c r="J3266" s="5">
        <v>710000000</v>
      </c>
      <c r="K3266" s="5" t="s">
        <v>89</v>
      </c>
      <c r="L3266" s="2" t="s">
        <v>754</v>
      </c>
      <c r="M3266" s="6" t="s">
        <v>787</v>
      </c>
      <c r="N3266" s="7" t="s">
        <v>92</v>
      </c>
      <c r="O3266" s="7" t="s">
        <v>93</v>
      </c>
      <c r="P3266" s="3" t="s">
        <v>673</v>
      </c>
      <c r="Q3266" s="8">
        <v>796</v>
      </c>
      <c r="R3266" s="7" t="s">
        <v>118</v>
      </c>
      <c r="S3266" s="9">
        <v>4</v>
      </c>
      <c r="T3266" s="9">
        <v>1107.1400000000001</v>
      </c>
      <c r="U3266" s="9">
        <f t="shared" si="2216"/>
        <v>4428.5600000000004</v>
      </c>
      <c r="V3266" s="9">
        <f t="shared" si="2217"/>
        <v>4959.9872000000005</v>
      </c>
      <c r="W3266" s="7"/>
      <c r="X3266" s="2">
        <v>2016</v>
      </c>
      <c r="Y3266" s="2"/>
    </row>
    <row r="3267" spans="1:25" s="11" customFormat="1" ht="89.25" customHeight="1" outlineLevel="1" x14ac:dyDescent="0.25">
      <c r="A3267" s="1"/>
      <c r="B3267" s="2" t="s">
        <v>7449</v>
      </c>
      <c r="C3267" s="3" t="s">
        <v>83</v>
      </c>
      <c r="D3267" s="3" t="s">
        <v>5894</v>
      </c>
      <c r="E3267" s="3" t="s">
        <v>2037</v>
      </c>
      <c r="F3267" s="3" t="s">
        <v>5895</v>
      </c>
      <c r="G3267" s="3" t="s">
        <v>5896</v>
      </c>
      <c r="H3267" s="2" t="s">
        <v>694</v>
      </c>
      <c r="I3267" s="4">
        <v>0</v>
      </c>
      <c r="J3267" s="5">
        <v>710000000</v>
      </c>
      <c r="K3267" s="5" t="s">
        <v>89</v>
      </c>
      <c r="L3267" s="2" t="s">
        <v>754</v>
      </c>
      <c r="M3267" s="6" t="s">
        <v>787</v>
      </c>
      <c r="N3267" s="7" t="s">
        <v>92</v>
      </c>
      <c r="O3267" s="7" t="s">
        <v>93</v>
      </c>
      <c r="P3267" s="3" t="s">
        <v>673</v>
      </c>
      <c r="Q3267" s="8">
        <v>796</v>
      </c>
      <c r="R3267" s="7" t="s">
        <v>118</v>
      </c>
      <c r="S3267" s="9">
        <v>2</v>
      </c>
      <c r="T3267" s="9">
        <v>31250</v>
      </c>
      <c r="U3267" s="9">
        <f t="shared" si="2216"/>
        <v>62500</v>
      </c>
      <c r="V3267" s="9">
        <f t="shared" si="2217"/>
        <v>70000</v>
      </c>
      <c r="W3267" s="7"/>
      <c r="X3267" s="2">
        <v>2016</v>
      </c>
      <c r="Y3267" s="2"/>
    </row>
    <row r="3268" spans="1:25" s="11" customFormat="1" ht="89.25" customHeight="1" outlineLevel="1" x14ac:dyDescent="0.25">
      <c r="A3268" s="1"/>
      <c r="B3268" s="2" t="s">
        <v>7450</v>
      </c>
      <c r="C3268" s="3" t="s">
        <v>83</v>
      </c>
      <c r="D3268" s="3" t="s">
        <v>5897</v>
      </c>
      <c r="E3268" s="3" t="s">
        <v>5898</v>
      </c>
      <c r="F3268" s="3" t="s">
        <v>5899</v>
      </c>
      <c r="G3268" s="3" t="s">
        <v>5900</v>
      </c>
      <c r="H3268" s="2" t="s">
        <v>694</v>
      </c>
      <c r="I3268" s="4">
        <v>0</v>
      </c>
      <c r="J3268" s="5">
        <v>710000000</v>
      </c>
      <c r="K3268" s="5" t="s">
        <v>89</v>
      </c>
      <c r="L3268" s="2" t="s">
        <v>754</v>
      </c>
      <c r="M3268" s="6" t="s">
        <v>787</v>
      </c>
      <c r="N3268" s="7" t="s">
        <v>92</v>
      </c>
      <c r="O3268" s="7" t="s">
        <v>93</v>
      </c>
      <c r="P3268" s="3" t="s">
        <v>673</v>
      </c>
      <c r="Q3268" s="8">
        <v>796</v>
      </c>
      <c r="R3268" s="7" t="s">
        <v>118</v>
      </c>
      <c r="S3268" s="9">
        <v>1205</v>
      </c>
      <c r="T3268" s="9">
        <v>1205</v>
      </c>
      <c r="U3268" s="9">
        <f t="shared" si="2216"/>
        <v>1452025</v>
      </c>
      <c r="V3268" s="9">
        <f t="shared" si="2217"/>
        <v>1626268.0000000002</v>
      </c>
      <c r="W3268" s="7"/>
      <c r="X3268" s="2">
        <v>2016</v>
      </c>
      <c r="Y3268" s="2"/>
    </row>
    <row r="3269" spans="1:25" s="11" customFormat="1" ht="89.25" customHeight="1" outlineLevel="1" x14ac:dyDescent="0.2">
      <c r="A3269" s="25"/>
      <c r="B3269" s="2" t="s">
        <v>7451</v>
      </c>
      <c r="C3269" s="3" t="s">
        <v>83</v>
      </c>
      <c r="D3269" s="3" t="s">
        <v>5901</v>
      </c>
      <c r="E3269" s="3" t="s">
        <v>5902</v>
      </c>
      <c r="F3269" s="3" t="s">
        <v>5903</v>
      </c>
      <c r="G3269" s="3" t="s">
        <v>5904</v>
      </c>
      <c r="H3269" s="2" t="s">
        <v>694</v>
      </c>
      <c r="I3269" s="4">
        <v>0</v>
      </c>
      <c r="J3269" s="5">
        <v>710000000</v>
      </c>
      <c r="K3269" s="5" t="s">
        <v>89</v>
      </c>
      <c r="L3269" s="2" t="s">
        <v>754</v>
      </c>
      <c r="M3269" s="6" t="s">
        <v>787</v>
      </c>
      <c r="N3269" s="7" t="s">
        <v>92</v>
      </c>
      <c r="O3269" s="7" t="s">
        <v>93</v>
      </c>
      <c r="P3269" s="3" t="s">
        <v>673</v>
      </c>
      <c r="Q3269" s="8" t="s">
        <v>5905</v>
      </c>
      <c r="R3269" s="7" t="s">
        <v>5906</v>
      </c>
      <c r="S3269" s="9">
        <f>0.47+0.25+0.5+1.45+0.25+0.5+0.15</f>
        <v>3.57</v>
      </c>
      <c r="T3269" s="9">
        <v>5360</v>
      </c>
      <c r="U3269" s="9">
        <v>0</v>
      </c>
      <c r="V3269" s="9">
        <f t="shared" si="2217"/>
        <v>0</v>
      </c>
      <c r="W3269" s="7"/>
      <c r="X3269" s="2">
        <v>2016</v>
      </c>
      <c r="Y3269" s="2">
        <v>11</v>
      </c>
    </row>
    <row r="3270" spans="1:25" s="11" customFormat="1" ht="89.25" customHeight="1" outlineLevel="1" x14ac:dyDescent="0.25">
      <c r="A3270" s="1"/>
      <c r="B3270" s="2" t="s">
        <v>9420</v>
      </c>
      <c r="C3270" s="3" t="s">
        <v>83</v>
      </c>
      <c r="D3270" s="3" t="s">
        <v>5901</v>
      </c>
      <c r="E3270" s="3" t="s">
        <v>5902</v>
      </c>
      <c r="F3270" s="3" t="s">
        <v>5903</v>
      </c>
      <c r="G3270" s="3" t="s">
        <v>5904</v>
      </c>
      <c r="H3270" s="2" t="s">
        <v>694</v>
      </c>
      <c r="I3270" s="4">
        <v>0</v>
      </c>
      <c r="J3270" s="5">
        <v>710000000</v>
      </c>
      <c r="K3270" s="5" t="s">
        <v>89</v>
      </c>
      <c r="L3270" s="5" t="s">
        <v>1730</v>
      </c>
      <c r="M3270" s="6" t="s">
        <v>787</v>
      </c>
      <c r="N3270" s="7" t="s">
        <v>92</v>
      </c>
      <c r="O3270" s="7" t="s">
        <v>93</v>
      </c>
      <c r="P3270" s="3" t="s">
        <v>673</v>
      </c>
      <c r="Q3270" s="8" t="s">
        <v>5905</v>
      </c>
      <c r="R3270" s="7" t="s">
        <v>5906</v>
      </c>
      <c r="S3270" s="9">
        <f>0.47+0.25+0.5+1.45+0.25+0.5+0.15</f>
        <v>3.57</v>
      </c>
      <c r="T3270" s="9">
        <v>5360</v>
      </c>
      <c r="U3270" s="9">
        <f t="shared" ref="U3270" si="2220">T3270*S3270</f>
        <v>19135.2</v>
      </c>
      <c r="V3270" s="9">
        <f t="shared" ref="V3270" si="2221">U3270*1.12</f>
        <v>21431.424000000003</v>
      </c>
      <c r="W3270" s="7"/>
      <c r="X3270" s="2">
        <v>2016</v>
      </c>
      <c r="Y3270" s="2"/>
    </row>
    <row r="3271" spans="1:25" s="11" customFormat="1" ht="89.25" customHeight="1" outlineLevel="1" x14ac:dyDescent="0.2">
      <c r="A3271" s="25"/>
      <c r="B3271" s="2" t="s">
        <v>7452</v>
      </c>
      <c r="C3271" s="3" t="s">
        <v>83</v>
      </c>
      <c r="D3271" s="3" t="s">
        <v>5907</v>
      </c>
      <c r="E3271" s="3" t="s">
        <v>4603</v>
      </c>
      <c r="F3271" s="3" t="s">
        <v>5908</v>
      </c>
      <c r="G3271" s="3" t="s">
        <v>5909</v>
      </c>
      <c r="H3271" s="2" t="s">
        <v>694</v>
      </c>
      <c r="I3271" s="4">
        <v>0</v>
      </c>
      <c r="J3271" s="5">
        <v>710000000</v>
      </c>
      <c r="K3271" s="5" t="s">
        <v>89</v>
      </c>
      <c r="L3271" s="2" t="s">
        <v>754</v>
      </c>
      <c r="M3271" s="6" t="s">
        <v>787</v>
      </c>
      <c r="N3271" s="7" t="s">
        <v>92</v>
      </c>
      <c r="O3271" s="7" t="s">
        <v>93</v>
      </c>
      <c r="P3271" s="3" t="s">
        <v>673</v>
      </c>
      <c r="Q3271" s="8" t="s">
        <v>544</v>
      </c>
      <c r="R3271" s="7" t="s">
        <v>111</v>
      </c>
      <c r="S3271" s="9">
        <f>270+150+1500+150+50+50</f>
        <v>2170</v>
      </c>
      <c r="T3271" s="9">
        <v>25.64</v>
      </c>
      <c r="U3271" s="9">
        <v>0</v>
      </c>
      <c r="V3271" s="9">
        <f t="shared" si="2217"/>
        <v>0</v>
      </c>
      <c r="W3271" s="7"/>
      <c r="X3271" s="2">
        <v>2016</v>
      </c>
      <c r="Y3271" s="2">
        <v>11</v>
      </c>
    </row>
    <row r="3272" spans="1:25" s="11" customFormat="1" ht="89.25" customHeight="1" outlineLevel="1" x14ac:dyDescent="0.25">
      <c r="A3272" s="1"/>
      <c r="B3272" s="2" t="s">
        <v>9421</v>
      </c>
      <c r="C3272" s="3" t="s">
        <v>83</v>
      </c>
      <c r="D3272" s="3" t="s">
        <v>5907</v>
      </c>
      <c r="E3272" s="3" t="s">
        <v>4603</v>
      </c>
      <c r="F3272" s="3" t="s">
        <v>5908</v>
      </c>
      <c r="G3272" s="3" t="s">
        <v>5909</v>
      </c>
      <c r="H3272" s="2" t="s">
        <v>694</v>
      </c>
      <c r="I3272" s="4">
        <v>0</v>
      </c>
      <c r="J3272" s="5">
        <v>710000000</v>
      </c>
      <c r="K3272" s="5" t="s">
        <v>89</v>
      </c>
      <c r="L3272" s="5" t="s">
        <v>1730</v>
      </c>
      <c r="M3272" s="6" t="s">
        <v>787</v>
      </c>
      <c r="N3272" s="7" t="s">
        <v>92</v>
      </c>
      <c r="O3272" s="7" t="s">
        <v>93</v>
      </c>
      <c r="P3272" s="3" t="s">
        <v>673</v>
      </c>
      <c r="Q3272" s="8" t="s">
        <v>544</v>
      </c>
      <c r="R3272" s="7" t="s">
        <v>111</v>
      </c>
      <c r="S3272" s="9">
        <f>270+150+1500+150+50+50</f>
        <v>2170</v>
      </c>
      <c r="T3272" s="9">
        <v>25.64</v>
      </c>
      <c r="U3272" s="9">
        <f t="shared" ref="U3272" si="2222">T3272*S3272</f>
        <v>55638.8</v>
      </c>
      <c r="V3272" s="9">
        <f t="shared" ref="V3272" si="2223">U3272*1.12</f>
        <v>62315.456000000006</v>
      </c>
      <c r="W3272" s="7"/>
      <c r="X3272" s="2">
        <v>2016</v>
      </c>
      <c r="Y3272" s="2"/>
    </row>
    <row r="3273" spans="1:25" s="11" customFormat="1" ht="89.25" customHeight="1" outlineLevel="1" x14ac:dyDescent="0.25">
      <c r="A3273" s="1"/>
      <c r="B3273" s="2" t="s">
        <v>7453</v>
      </c>
      <c r="C3273" s="3" t="s">
        <v>83</v>
      </c>
      <c r="D3273" s="3" t="s">
        <v>3220</v>
      </c>
      <c r="E3273" s="3" t="s">
        <v>3221</v>
      </c>
      <c r="F3273" s="3" t="s">
        <v>3222</v>
      </c>
      <c r="G3273" s="3" t="s">
        <v>5910</v>
      </c>
      <c r="H3273" s="2" t="s">
        <v>694</v>
      </c>
      <c r="I3273" s="4">
        <v>0</v>
      </c>
      <c r="J3273" s="5">
        <v>710000000</v>
      </c>
      <c r="K3273" s="5" t="s">
        <v>89</v>
      </c>
      <c r="L3273" s="2" t="s">
        <v>754</v>
      </c>
      <c r="M3273" s="6" t="s">
        <v>787</v>
      </c>
      <c r="N3273" s="7" t="s">
        <v>92</v>
      </c>
      <c r="O3273" s="7" t="s">
        <v>93</v>
      </c>
      <c r="P3273" s="3" t="s">
        <v>673</v>
      </c>
      <c r="Q3273" s="8" t="s">
        <v>3085</v>
      </c>
      <c r="R3273" s="7" t="s">
        <v>3086</v>
      </c>
      <c r="S3273" s="9">
        <f>50+29+3+5+4</f>
        <v>91</v>
      </c>
      <c r="T3273" s="9">
        <v>2598.21</v>
      </c>
      <c r="U3273" s="9">
        <f t="shared" si="2216"/>
        <v>236437.11000000002</v>
      </c>
      <c r="V3273" s="9">
        <f t="shared" si="2217"/>
        <v>264809.56320000003</v>
      </c>
      <c r="W3273" s="7"/>
      <c r="X3273" s="2">
        <v>2016</v>
      </c>
      <c r="Y3273" s="2"/>
    </row>
    <row r="3274" spans="1:25" s="11" customFormat="1" ht="89.25" customHeight="1" outlineLevel="1" x14ac:dyDescent="0.25">
      <c r="A3274" s="1"/>
      <c r="B3274" s="2" t="s">
        <v>7454</v>
      </c>
      <c r="C3274" s="3" t="s">
        <v>83</v>
      </c>
      <c r="D3274" s="3" t="s">
        <v>5911</v>
      </c>
      <c r="E3274" s="3" t="s">
        <v>3348</v>
      </c>
      <c r="F3274" s="3" t="s">
        <v>5912</v>
      </c>
      <c r="G3274" s="3" t="s">
        <v>5913</v>
      </c>
      <c r="H3274" s="2" t="s">
        <v>694</v>
      </c>
      <c r="I3274" s="4">
        <v>0</v>
      </c>
      <c r="J3274" s="5">
        <v>710000000</v>
      </c>
      <c r="K3274" s="5" t="s">
        <v>89</v>
      </c>
      <c r="L3274" s="2" t="s">
        <v>754</v>
      </c>
      <c r="M3274" s="6" t="s">
        <v>787</v>
      </c>
      <c r="N3274" s="7" t="s">
        <v>92</v>
      </c>
      <c r="O3274" s="7" t="s">
        <v>93</v>
      </c>
      <c r="P3274" s="3" t="s">
        <v>673</v>
      </c>
      <c r="Q3274" s="8" t="s">
        <v>2433</v>
      </c>
      <c r="R3274" s="7" t="s">
        <v>2434</v>
      </c>
      <c r="S3274" s="9">
        <f>20+2+29</f>
        <v>51</v>
      </c>
      <c r="T3274" s="9">
        <v>2598.21</v>
      </c>
      <c r="U3274" s="9">
        <f t="shared" si="2216"/>
        <v>132508.71</v>
      </c>
      <c r="V3274" s="9">
        <f t="shared" si="2217"/>
        <v>148409.75520000001</v>
      </c>
      <c r="W3274" s="7"/>
      <c r="X3274" s="2">
        <v>2016</v>
      </c>
      <c r="Y3274" s="2"/>
    </row>
    <row r="3275" spans="1:25" s="11" customFormat="1" ht="89.25" customHeight="1" outlineLevel="1" x14ac:dyDescent="0.25">
      <c r="A3275" s="16"/>
      <c r="B3275" s="2" t="s">
        <v>7700</v>
      </c>
      <c r="C3275" s="3" t="s">
        <v>83</v>
      </c>
      <c r="D3275" s="3" t="s">
        <v>7701</v>
      </c>
      <c r="E3275" s="3" t="s">
        <v>7702</v>
      </c>
      <c r="F3275" s="3" t="s">
        <v>7703</v>
      </c>
      <c r="G3275" s="3" t="s">
        <v>7704</v>
      </c>
      <c r="H3275" s="2" t="s">
        <v>694</v>
      </c>
      <c r="I3275" s="4">
        <v>0</v>
      </c>
      <c r="J3275" s="5">
        <v>710000000</v>
      </c>
      <c r="K3275" s="5" t="s">
        <v>89</v>
      </c>
      <c r="L3275" s="2" t="s">
        <v>754</v>
      </c>
      <c r="M3275" s="6" t="s">
        <v>1520</v>
      </c>
      <c r="N3275" s="7" t="s">
        <v>92</v>
      </c>
      <c r="O3275" s="7" t="s">
        <v>93</v>
      </c>
      <c r="P3275" s="3" t="s">
        <v>673</v>
      </c>
      <c r="Q3275" s="8" t="s">
        <v>3213</v>
      </c>
      <c r="R3275" s="7" t="s">
        <v>3214</v>
      </c>
      <c r="S3275" s="9">
        <v>1</v>
      </c>
      <c r="T3275" s="9">
        <v>46071.43</v>
      </c>
      <c r="U3275" s="9">
        <f t="shared" ref="U3275" si="2224">T3275*S3275</f>
        <v>46071.43</v>
      </c>
      <c r="V3275" s="9">
        <f t="shared" ref="V3275" si="2225">U3275*1.12</f>
        <v>51600.001600000003</v>
      </c>
      <c r="W3275" s="7"/>
      <c r="X3275" s="2">
        <v>2016</v>
      </c>
      <c r="Y3275" s="2"/>
    </row>
    <row r="3276" spans="1:25" s="11" customFormat="1" ht="89.25" customHeight="1" outlineLevel="1" x14ac:dyDescent="0.25">
      <c r="A3276" s="16"/>
      <c r="B3276" s="2" t="s">
        <v>7707</v>
      </c>
      <c r="C3276" s="3" t="s">
        <v>83</v>
      </c>
      <c r="D3276" s="3" t="s">
        <v>7708</v>
      </c>
      <c r="E3276" s="3" t="s">
        <v>7709</v>
      </c>
      <c r="F3276" s="3" t="s">
        <v>7710</v>
      </c>
      <c r="G3276" s="3" t="s">
        <v>7713</v>
      </c>
      <c r="H3276" s="2" t="s">
        <v>694</v>
      </c>
      <c r="I3276" s="4">
        <v>0</v>
      </c>
      <c r="J3276" s="5">
        <v>710000000</v>
      </c>
      <c r="K3276" s="5" t="s">
        <v>89</v>
      </c>
      <c r="L3276" s="2" t="s">
        <v>754</v>
      </c>
      <c r="M3276" s="6" t="s">
        <v>1481</v>
      </c>
      <c r="N3276" s="7" t="s">
        <v>92</v>
      </c>
      <c r="O3276" s="7" t="s">
        <v>93</v>
      </c>
      <c r="P3276" s="3" t="s">
        <v>673</v>
      </c>
      <c r="Q3276" s="8" t="s">
        <v>861</v>
      </c>
      <c r="R3276" s="7" t="s">
        <v>812</v>
      </c>
      <c r="S3276" s="9">
        <v>1</v>
      </c>
      <c r="T3276" s="9">
        <v>579910.71</v>
      </c>
      <c r="U3276" s="9">
        <f t="shared" ref="U3276" si="2226">T3276*S3276</f>
        <v>579910.71</v>
      </c>
      <c r="V3276" s="9">
        <f t="shared" ref="V3276" si="2227">U3276*1.12</f>
        <v>649499.9952</v>
      </c>
      <c r="W3276" s="7"/>
      <c r="X3276" s="2">
        <v>2016</v>
      </c>
      <c r="Y3276" s="2"/>
    </row>
    <row r="3277" spans="1:25" s="11" customFormat="1" ht="89.25" customHeight="1" outlineLevel="1" x14ac:dyDescent="0.25">
      <c r="A3277" s="16"/>
      <c r="B3277" s="2" t="s">
        <v>7711</v>
      </c>
      <c r="C3277" s="3" t="s">
        <v>83</v>
      </c>
      <c r="D3277" s="3" t="s">
        <v>7708</v>
      </c>
      <c r="E3277" s="3" t="s">
        <v>7709</v>
      </c>
      <c r="F3277" s="3" t="s">
        <v>7710</v>
      </c>
      <c r="G3277" s="3" t="s">
        <v>7714</v>
      </c>
      <c r="H3277" s="2" t="s">
        <v>694</v>
      </c>
      <c r="I3277" s="4">
        <v>0</v>
      </c>
      <c r="J3277" s="5">
        <v>710000000</v>
      </c>
      <c r="K3277" s="5" t="s">
        <v>89</v>
      </c>
      <c r="L3277" s="2" t="s">
        <v>754</v>
      </c>
      <c r="M3277" s="6" t="s">
        <v>1481</v>
      </c>
      <c r="N3277" s="7" t="s">
        <v>92</v>
      </c>
      <c r="O3277" s="7" t="s">
        <v>93</v>
      </c>
      <c r="P3277" s="3" t="s">
        <v>673</v>
      </c>
      <c r="Q3277" s="8" t="s">
        <v>861</v>
      </c>
      <c r="R3277" s="7" t="s">
        <v>812</v>
      </c>
      <c r="S3277" s="9">
        <v>1</v>
      </c>
      <c r="T3277" s="9">
        <v>312500</v>
      </c>
      <c r="U3277" s="9">
        <f t="shared" ref="U3277" si="2228">T3277*S3277</f>
        <v>312500</v>
      </c>
      <c r="V3277" s="9">
        <f t="shared" ref="V3277" si="2229">U3277*1.12</f>
        <v>350000.00000000006</v>
      </c>
      <c r="W3277" s="7"/>
      <c r="X3277" s="2">
        <v>2016</v>
      </c>
      <c r="Y3277" s="2"/>
    </row>
    <row r="3278" spans="1:25" s="11" customFormat="1" ht="89.25" customHeight="1" outlineLevel="1" x14ac:dyDescent="0.25">
      <c r="A3278" s="16"/>
      <c r="B3278" s="2" t="s">
        <v>7712</v>
      </c>
      <c r="C3278" s="3" t="s">
        <v>83</v>
      </c>
      <c r="D3278" s="3" t="s">
        <v>7708</v>
      </c>
      <c r="E3278" s="3" t="s">
        <v>7709</v>
      </c>
      <c r="F3278" s="3" t="s">
        <v>7710</v>
      </c>
      <c r="G3278" s="3" t="s">
        <v>7715</v>
      </c>
      <c r="H3278" s="2" t="s">
        <v>694</v>
      </c>
      <c r="I3278" s="4">
        <v>0</v>
      </c>
      <c r="J3278" s="5">
        <v>710000000</v>
      </c>
      <c r="K3278" s="5" t="s">
        <v>89</v>
      </c>
      <c r="L3278" s="2" t="s">
        <v>754</v>
      </c>
      <c r="M3278" s="6" t="s">
        <v>1481</v>
      </c>
      <c r="N3278" s="7" t="s">
        <v>92</v>
      </c>
      <c r="O3278" s="7" t="s">
        <v>93</v>
      </c>
      <c r="P3278" s="3" t="s">
        <v>673</v>
      </c>
      <c r="Q3278" s="8" t="s">
        <v>861</v>
      </c>
      <c r="R3278" s="7" t="s">
        <v>812</v>
      </c>
      <c r="S3278" s="9">
        <v>1</v>
      </c>
      <c r="T3278" s="9">
        <v>357142.86</v>
      </c>
      <c r="U3278" s="9">
        <f t="shared" ref="U3278" si="2230">T3278*S3278</f>
        <v>357142.86</v>
      </c>
      <c r="V3278" s="9">
        <f t="shared" ref="V3278" si="2231">U3278*1.12</f>
        <v>400000.00320000004</v>
      </c>
      <c r="W3278" s="7"/>
      <c r="X3278" s="2">
        <v>2016</v>
      </c>
      <c r="Y3278" s="2"/>
    </row>
    <row r="3279" spans="1:25" s="11" customFormat="1" ht="89.25" customHeight="1" outlineLevel="1" x14ac:dyDescent="0.2">
      <c r="A3279" s="57"/>
      <c r="B3279" s="2" t="s">
        <v>7733</v>
      </c>
      <c r="C3279" s="3" t="s">
        <v>83</v>
      </c>
      <c r="D3279" s="3" t="s">
        <v>7734</v>
      </c>
      <c r="E3279" s="3" t="s">
        <v>7735</v>
      </c>
      <c r="F3279" s="3" t="s">
        <v>7736</v>
      </c>
      <c r="G3279" s="3" t="s">
        <v>7737</v>
      </c>
      <c r="H3279" s="2" t="s">
        <v>694</v>
      </c>
      <c r="I3279" s="4">
        <v>0</v>
      </c>
      <c r="J3279" s="5">
        <v>710000000</v>
      </c>
      <c r="K3279" s="5" t="s">
        <v>89</v>
      </c>
      <c r="L3279" s="2" t="s">
        <v>754</v>
      </c>
      <c r="M3279" s="6" t="s">
        <v>1481</v>
      </c>
      <c r="N3279" s="7" t="s">
        <v>92</v>
      </c>
      <c r="O3279" s="7" t="s">
        <v>93</v>
      </c>
      <c r="P3279" s="3" t="s">
        <v>673</v>
      </c>
      <c r="Q3279" s="8" t="s">
        <v>861</v>
      </c>
      <c r="R3279" s="7" t="s">
        <v>812</v>
      </c>
      <c r="S3279" s="9">
        <v>1</v>
      </c>
      <c r="T3279" s="9">
        <v>948575</v>
      </c>
      <c r="U3279" s="9">
        <v>0</v>
      </c>
      <c r="V3279" s="9">
        <f t="shared" ref="V3279" si="2232">U3279*1.12</f>
        <v>0</v>
      </c>
      <c r="W3279" s="7"/>
      <c r="X3279" s="2">
        <v>2016</v>
      </c>
      <c r="Y3279" s="2" t="s">
        <v>7460</v>
      </c>
    </row>
    <row r="3280" spans="1:25" s="11" customFormat="1" ht="89.25" customHeight="1" outlineLevel="1" x14ac:dyDescent="0.25">
      <c r="A3280" s="16"/>
      <c r="B3280" s="2" t="s">
        <v>7738</v>
      </c>
      <c r="C3280" s="3" t="s">
        <v>83</v>
      </c>
      <c r="D3280" s="3" t="s">
        <v>7739</v>
      </c>
      <c r="E3280" s="3" t="s">
        <v>7740</v>
      </c>
      <c r="F3280" s="3" t="s">
        <v>7741</v>
      </c>
      <c r="G3280" s="3" t="s">
        <v>7742</v>
      </c>
      <c r="H3280" s="2" t="s">
        <v>694</v>
      </c>
      <c r="I3280" s="4">
        <v>0</v>
      </c>
      <c r="J3280" s="5">
        <v>710000000</v>
      </c>
      <c r="K3280" s="5" t="s">
        <v>89</v>
      </c>
      <c r="L3280" s="2" t="s">
        <v>754</v>
      </c>
      <c r="M3280" s="6" t="s">
        <v>1481</v>
      </c>
      <c r="N3280" s="7" t="s">
        <v>92</v>
      </c>
      <c r="O3280" s="7" t="s">
        <v>93</v>
      </c>
      <c r="P3280" s="3" t="s">
        <v>673</v>
      </c>
      <c r="Q3280" s="8" t="s">
        <v>861</v>
      </c>
      <c r="R3280" s="7" t="s">
        <v>812</v>
      </c>
      <c r="S3280" s="9">
        <v>2</v>
      </c>
      <c r="T3280" s="9">
        <v>477678.57</v>
      </c>
      <c r="U3280" s="9">
        <f t="shared" ref="U3280" si="2233">T3280*S3280</f>
        <v>955357.14</v>
      </c>
      <c r="V3280" s="9">
        <f t="shared" ref="V3280" si="2234">U3280*1.12</f>
        <v>1069999.9968000001</v>
      </c>
      <c r="W3280" s="7"/>
      <c r="X3280" s="2">
        <v>2016</v>
      </c>
      <c r="Y3280" s="2"/>
    </row>
    <row r="3281" spans="1:25" s="11" customFormat="1" ht="89.25" customHeight="1" outlineLevel="1" x14ac:dyDescent="0.25">
      <c r="A3281" s="16"/>
      <c r="B3281" s="2" t="s">
        <v>7743</v>
      </c>
      <c r="C3281" s="3" t="s">
        <v>83</v>
      </c>
      <c r="D3281" s="3" t="s">
        <v>7744</v>
      </c>
      <c r="E3281" s="3" t="s">
        <v>7745</v>
      </c>
      <c r="F3281" s="3" t="s">
        <v>7746</v>
      </c>
      <c r="G3281" s="3" t="s">
        <v>7747</v>
      </c>
      <c r="H3281" s="2" t="s">
        <v>694</v>
      </c>
      <c r="I3281" s="4">
        <v>0</v>
      </c>
      <c r="J3281" s="5">
        <v>710000000</v>
      </c>
      <c r="K3281" s="5" t="s">
        <v>89</v>
      </c>
      <c r="L3281" s="2" t="s">
        <v>754</v>
      </c>
      <c r="M3281" s="6" t="s">
        <v>1481</v>
      </c>
      <c r="N3281" s="7" t="s">
        <v>92</v>
      </c>
      <c r="O3281" s="7" t="s">
        <v>93</v>
      </c>
      <c r="P3281" s="3" t="s">
        <v>673</v>
      </c>
      <c r="Q3281" s="8" t="s">
        <v>117</v>
      </c>
      <c r="R3281" s="7" t="s">
        <v>118</v>
      </c>
      <c r="S3281" s="9">
        <v>10</v>
      </c>
      <c r="T3281" s="9">
        <v>125000</v>
      </c>
      <c r="U3281" s="9">
        <f t="shared" ref="U3281" si="2235">T3281*S3281</f>
        <v>1250000</v>
      </c>
      <c r="V3281" s="9">
        <f t="shared" ref="V3281" si="2236">U3281*1.12</f>
        <v>1400000.0000000002</v>
      </c>
      <c r="W3281" s="7"/>
      <c r="X3281" s="2">
        <v>2016</v>
      </c>
      <c r="Y3281" s="2"/>
    </row>
    <row r="3282" spans="1:25" s="11" customFormat="1" ht="89.25" customHeight="1" outlineLevel="1" x14ac:dyDescent="0.25">
      <c r="A3282" s="16"/>
      <c r="B3282" s="2" t="s">
        <v>7753</v>
      </c>
      <c r="C3282" s="3" t="s">
        <v>83</v>
      </c>
      <c r="D3282" s="3" t="s">
        <v>7754</v>
      </c>
      <c r="E3282" s="3" t="s">
        <v>7755</v>
      </c>
      <c r="F3282" s="3" t="s">
        <v>7756</v>
      </c>
      <c r="G3282" s="3" t="s">
        <v>7757</v>
      </c>
      <c r="H3282" s="2" t="s">
        <v>694</v>
      </c>
      <c r="I3282" s="4">
        <v>0</v>
      </c>
      <c r="J3282" s="5">
        <v>710000000</v>
      </c>
      <c r="K3282" s="5" t="s">
        <v>89</v>
      </c>
      <c r="L3282" s="2" t="s">
        <v>754</v>
      </c>
      <c r="M3282" s="6" t="s">
        <v>1481</v>
      </c>
      <c r="N3282" s="7" t="s">
        <v>92</v>
      </c>
      <c r="O3282" s="7" t="s">
        <v>93</v>
      </c>
      <c r="P3282" s="3" t="s">
        <v>673</v>
      </c>
      <c r="Q3282" s="8" t="s">
        <v>117</v>
      </c>
      <c r="R3282" s="7" t="s">
        <v>118</v>
      </c>
      <c r="S3282" s="9">
        <v>13</v>
      </c>
      <c r="T3282" s="9">
        <v>1057005.4948</v>
      </c>
      <c r="U3282" s="9">
        <f t="shared" ref="U3282" si="2237">T3282*S3282</f>
        <v>13741071.432399999</v>
      </c>
      <c r="V3282" s="9">
        <f t="shared" ref="V3282" si="2238">U3282*1.12</f>
        <v>15390000.004288001</v>
      </c>
      <c r="W3282" s="7"/>
      <c r="X3282" s="2">
        <v>2016</v>
      </c>
      <c r="Y3282" s="2"/>
    </row>
    <row r="3283" spans="1:25" s="11" customFormat="1" ht="89.25" customHeight="1" outlineLevel="1" x14ac:dyDescent="0.25">
      <c r="A3283" s="16"/>
      <c r="B3283" s="2" t="s">
        <v>7758</v>
      </c>
      <c r="C3283" s="3" t="s">
        <v>83</v>
      </c>
      <c r="D3283" s="3" t="s">
        <v>7759</v>
      </c>
      <c r="E3283" s="3" t="s">
        <v>7760</v>
      </c>
      <c r="F3283" s="3" t="s">
        <v>7761</v>
      </c>
      <c r="G3283" s="3" t="s">
        <v>7762</v>
      </c>
      <c r="H3283" s="2" t="s">
        <v>88</v>
      </c>
      <c r="I3283" s="4">
        <v>0</v>
      </c>
      <c r="J3283" s="5">
        <v>710000000</v>
      </c>
      <c r="K3283" s="5" t="s">
        <v>89</v>
      </c>
      <c r="L3283" s="2" t="s">
        <v>1735</v>
      </c>
      <c r="M3283" s="6" t="s">
        <v>1481</v>
      </c>
      <c r="N3283" s="7" t="s">
        <v>92</v>
      </c>
      <c r="O3283" s="7" t="s">
        <v>93</v>
      </c>
      <c r="P3283" s="3" t="s">
        <v>673</v>
      </c>
      <c r="Q3283" s="8" t="s">
        <v>117</v>
      </c>
      <c r="R3283" s="7" t="s">
        <v>118</v>
      </c>
      <c r="S3283" s="9">
        <v>1</v>
      </c>
      <c r="T3283" s="9">
        <v>8724732.1427999996</v>
      </c>
      <c r="U3283" s="9">
        <f t="shared" ref="U3283" si="2239">T3283*S3283</f>
        <v>8724732.1427999996</v>
      </c>
      <c r="V3283" s="9">
        <f t="shared" ref="V3283" si="2240">U3283*1.12</f>
        <v>9771699.9999359995</v>
      </c>
      <c r="W3283" s="7"/>
      <c r="X3283" s="2">
        <v>2016</v>
      </c>
      <c r="Y3283" s="2"/>
    </row>
    <row r="3284" spans="1:25" s="11" customFormat="1" ht="89.25" customHeight="1" outlineLevel="1" x14ac:dyDescent="0.25">
      <c r="A3284" s="16"/>
      <c r="B3284" s="2" t="s">
        <v>7763</v>
      </c>
      <c r="C3284" s="3" t="s">
        <v>83</v>
      </c>
      <c r="D3284" s="3" t="s">
        <v>7764</v>
      </c>
      <c r="E3284" s="3" t="s">
        <v>1014</v>
      </c>
      <c r="F3284" s="3" t="s">
        <v>7765</v>
      </c>
      <c r="G3284" s="3" t="s">
        <v>7766</v>
      </c>
      <c r="H3284" s="2" t="s">
        <v>694</v>
      </c>
      <c r="I3284" s="4">
        <v>0</v>
      </c>
      <c r="J3284" s="5">
        <v>710000000</v>
      </c>
      <c r="K3284" s="5" t="s">
        <v>89</v>
      </c>
      <c r="L3284" s="2" t="s">
        <v>1735</v>
      </c>
      <c r="M3284" s="6" t="s">
        <v>1481</v>
      </c>
      <c r="N3284" s="7" t="s">
        <v>92</v>
      </c>
      <c r="O3284" s="7" t="s">
        <v>93</v>
      </c>
      <c r="P3284" s="3" t="s">
        <v>673</v>
      </c>
      <c r="Q3284" s="8" t="s">
        <v>117</v>
      </c>
      <c r="R3284" s="7" t="s">
        <v>118</v>
      </c>
      <c r="S3284" s="9">
        <v>1</v>
      </c>
      <c r="T3284" s="9">
        <v>198839.28570000001</v>
      </c>
      <c r="U3284" s="9">
        <f t="shared" ref="U3284" si="2241">T3284*S3284</f>
        <v>198839.28570000001</v>
      </c>
      <c r="V3284" s="9">
        <f t="shared" ref="V3284" si="2242">U3284*1.12</f>
        <v>222699.99998400002</v>
      </c>
      <c r="W3284" s="7"/>
      <c r="X3284" s="2">
        <v>2016</v>
      </c>
      <c r="Y3284" s="2"/>
    </row>
    <row r="3285" spans="1:25" s="11" customFormat="1" ht="89.25" customHeight="1" outlineLevel="1" x14ac:dyDescent="0.25">
      <c r="A3285" s="16"/>
      <c r="B3285" s="2" t="s">
        <v>7767</v>
      </c>
      <c r="C3285" s="3" t="s">
        <v>83</v>
      </c>
      <c r="D3285" s="3" t="s">
        <v>7769</v>
      </c>
      <c r="E3285" s="3" t="s">
        <v>7770</v>
      </c>
      <c r="F3285" s="3" t="s">
        <v>7771</v>
      </c>
      <c r="G3285" s="3" t="s">
        <v>7772</v>
      </c>
      <c r="H3285" s="2" t="s">
        <v>694</v>
      </c>
      <c r="I3285" s="4">
        <v>0</v>
      </c>
      <c r="J3285" s="5">
        <v>710000000</v>
      </c>
      <c r="K3285" s="5" t="s">
        <v>89</v>
      </c>
      <c r="L3285" s="2" t="s">
        <v>754</v>
      </c>
      <c r="M3285" s="6" t="s">
        <v>1481</v>
      </c>
      <c r="N3285" s="7" t="s">
        <v>92</v>
      </c>
      <c r="O3285" s="7" t="s">
        <v>93</v>
      </c>
      <c r="P3285" s="3" t="s">
        <v>673</v>
      </c>
      <c r="Q3285" s="8" t="s">
        <v>117</v>
      </c>
      <c r="R3285" s="7" t="s">
        <v>118</v>
      </c>
      <c r="S3285" s="9">
        <v>48</v>
      </c>
      <c r="T3285" s="9">
        <v>357.14280000000002</v>
      </c>
      <c r="U3285" s="9">
        <f t="shared" ref="U3285" si="2243">T3285*S3285</f>
        <v>17142.8544</v>
      </c>
      <c r="V3285" s="9">
        <f t="shared" ref="V3285" si="2244">U3285*1.12</f>
        <v>19199.996928</v>
      </c>
      <c r="W3285" s="7"/>
      <c r="X3285" s="2">
        <v>2016</v>
      </c>
      <c r="Y3285" s="2"/>
    </row>
    <row r="3286" spans="1:25" s="11" customFormat="1" ht="89.25" customHeight="1" outlineLevel="1" x14ac:dyDescent="0.25">
      <c r="A3286" s="16"/>
      <c r="B3286" s="2" t="s">
        <v>7768</v>
      </c>
      <c r="C3286" s="3" t="s">
        <v>83</v>
      </c>
      <c r="D3286" s="3" t="s">
        <v>7769</v>
      </c>
      <c r="E3286" s="3" t="s">
        <v>7770</v>
      </c>
      <c r="F3286" s="3" t="s">
        <v>7771</v>
      </c>
      <c r="G3286" s="3" t="s">
        <v>7773</v>
      </c>
      <c r="H3286" s="2" t="s">
        <v>694</v>
      </c>
      <c r="I3286" s="4">
        <v>0</v>
      </c>
      <c r="J3286" s="5">
        <v>710000000</v>
      </c>
      <c r="K3286" s="5" t="s">
        <v>89</v>
      </c>
      <c r="L3286" s="2" t="s">
        <v>754</v>
      </c>
      <c r="M3286" s="6" t="s">
        <v>1481</v>
      </c>
      <c r="N3286" s="7" t="s">
        <v>92</v>
      </c>
      <c r="O3286" s="7" t="s">
        <v>93</v>
      </c>
      <c r="P3286" s="3" t="s">
        <v>673</v>
      </c>
      <c r="Q3286" s="8" t="s">
        <v>117</v>
      </c>
      <c r="R3286" s="7" t="s">
        <v>118</v>
      </c>
      <c r="S3286" s="9">
        <v>556</v>
      </c>
      <c r="T3286" s="9">
        <v>357.14285699999999</v>
      </c>
      <c r="U3286" s="9">
        <f t="shared" ref="U3286" si="2245">T3286*S3286</f>
        <v>198571.42849200001</v>
      </c>
      <c r="V3286" s="9">
        <f t="shared" ref="V3286" si="2246">U3286*1.12</f>
        <v>222399.99991104004</v>
      </c>
      <c r="W3286" s="7"/>
      <c r="X3286" s="2">
        <v>2016</v>
      </c>
      <c r="Y3286" s="2"/>
    </row>
    <row r="3287" spans="1:25" s="11" customFormat="1" ht="89.25" customHeight="1" outlineLevel="1" x14ac:dyDescent="0.25">
      <c r="A3287" s="16"/>
      <c r="B3287" s="2" t="s">
        <v>7775</v>
      </c>
      <c r="C3287" s="3" t="s">
        <v>83</v>
      </c>
      <c r="D3287" s="3" t="s">
        <v>7769</v>
      </c>
      <c r="E3287" s="3" t="s">
        <v>7770</v>
      </c>
      <c r="F3287" s="3" t="s">
        <v>7771</v>
      </c>
      <c r="G3287" s="3" t="s">
        <v>7774</v>
      </c>
      <c r="H3287" s="2" t="s">
        <v>694</v>
      </c>
      <c r="I3287" s="4">
        <v>0</v>
      </c>
      <c r="J3287" s="5">
        <v>710000000</v>
      </c>
      <c r="K3287" s="5" t="s">
        <v>89</v>
      </c>
      <c r="L3287" s="2" t="s">
        <v>754</v>
      </c>
      <c r="M3287" s="6" t="s">
        <v>1481</v>
      </c>
      <c r="N3287" s="7" t="s">
        <v>92</v>
      </c>
      <c r="O3287" s="7" t="s">
        <v>93</v>
      </c>
      <c r="P3287" s="3" t="s">
        <v>673</v>
      </c>
      <c r="Q3287" s="8" t="s">
        <v>117</v>
      </c>
      <c r="R3287" s="7" t="s">
        <v>118</v>
      </c>
      <c r="S3287" s="9">
        <v>56</v>
      </c>
      <c r="T3287" s="9">
        <v>937.5</v>
      </c>
      <c r="U3287" s="9">
        <f t="shared" ref="U3287" si="2247">T3287*S3287</f>
        <v>52500</v>
      </c>
      <c r="V3287" s="9">
        <f t="shared" ref="V3287" si="2248">U3287*1.12</f>
        <v>58800.000000000007</v>
      </c>
      <c r="W3287" s="7"/>
      <c r="X3287" s="2">
        <v>2016</v>
      </c>
      <c r="Y3287" s="2"/>
    </row>
    <row r="3288" spans="1:25" s="11" customFormat="1" ht="89.25" customHeight="1" outlineLevel="1" x14ac:dyDescent="0.25">
      <c r="A3288" s="16"/>
      <c r="B3288" s="2" t="s">
        <v>7783</v>
      </c>
      <c r="C3288" s="3" t="s">
        <v>83</v>
      </c>
      <c r="D3288" s="3" t="s">
        <v>7776</v>
      </c>
      <c r="E3288" s="3" t="s">
        <v>7777</v>
      </c>
      <c r="F3288" s="3" t="s">
        <v>7778</v>
      </c>
      <c r="G3288" s="3" t="s">
        <v>7811</v>
      </c>
      <c r="H3288" s="2" t="s">
        <v>694</v>
      </c>
      <c r="I3288" s="4">
        <v>0</v>
      </c>
      <c r="J3288" s="5">
        <v>710000000</v>
      </c>
      <c r="K3288" s="5" t="s">
        <v>89</v>
      </c>
      <c r="L3288" s="2" t="s">
        <v>754</v>
      </c>
      <c r="M3288" s="6" t="s">
        <v>1481</v>
      </c>
      <c r="N3288" s="7" t="s">
        <v>92</v>
      </c>
      <c r="O3288" s="7" t="s">
        <v>93</v>
      </c>
      <c r="P3288" s="3" t="s">
        <v>673</v>
      </c>
      <c r="Q3288" s="8" t="s">
        <v>117</v>
      </c>
      <c r="R3288" s="7" t="s">
        <v>118</v>
      </c>
      <c r="S3288" s="9">
        <v>30</v>
      </c>
      <c r="T3288" s="9">
        <v>7017.857</v>
      </c>
      <c r="U3288" s="9">
        <f t="shared" ref="U3288" si="2249">T3288*S3288</f>
        <v>210535.71</v>
      </c>
      <c r="V3288" s="9">
        <f t="shared" ref="V3288" si="2250">U3288*1.12</f>
        <v>235799.9952</v>
      </c>
      <c r="W3288" s="7"/>
      <c r="X3288" s="2">
        <v>2016</v>
      </c>
      <c r="Y3288" s="2"/>
    </row>
    <row r="3289" spans="1:25" s="11" customFormat="1" ht="89.25" customHeight="1" outlineLevel="1" x14ac:dyDescent="0.25">
      <c r="A3289" s="16"/>
      <c r="B3289" s="2" t="s">
        <v>7784</v>
      </c>
      <c r="C3289" s="3" t="s">
        <v>83</v>
      </c>
      <c r="D3289" s="3" t="s">
        <v>3284</v>
      </c>
      <c r="E3289" s="3" t="s">
        <v>3285</v>
      </c>
      <c r="F3289" s="3" t="s">
        <v>3286</v>
      </c>
      <c r="G3289" s="3" t="s">
        <v>7779</v>
      </c>
      <c r="H3289" s="2" t="s">
        <v>694</v>
      </c>
      <c r="I3289" s="4">
        <v>0</v>
      </c>
      <c r="J3289" s="5">
        <v>710000000</v>
      </c>
      <c r="K3289" s="5" t="s">
        <v>89</v>
      </c>
      <c r="L3289" s="2" t="s">
        <v>754</v>
      </c>
      <c r="M3289" s="6" t="s">
        <v>1481</v>
      </c>
      <c r="N3289" s="7" t="s">
        <v>92</v>
      </c>
      <c r="O3289" s="7" t="s">
        <v>93</v>
      </c>
      <c r="P3289" s="3" t="s">
        <v>673</v>
      </c>
      <c r="Q3289" s="8" t="s">
        <v>117</v>
      </c>
      <c r="R3289" s="7" t="s">
        <v>118</v>
      </c>
      <c r="S3289" s="9">
        <v>120</v>
      </c>
      <c r="T3289" s="9">
        <v>241.07140000000001</v>
      </c>
      <c r="U3289" s="9">
        <f t="shared" ref="U3289" si="2251">T3289*S3289</f>
        <v>28928.568000000003</v>
      </c>
      <c r="V3289" s="9">
        <f t="shared" ref="V3289" si="2252">U3289*1.12</f>
        <v>32399.996160000006</v>
      </c>
      <c r="W3289" s="7"/>
      <c r="X3289" s="2">
        <v>2016</v>
      </c>
      <c r="Y3289" s="2"/>
    </row>
    <row r="3290" spans="1:25" s="11" customFormat="1" ht="89.25" customHeight="1" outlineLevel="1" x14ac:dyDescent="0.25">
      <c r="A3290" s="16"/>
      <c r="B3290" s="2" t="s">
        <v>7785</v>
      </c>
      <c r="C3290" s="3" t="s">
        <v>83</v>
      </c>
      <c r="D3290" s="3" t="s">
        <v>7780</v>
      </c>
      <c r="E3290" s="3" t="s">
        <v>7781</v>
      </c>
      <c r="F3290" s="3" t="s">
        <v>7782</v>
      </c>
      <c r="G3290" s="3" t="s">
        <v>7812</v>
      </c>
      <c r="H3290" s="2" t="s">
        <v>694</v>
      </c>
      <c r="I3290" s="4">
        <v>0</v>
      </c>
      <c r="J3290" s="5">
        <v>710000000</v>
      </c>
      <c r="K3290" s="5" t="s">
        <v>89</v>
      </c>
      <c r="L3290" s="2" t="s">
        <v>754</v>
      </c>
      <c r="M3290" s="6" t="s">
        <v>1481</v>
      </c>
      <c r="N3290" s="7" t="s">
        <v>92</v>
      </c>
      <c r="O3290" s="7" t="s">
        <v>93</v>
      </c>
      <c r="P3290" s="3" t="s">
        <v>673</v>
      </c>
      <c r="Q3290" s="8" t="s">
        <v>2439</v>
      </c>
      <c r="R3290" s="7" t="s">
        <v>2440</v>
      </c>
      <c r="S3290" s="9">
        <v>100</v>
      </c>
      <c r="T3290" s="9">
        <v>661</v>
      </c>
      <c r="U3290" s="9">
        <f t="shared" ref="U3290:U3291" si="2253">T3290*S3290</f>
        <v>66100</v>
      </c>
      <c r="V3290" s="9">
        <f t="shared" ref="V3290:V3291" si="2254">U3290*1.12</f>
        <v>74032</v>
      </c>
      <c r="W3290" s="7"/>
      <c r="X3290" s="2">
        <v>2016</v>
      </c>
      <c r="Y3290" s="2"/>
    </row>
    <row r="3291" spans="1:25" s="11" customFormat="1" ht="89.25" customHeight="1" outlineLevel="1" x14ac:dyDescent="0.25">
      <c r="A3291" s="16"/>
      <c r="B3291" s="2" t="s">
        <v>7786</v>
      </c>
      <c r="C3291" s="3" t="s">
        <v>83</v>
      </c>
      <c r="D3291" s="3" t="s">
        <v>7787</v>
      </c>
      <c r="E3291" s="3" t="s">
        <v>7788</v>
      </c>
      <c r="F3291" s="3" t="s">
        <v>7789</v>
      </c>
      <c r="G3291" s="3" t="s">
        <v>7813</v>
      </c>
      <c r="H3291" s="2" t="s">
        <v>694</v>
      </c>
      <c r="I3291" s="4">
        <v>0</v>
      </c>
      <c r="J3291" s="5">
        <v>710000000</v>
      </c>
      <c r="K3291" s="5" t="s">
        <v>89</v>
      </c>
      <c r="L3291" s="2" t="s">
        <v>754</v>
      </c>
      <c r="M3291" s="6" t="s">
        <v>1481</v>
      </c>
      <c r="N3291" s="7" t="s">
        <v>92</v>
      </c>
      <c r="O3291" s="7" t="s">
        <v>93</v>
      </c>
      <c r="P3291" s="3" t="s">
        <v>673</v>
      </c>
      <c r="Q3291" s="8" t="s">
        <v>117</v>
      </c>
      <c r="R3291" s="7" t="s">
        <v>118</v>
      </c>
      <c r="S3291" s="9">
        <v>60</v>
      </c>
      <c r="T3291" s="9">
        <v>214.28569999999999</v>
      </c>
      <c r="U3291" s="9">
        <f t="shared" si="2253"/>
        <v>12857.142</v>
      </c>
      <c r="V3291" s="9">
        <f t="shared" si="2254"/>
        <v>14399.999040000001</v>
      </c>
      <c r="W3291" s="7"/>
      <c r="X3291" s="2">
        <v>2016</v>
      </c>
      <c r="Y3291" s="2"/>
    </row>
    <row r="3292" spans="1:25" s="11" customFormat="1" ht="102" customHeight="1" outlineLevel="1" x14ac:dyDescent="0.25">
      <c r="A3292" s="16"/>
      <c r="B3292" s="2" t="s">
        <v>8373</v>
      </c>
      <c r="C3292" s="3" t="s">
        <v>83</v>
      </c>
      <c r="D3292" s="3" t="s">
        <v>4805</v>
      </c>
      <c r="E3292" s="3" t="s">
        <v>4803</v>
      </c>
      <c r="F3292" s="3" t="s">
        <v>4806</v>
      </c>
      <c r="G3292" s="3" t="s">
        <v>8420</v>
      </c>
      <c r="H3292" s="2" t="s">
        <v>765</v>
      </c>
      <c r="I3292" s="4">
        <v>0</v>
      </c>
      <c r="J3292" s="5">
        <v>710000000</v>
      </c>
      <c r="K3292" s="5" t="s">
        <v>89</v>
      </c>
      <c r="L3292" s="2" t="s">
        <v>1735</v>
      </c>
      <c r="M3292" s="6" t="s">
        <v>1481</v>
      </c>
      <c r="N3292" s="7" t="s">
        <v>92</v>
      </c>
      <c r="O3292" s="7" t="s">
        <v>93</v>
      </c>
      <c r="P3292" s="3" t="s">
        <v>673</v>
      </c>
      <c r="Q3292" s="8" t="s">
        <v>117</v>
      </c>
      <c r="R3292" s="7" t="s">
        <v>118</v>
      </c>
      <c r="S3292" s="9">
        <v>100</v>
      </c>
      <c r="T3292" s="9">
        <v>214.29</v>
      </c>
      <c r="U3292" s="9">
        <f t="shared" ref="U3292" si="2255">T3292*S3292</f>
        <v>21429</v>
      </c>
      <c r="V3292" s="9">
        <f t="shared" ref="V3292" si="2256">U3292*1.12</f>
        <v>24000.480000000003</v>
      </c>
      <c r="W3292" s="7"/>
      <c r="X3292" s="2">
        <v>2016</v>
      </c>
      <c r="Y3292" s="2"/>
    </row>
    <row r="3293" spans="1:25" s="11" customFormat="1" ht="89.25" customHeight="1" outlineLevel="1" x14ac:dyDescent="0.25">
      <c r="A3293" s="16"/>
      <c r="B3293" s="2" t="s">
        <v>8394</v>
      </c>
      <c r="C3293" s="3" t="s">
        <v>83</v>
      </c>
      <c r="D3293" s="3" t="s">
        <v>8395</v>
      </c>
      <c r="E3293" s="3" t="s">
        <v>8396</v>
      </c>
      <c r="F3293" s="3" t="s">
        <v>8397</v>
      </c>
      <c r="G3293" s="3" t="s">
        <v>8398</v>
      </c>
      <c r="H3293" s="2" t="s">
        <v>694</v>
      </c>
      <c r="I3293" s="4">
        <v>0</v>
      </c>
      <c r="J3293" s="5">
        <v>710000000</v>
      </c>
      <c r="K3293" s="5" t="s">
        <v>89</v>
      </c>
      <c r="L3293" s="2" t="s">
        <v>1735</v>
      </c>
      <c r="M3293" s="6" t="s">
        <v>91</v>
      </c>
      <c r="N3293" s="7" t="s">
        <v>92</v>
      </c>
      <c r="O3293" s="7" t="s">
        <v>93</v>
      </c>
      <c r="P3293" s="3" t="s">
        <v>673</v>
      </c>
      <c r="Q3293" s="8" t="s">
        <v>117</v>
      </c>
      <c r="R3293" s="7" t="s">
        <v>118</v>
      </c>
      <c r="S3293" s="9">
        <v>1</v>
      </c>
      <c r="T3293" s="9">
        <v>389196.43</v>
      </c>
      <c r="U3293" s="9">
        <v>0</v>
      </c>
      <c r="V3293" s="9">
        <f t="shared" ref="V3293" si="2257">U3293*1.12</f>
        <v>0</v>
      </c>
      <c r="W3293" s="7"/>
      <c r="X3293" s="2">
        <v>2016</v>
      </c>
      <c r="Y3293" s="2" t="s">
        <v>8800</v>
      </c>
    </row>
    <row r="3294" spans="1:25" s="11" customFormat="1" ht="89.25" customHeight="1" outlineLevel="1" x14ac:dyDescent="0.25">
      <c r="A3294" s="16"/>
      <c r="B3294" s="2" t="s">
        <v>8711</v>
      </c>
      <c r="C3294" s="3" t="s">
        <v>83</v>
      </c>
      <c r="D3294" s="3" t="s">
        <v>8395</v>
      </c>
      <c r="E3294" s="3" t="s">
        <v>8396</v>
      </c>
      <c r="F3294" s="3" t="s">
        <v>8397</v>
      </c>
      <c r="G3294" s="3" t="s">
        <v>9111</v>
      </c>
      <c r="H3294" s="2" t="s">
        <v>694</v>
      </c>
      <c r="I3294" s="4">
        <v>0</v>
      </c>
      <c r="J3294" s="5">
        <v>710000000</v>
      </c>
      <c r="K3294" s="5" t="s">
        <v>89</v>
      </c>
      <c r="L3294" s="2" t="s">
        <v>8710</v>
      </c>
      <c r="M3294" s="6" t="s">
        <v>91</v>
      </c>
      <c r="N3294" s="7" t="s">
        <v>92</v>
      </c>
      <c r="O3294" s="7" t="s">
        <v>93</v>
      </c>
      <c r="P3294" s="3" t="s">
        <v>673</v>
      </c>
      <c r="Q3294" s="8" t="s">
        <v>117</v>
      </c>
      <c r="R3294" s="7" t="s">
        <v>118</v>
      </c>
      <c r="S3294" s="9">
        <v>1</v>
      </c>
      <c r="T3294" s="9">
        <v>607142.86</v>
      </c>
      <c r="U3294" s="9">
        <f>S3294*T3294</f>
        <v>607142.86</v>
      </c>
      <c r="V3294" s="9">
        <f>U3294*1.12</f>
        <v>680000.00320000004</v>
      </c>
      <c r="W3294" s="7"/>
      <c r="X3294" s="2">
        <v>2016</v>
      </c>
      <c r="Y3294" s="2"/>
    </row>
    <row r="3295" spans="1:25" s="11" customFormat="1" ht="89.25" customHeight="1" outlineLevel="1" x14ac:dyDescent="0.25">
      <c r="A3295" s="16"/>
      <c r="B3295" s="2" t="s">
        <v>8399</v>
      </c>
      <c r="C3295" s="3" t="s">
        <v>83</v>
      </c>
      <c r="D3295" s="3" t="s">
        <v>8400</v>
      </c>
      <c r="E3295" s="3" t="s">
        <v>8401</v>
      </c>
      <c r="F3295" s="3" t="s">
        <v>8402</v>
      </c>
      <c r="G3295" s="3" t="s">
        <v>8403</v>
      </c>
      <c r="H3295" s="2" t="s">
        <v>694</v>
      </c>
      <c r="I3295" s="4">
        <v>0</v>
      </c>
      <c r="J3295" s="5">
        <v>710000000</v>
      </c>
      <c r="K3295" s="5" t="s">
        <v>89</v>
      </c>
      <c r="L3295" s="2" t="s">
        <v>1735</v>
      </c>
      <c r="M3295" s="6" t="s">
        <v>91</v>
      </c>
      <c r="N3295" s="7" t="s">
        <v>92</v>
      </c>
      <c r="O3295" s="7" t="s">
        <v>93</v>
      </c>
      <c r="P3295" s="3" t="s">
        <v>673</v>
      </c>
      <c r="Q3295" s="8" t="s">
        <v>117</v>
      </c>
      <c r="R3295" s="7" t="s">
        <v>118</v>
      </c>
      <c r="S3295" s="9">
        <v>27</v>
      </c>
      <c r="T3295" s="9">
        <v>41696.43</v>
      </c>
      <c r="U3295" s="9">
        <f t="shared" ref="U3295" si="2258">T3295*S3295</f>
        <v>1125803.6100000001</v>
      </c>
      <c r="V3295" s="9">
        <f t="shared" ref="V3295" si="2259">U3295*1.12</f>
        <v>1260900.0432000002</v>
      </c>
      <c r="W3295" s="7"/>
      <c r="X3295" s="2">
        <v>2016</v>
      </c>
      <c r="Y3295" s="2"/>
    </row>
    <row r="3296" spans="1:25" s="11" customFormat="1" ht="89.25" customHeight="1" outlineLevel="1" x14ac:dyDescent="0.25">
      <c r="A3296" s="16"/>
      <c r="B3296" s="2" t="s">
        <v>8423</v>
      </c>
      <c r="C3296" s="3" t="s">
        <v>83</v>
      </c>
      <c r="D3296" s="3" t="s">
        <v>8424</v>
      </c>
      <c r="E3296" s="3" t="s">
        <v>2918</v>
      </c>
      <c r="F3296" s="3" t="s">
        <v>8425</v>
      </c>
      <c r="G3296" s="3" t="s">
        <v>8426</v>
      </c>
      <c r="H3296" s="2" t="s">
        <v>88</v>
      </c>
      <c r="I3296" s="4">
        <v>0</v>
      </c>
      <c r="J3296" s="5">
        <v>710000000</v>
      </c>
      <c r="K3296" s="5" t="s">
        <v>89</v>
      </c>
      <c r="L3296" s="2" t="s">
        <v>1735</v>
      </c>
      <c r="M3296" s="6" t="s">
        <v>787</v>
      </c>
      <c r="N3296" s="7" t="s">
        <v>92</v>
      </c>
      <c r="O3296" s="7" t="s">
        <v>93</v>
      </c>
      <c r="P3296" s="3" t="s">
        <v>673</v>
      </c>
      <c r="Q3296" s="8" t="s">
        <v>117</v>
      </c>
      <c r="R3296" s="7" t="s">
        <v>118</v>
      </c>
      <c r="S3296" s="9">
        <v>615</v>
      </c>
      <c r="T3296" s="9">
        <v>147.32</v>
      </c>
      <c r="U3296" s="9">
        <f t="shared" ref="U3296" si="2260">T3296*S3296</f>
        <v>90601.8</v>
      </c>
      <c r="V3296" s="9">
        <f t="shared" ref="V3296" si="2261">U3296*1.12</f>
        <v>101474.01600000002</v>
      </c>
      <c r="W3296" s="7"/>
      <c r="X3296" s="2">
        <v>2016</v>
      </c>
      <c r="Y3296" s="2"/>
    </row>
    <row r="3297" spans="1:25" s="11" customFormat="1" ht="89.25" customHeight="1" outlineLevel="1" x14ac:dyDescent="0.25">
      <c r="A3297" s="16"/>
      <c r="B3297" s="2" t="s">
        <v>8451</v>
      </c>
      <c r="C3297" s="3" t="s">
        <v>83</v>
      </c>
      <c r="D3297" s="3" t="s">
        <v>8452</v>
      </c>
      <c r="E3297" s="3" t="s">
        <v>8453</v>
      </c>
      <c r="F3297" s="3" t="s">
        <v>8454</v>
      </c>
      <c r="G3297" s="3" t="s">
        <v>8455</v>
      </c>
      <c r="H3297" s="2" t="s">
        <v>765</v>
      </c>
      <c r="I3297" s="4">
        <v>0</v>
      </c>
      <c r="J3297" s="5">
        <v>710000000</v>
      </c>
      <c r="K3297" s="5" t="s">
        <v>89</v>
      </c>
      <c r="L3297" s="2" t="s">
        <v>1735</v>
      </c>
      <c r="M3297" s="6" t="s">
        <v>91</v>
      </c>
      <c r="N3297" s="7" t="s">
        <v>92</v>
      </c>
      <c r="O3297" s="7" t="s">
        <v>93</v>
      </c>
      <c r="P3297" s="3" t="s">
        <v>673</v>
      </c>
      <c r="Q3297" s="8" t="s">
        <v>117</v>
      </c>
      <c r="R3297" s="7" t="s">
        <v>118</v>
      </c>
      <c r="S3297" s="9">
        <v>1</v>
      </c>
      <c r="T3297" s="9">
        <v>105982.14</v>
      </c>
      <c r="U3297" s="9">
        <f t="shared" ref="U3297" si="2262">T3297*S3297</f>
        <v>105982.14</v>
      </c>
      <c r="V3297" s="9">
        <f t="shared" ref="V3297" si="2263">U3297*1.12</f>
        <v>118699.99680000001</v>
      </c>
      <c r="W3297" s="7"/>
      <c r="X3297" s="2">
        <v>2016</v>
      </c>
      <c r="Y3297" s="2"/>
    </row>
    <row r="3298" spans="1:25" s="11" customFormat="1" ht="89.25" customHeight="1" outlineLevel="1" x14ac:dyDescent="0.25">
      <c r="A3298" s="16"/>
      <c r="B3298" s="2" t="s">
        <v>8456</v>
      </c>
      <c r="C3298" s="3" t="s">
        <v>83</v>
      </c>
      <c r="D3298" s="3" t="s">
        <v>8458</v>
      </c>
      <c r="E3298" s="3" t="s">
        <v>8459</v>
      </c>
      <c r="F3298" s="3" t="s">
        <v>8460</v>
      </c>
      <c r="G3298" s="3" t="s">
        <v>8461</v>
      </c>
      <c r="H3298" s="2" t="s">
        <v>765</v>
      </c>
      <c r="I3298" s="4">
        <v>0</v>
      </c>
      <c r="J3298" s="5">
        <v>710000000</v>
      </c>
      <c r="K3298" s="5" t="s">
        <v>89</v>
      </c>
      <c r="L3298" s="2" t="s">
        <v>1735</v>
      </c>
      <c r="M3298" s="6" t="s">
        <v>91</v>
      </c>
      <c r="N3298" s="7" t="s">
        <v>92</v>
      </c>
      <c r="O3298" s="7" t="s">
        <v>93</v>
      </c>
      <c r="P3298" s="3" t="s">
        <v>673</v>
      </c>
      <c r="Q3298" s="8" t="s">
        <v>117</v>
      </c>
      <c r="R3298" s="7" t="s">
        <v>118</v>
      </c>
      <c r="S3298" s="9">
        <v>1</v>
      </c>
      <c r="T3298" s="9">
        <v>119107.14</v>
      </c>
      <c r="U3298" s="9">
        <f t="shared" ref="U3298" si="2264">T3298*S3298</f>
        <v>119107.14</v>
      </c>
      <c r="V3298" s="9">
        <f t="shared" ref="V3298" si="2265">U3298*1.12</f>
        <v>133399.99680000002</v>
      </c>
      <c r="W3298" s="7"/>
      <c r="X3298" s="2">
        <v>2016</v>
      </c>
      <c r="Y3298" s="2"/>
    </row>
    <row r="3299" spans="1:25" s="11" customFormat="1" ht="89.25" customHeight="1" outlineLevel="1" x14ac:dyDescent="0.25">
      <c r="A3299" s="16"/>
      <c r="B3299" s="2" t="s">
        <v>8457</v>
      </c>
      <c r="C3299" s="3" t="s">
        <v>83</v>
      </c>
      <c r="D3299" s="3" t="s">
        <v>8462</v>
      </c>
      <c r="E3299" s="3" t="s">
        <v>8463</v>
      </c>
      <c r="F3299" s="3" t="s">
        <v>8464</v>
      </c>
      <c r="G3299" s="3" t="s">
        <v>8465</v>
      </c>
      <c r="H3299" s="2" t="s">
        <v>765</v>
      </c>
      <c r="I3299" s="4">
        <v>0</v>
      </c>
      <c r="J3299" s="5">
        <v>710000000</v>
      </c>
      <c r="K3299" s="5" t="s">
        <v>89</v>
      </c>
      <c r="L3299" s="2" t="s">
        <v>1735</v>
      </c>
      <c r="M3299" s="6" t="s">
        <v>91</v>
      </c>
      <c r="N3299" s="7" t="s">
        <v>92</v>
      </c>
      <c r="O3299" s="7" t="s">
        <v>93</v>
      </c>
      <c r="P3299" s="3" t="s">
        <v>673</v>
      </c>
      <c r="Q3299" s="8" t="s">
        <v>117</v>
      </c>
      <c r="R3299" s="7" t="s">
        <v>118</v>
      </c>
      <c r="S3299" s="9">
        <v>1</v>
      </c>
      <c r="T3299" s="9">
        <v>627455.36</v>
      </c>
      <c r="U3299" s="9">
        <f t="shared" ref="U3299" si="2266">T3299*S3299</f>
        <v>627455.36</v>
      </c>
      <c r="V3299" s="9">
        <f t="shared" ref="V3299" si="2267">U3299*1.12</f>
        <v>702750.00320000004</v>
      </c>
      <c r="W3299" s="7"/>
      <c r="X3299" s="2">
        <v>2016</v>
      </c>
      <c r="Y3299" s="2"/>
    </row>
    <row r="3300" spans="1:25" s="11" customFormat="1" ht="89.25" customHeight="1" outlineLevel="1" x14ac:dyDescent="0.25">
      <c r="A3300" s="16"/>
      <c r="B3300" s="2" t="s">
        <v>8470</v>
      </c>
      <c r="C3300" s="3" t="s">
        <v>83</v>
      </c>
      <c r="D3300" s="3" t="s">
        <v>8466</v>
      </c>
      <c r="E3300" s="3" t="s">
        <v>8467</v>
      </c>
      <c r="F3300" s="3" t="s">
        <v>8468</v>
      </c>
      <c r="G3300" s="3" t="s">
        <v>8469</v>
      </c>
      <c r="H3300" s="2" t="s">
        <v>765</v>
      </c>
      <c r="I3300" s="4">
        <v>0</v>
      </c>
      <c r="J3300" s="5">
        <v>710000000</v>
      </c>
      <c r="K3300" s="5" t="s">
        <v>89</v>
      </c>
      <c r="L3300" s="2" t="s">
        <v>1735</v>
      </c>
      <c r="M3300" s="6" t="s">
        <v>91</v>
      </c>
      <c r="N3300" s="7" t="s">
        <v>92</v>
      </c>
      <c r="O3300" s="7" t="s">
        <v>93</v>
      </c>
      <c r="P3300" s="3" t="s">
        <v>673</v>
      </c>
      <c r="Q3300" s="8" t="s">
        <v>117</v>
      </c>
      <c r="R3300" s="7" t="s">
        <v>118</v>
      </c>
      <c r="S3300" s="9">
        <v>1</v>
      </c>
      <c r="T3300" s="9">
        <v>1604330.36</v>
      </c>
      <c r="U3300" s="9">
        <f t="shared" ref="U3300" si="2268">T3300*S3300</f>
        <v>1604330.36</v>
      </c>
      <c r="V3300" s="9">
        <f t="shared" ref="V3300" si="2269">U3300*1.12</f>
        <v>1796850.0032000004</v>
      </c>
      <c r="W3300" s="7"/>
      <c r="X3300" s="2">
        <v>2016</v>
      </c>
      <c r="Y3300" s="2"/>
    </row>
    <row r="3301" spans="1:25" s="11" customFormat="1" ht="89.25" customHeight="1" outlineLevel="1" x14ac:dyDescent="0.25">
      <c r="A3301" s="16"/>
      <c r="B3301" s="2" t="s">
        <v>8478</v>
      </c>
      <c r="C3301" s="3" t="s">
        <v>83</v>
      </c>
      <c r="D3301" s="3" t="s">
        <v>8471</v>
      </c>
      <c r="E3301" s="3" t="s">
        <v>8472</v>
      </c>
      <c r="F3301" s="3" t="s">
        <v>8473</v>
      </c>
      <c r="G3301" s="3" t="s">
        <v>8474</v>
      </c>
      <c r="H3301" s="2" t="s">
        <v>765</v>
      </c>
      <c r="I3301" s="4">
        <v>0</v>
      </c>
      <c r="J3301" s="5">
        <v>710000000</v>
      </c>
      <c r="K3301" s="5" t="s">
        <v>89</v>
      </c>
      <c r="L3301" s="2" t="s">
        <v>1735</v>
      </c>
      <c r="M3301" s="6" t="s">
        <v>91</v>
      </c>
      <c r="N3301" s="7" t="s">
        <v>92</v>
      </c>
      <c r="O3301" s="7" t="s">
        <v>93</v>
      </c>
      <c r="P3301" s="3" t="s">
        <v>673</v>
      </c>
      <c r="Q3301" s="8" t="s">
        <v>117</v>
      </c>
      <c r="R3301" s="7" t="s">
        <v>118</v>
      </c>
      <c r="S3301" s="9">
        <v>1</v>
      </c>
      <c r="T3301" s="9">
        <v>263392.86</v>
      </c>
      <c r="U3301" s="9">
        <f t="shared" ref="U3301" si="2270">T3301*S3301</f>
        <v>263392.86</v>
      </c>
      <c r="V3301" s="9">
        <f t="shared" ref="V3301" si="2271">U3301*1.12</f>
        <v>295000.00320000004</v>
      </c>
      <c r="W3301" s="7"/>
      <c r="X3301" s="2">
        <v>2016</v>
      </c>
      <c r="Y3301" s="2"/>
    </row>
    <row r="3302" spans="1:25" s="11" customFormat="1" ht="89.25" customHeight="1" outlineLevel="1" x14ac:dyDescent="0.25">
      <c r="A3302" s="16"/>
      <c r="B3302" s="2" t="s">
        <v>8499</v>
      </c>
      <c r="C3302" s="3" t="s">
        <v>83</v>
      </c>
      <c r="D3302" s="3" t="s">
        <v>8475</v>
      </c>
      <c r="E3302" s="3" t="s">
        <v>4705</v>
      </c>
      <c r="F3302" s="3" t="s">
        <v>8476</v>
      </c>
      <c r="G3302" s="3" t="s">
        <v>8477</v>
      </c>
      <c r="H3302" s="2" t="s">
        <v>694</v>
      </c>
      <c r="I3302" s="4">
        <v>0</v>
      </c>
      <c r="J3302" s="5">
        <v>710000000</v>
      </c>
      <c r="K3302" s="5" t="s">
        <v>89</v>
      </c>
      <c r="L3302" s="2" t="s">
        <v>1735</v>
      </c>
      <c r="M3302" s="6" t="s">
        <v>1481</v>
      </c>
      <c r="N3302" s="7" t="s">
        <v>92</v>
      </c>
      <c r="O3302" s="7" t="s">
        <v>93</v>
      </c>
      <c r="P3302" s="3" t="s">
        <v>673</v>
      </c>
      <c r="Q3302" s="8" t="s">
        <v>117</v>
      </c>
      <c r="R3302" s="7" t="s">
        <v>118</v>
      </c>
      <c r="S3302" s="9">
        <v>6</v>
      </c>
      <c r="T3302" s="9">
        <v>21901.79</v>
      </c>
      <c r="U3302" s="9">
        <f t="shared" ref="U3302" si="2272">T3302*S3302</f>
        <v>131410.74</v>
      </c>
      <c r="V3302" s="9">
        <f t="shared" ref="V3302" si="2273">U3302*1.12</f>
        <v>147180.0288</v>
      </c>
      <c r="W3302" s="7"/>
      <c r="X3302" s="2">
        <v>2016</v>
      </c>
      <c r="Y3302" s="2"/>
    </row>
    <row r="3303" spans="1:25" s="11" customFormat="1" ht="89.25" customHeight="1" outlineLevel="1" x14ac:dyDescent="0.25">
      <c r="A3303" s="16"/>
      <c r="B3303" s="2" t="s">
        <v>8508</v>
      </c>
      <c r="C3303" s="3" t="s">
        <v>83</v>
      </c>
      <c r="D3303" s="3" t="s">
        <v>4754</v>
      </c>
      <c r="E3303" s="3" t="s">
        <v>4755</v>
      </c>
      <c r="F3303" s="3" t="s">
        <v>4756</v>
      </c>
      <c r="G3303" s="3" t="s">
        <v>8479</v>
      </c>
      <c r="H3303" s="2" t="s">
        <v>694</v>
      </c>
      <c r="I3303" s="4">
        <v>0</v>
      </c>
      <c r="J3303" s="5">
        <v>710000000</v>
      </c>
      <c r="K3303" s="5" t="s">
        <v>89</v>
      </c>
      <c r="L3303" s="2" t="s">
        <v>1735</v>
      </c>
      <c r="M3303" s="6" t="s">
        <v>1481</v>
      </c>
      <c r="N3303" s="7" t="s">
        <v>92</v>
      </c>
      <c r="O3303" s="7" t="s">
        <v>93</v>
      </c>
      <c r="P3303" s="3" t="s">
        <v>673</v>
      </c>
      <c r="Q3303" s="8" t="s">
        <v>117</v>
      </c>
      <c r="R3303" s="7" t="s">
        <v>118</v>
      </c>
      <c r="S3303" s="9">
        <v>20</v>
      </c>
      <c r="T3303" s="9">
        <v>1095.5356999999999</v>
      </c>
      <c r="U3303" s="9">
        <f t="shared" ref="U3303" si="2274">T3303*S3303</f>
        <v>21910.714</v>
      </c>
      <c r="V3303" s="9">
        <f t="shared" ref="V3303" si="2275">U3303*1.12</f>
        <v>24539.999680000001</v>
      </c>
      <c r="W3303" s="7"/>
      <c r="X3303" s="2">
        <v>2016</v>
      </c>
      <c r="Y3303" s="2"/>
    </row>
    <row r="3304" spans="1:25" s="11" customFormat="1" ht="89.25" customHeight="1" outlineLevel="1" x14ac:dyDescent="0.25">
      <c r="A3304" s="16"/>
      <c r="B3304" s="2" t="s">
        <v>8509</v>
      </c>
      <c r="C3304" s="3" t="s">
        <v>83</v>
      </c>
      <c r="D3304" s="3" t="s">
        <v>8500</v>
      </c>
      <c r="E3304" s="3" t="s">
        <v>8501</v>
      </c>
      <c r="F3304" s="3" t="s">
        <v>8502</v>
      </c>
      <c r="G3304" s="3" t="s">
        <v>8503</v>
      </c>
      <c r="H3304" s="2" t="s">
        <v>765</v>
      </c>
      <c r="I3304" s="4">
        <v>0</v>
      </c>
      <c r="J3304" s="5">
        <v>710000000</v>
      </c>
      <c r="K3304" s="5" t="s">
        <v>89</v>
      </c>
      <c r="L3304" s="2" t="s">
        <v>1735</v>
      </c>
      <c r="M3304" s="6" t="s">
        <v>1481</v>
      </c>
      <c r="N3304" s="7" t="s">
        <v>92</v>
      </c>
      <c r="O3304" s="7" t="s">
        <v>93</v>
      </c>
      <c r="P3304" s="3" t="s">
        <v>673</v>
      </c>
      <c r="Q3304" s="8" t="s">
        <v>117</v>
      </c>
      <c r="R3304" s="7" t="s">
        <v>118</v>
      </c>
      <c r="S3304" s="9">
        <v>1</v>
      </c>
      <c r="T3304" s="9">
        <v>392767.86</v>
      </c>
      <c r="U3304" s="9">
        <f t="shared" ref="U3304" si="2276">T3304*S3304</f>
        <v>392767.86</v>
      </c>
      <c r="V3304" s="9">
        <f t="shared" ref="V3304" si="2277">U3304*1.12</f>
        <v>439900.00320000004</v>
      </c>
      <c r="W3304" s="7"/>
      <c r="X3304" s="2">
        <v>2016</v>
      </c>
      <c r="Y3304" s="2"/>
    </row>
    <row r="3305" spans="1:25" s="11" customFormat="1" ht="89.25" customHeight="1" outlineLevel="1" x14ac:dyDescent="0.25">
      <c r="A3305" s="16"/>
      <c r="B3305" s="2" t="s">
        <v>8512</v>
      </c>
      <c r="C3305" s="3" t="s">
        <v>83</v>
      </c>
      <c r="D3305" s="3" t="s">
        <v>8504</v>
      </c>
      <c r="E3305" s="3" t="s">
        <v>8505</v>
      </c>
      <c r="F3305" s="3" t="s">
        <v>8506</v>
      </c>
      <c r="G3305" s="3" t="s">
        <v>8507</v>
      </c>
      <c r="H3305" s="2" t="s">
        <v>765</v>
      </c>
      <c r="I3305" s="4">
        <v>0</v>
      </c>
      <c r="J3305" s="5">
        <v>710000000</v>
      </c>
      <c r="K3305" s="5" t="s">
        <v>89</v>
      </c>
      <c r="L3305" s="2" t="s">
        <v>1735</v>
      </c>
      <c r="M3305" s="6" t="s">
        <v>1481</v>
      </c>
      <c r="N3305" s="7" t="s">
        <v>92</v>
      </c>
      <c r="O3305" s="7" t="s">
        <v>93</v>
      </c>
      <c r="P3305" s="3" t="s">
        <v>673</v>
      </c>
      <c r="Q3305" s="8" t="s">
        <v>117</v>
      </c>
      <c r="R3305" s="7" t="s">
        <v>118</v>
      </c>
      <c r="S3305" s="9">
        <v>1</v>
      </c>
      <c r="T3305" s="9">
        <v>36160.71</v>
      </c>
      <c r="U3305" s="9">
        <f t="shared" ref="U3305" si="2278">T3305*S3305</f>
        <v>36160.71</v>
      </c>
      <c r="V3305" s="9">
        <f t="shared" ref="V3305" si="2279">U3305*1.12</f>
        <v>40499.995200000005</v>
      </c>
      <c r="W3305" s="7"/>
      <c r="X3305" s="2">
        <v>2016</v>
      </c>
      <c r="Y3305" s="2"/>
    </row>
    <row r="3306" spans="1:25" s="11" customFormat="1" ht="89.25" customHeight="1" outlineLevel="1" x14ac:dyDescent="0.25">
      <c r="A3306" s="16"/>
      <c r="B3306" s="2" t="s">
        <v>8513</v>
      </c>
      <c r="C3306" s="3" t="s">
        <v>83</v>
      </c>
      <c r="D3306" s="3" t="s">
        <v>8510</v>
      </c>
      <c r="E3306" s="3" t="s">
        <v>818</v>
      </c>
      <c r="F3306" s="3" t="s">
        <v>8511</v>
      </c>
      <c r="G3306" s="3" t="s">
        <v>9650</v>
      </c>
      <c r="H3306" s="2" t="s">
        <v>765</v>
      </c>
      <c r="I3306" s="4">
        <v>0</v>
      </c>
      <c r="J3306" s="5">
        <v>710000000</v>
      </c>
      <c r="K3306" s="5" t="s">
        <v>89</v>
      </c>
      <c r="L3306" s="2" t="s">
        <v>1735</v>
      </c>
      <c r="M3306" s="6" t="s">
        <v>1481</v>
      </c>
      <c r="N3306" s="7" t="s">
        <v>92</v>
      </c>
      <c r="O3306" s="7" t="s">
        <v>93</v>
      </c>
      <c r="P3306" s="3" t="s">
        <v>673</v>
      </c>
      <c r="Q3306" s="8" t="s">
        <v>117</v>
      </c>
      <c r="R3306" s="7" t="s">
        <v>118</v>
      </c>
      <c r="S3306" s="9">
        <v>1</v>
      </c>
      <c r="T3306" s="9">
        <v>27142.86</v>
      </c>
      <c r="U3306" s="9">
        <v>0</v>
      </c>
      <c r="V3306" s="9">
        <f t="shared" ref="V3306:V3308" si="2280">U3306*1.12</f>
        <v>0</v>
      </c>
      <c r="W3306" s="7"/>
      <c r="X3306" s="2">
        <v>2016</v>
      </c>
      <c r="Y3306" s="2">
        <v>11</v>
      </c>
    </row>
    <row r="3307" spans="1:25" s="11" customFormat="1" ht="89.25" customHeight="1" outlineLevel="1" x14ac:dyDescent="0.25">
      <c r="A3307" s="16"/>
      <c r="B3307" s="2" t="s">
        <v>9097</v>
      </c>
      <c r="C3307" s="3" t="s">
        <v>83</v>
      </c>
      <c r="D3307" s="3" t="s">
        <v>8510</v>
      </c>
      <c r="E3307" s="3" t="s">
        <v>818</v>
      </c>
      <c r="F3307" s="3" t="s">
        <v>8511</v>
      </c>
      <c r="G3307" s="3" t="s">
        <v>9650</v>
      </c>
      <c r="H3307" s="2" t="s">
        <v>765</v>
      </c>
      <c r="I3307" s="4">
        <v>0</v>
      </c>
      <c r="J3307" s="5">
        <v>710000000</v>
      </c>
      <c r="K3307" s="5" t="s">
        <v>89</v>
      </c>
      <c r="L3307" s="5" t="s">
        <v>9098</v>
      </c>
      <c r="M3307" s="6" t="s">
        <v>1481</v>
      </c>
      <c r="N3307" s="7" t="s">
        <v>92</v>
      </c>
      <c r="O3307" s="7" t="s">
        <v>93</v>
      </c>
      <c r="P3307" s="3" t="s">
        <v>673</v>
      </c>
      <c r="Q3307" s="8" t="s">
        <v>117</v>
      </c>
      <c r="R3307" s="7" t="s">
        <v>118</v>
      </c>
      <c r="S3307" s="9">
        <v>1</v>
      </c>
      <c r="T3307" s="9">
        <v>27142.86</v>
      </c>
      <c r="U3307" s="9">
        <f t="shared" ref="U3307" si="2281">T3307*S3307</f>
        <v>27142.86</v>
      </c>
      <c r="V3307" s="9">
        <f t="shared" ref="V3307" si="2282">U3307*1.12</f>
        <v>30400.003200000003</v>
      </c>
      <c r="W3307" s="7"/>
      <c r="X3307" s="2">
        <v>2016</v>
      </c>
      <c r="Y3307" s="2"/>
    </row>
    <row r="3308" spans="1:25" s="11" customFormat="1" ht="89.25" customHeight="1" outlineLevel="1" x14ac:dyDescent="0.25">
      <c r="A3308" s="16"/>
      <c r="B3308" s="2" t="s">
        <v>8521</v>
      </c>
      <c r="C3308" s="3" t="s">
        <v>83</v>
      </c>
      <c r="D3308" s="3" t="s">
        <v>8514</v>
      </c>
      <c r="E3308" s="3" t="s">
        <v>818</v>
      </c>
      <c r="F3308" s="3" t="s">
        <v>8515</v>
      </c>
      <c r="G3308" s="3" t="s">
        <v>8516</v>
      </c>
      <c r="H3308" s="2" t="s">
        <v>765</v>
      </c>
      <c r="I3308" s="4">
        <v>0</v>
      </c>
      <c r="J3308" s="5">
        <v>710000000</v>
      </c>
      <c r="K3308" s="5" t="s">
        <v>89</v>
      </c>
      <c r="L3308" s="2" t="s">
        <v>1735</v>
      </c>
      <c r="M3308" s="6" t="s">
        <v>1481</v>
      </c>
      <c r="N3308" s="7" t="s">
        <v>92</v>
      </c>
      <c r="O3308" s="7" t="s">
        <v>93</v>
      </c>
      <c r="P3308" s="3" t="s">
        <v>673</v>
      </c>
      <c r="Q3308" s="8" t="s">
        <v>117</v>
      </c>
      <c r="R3308" s="7" t="s">
        <v>118</v>
      </c>
      <c r="S3308" s="9">
        <v>1</v>
      </c>
      <c r="T3308" s="9">
        <v>38303.57</v>
      </c>
      <c r="U3308" s="9">
        <v>0</v>
      </c>
      <c r="V3308" s="9">
        <f t="shared" si="2280"/>
        <v>0</v>
      </c>
      <c r="W3308" s="7"/>
      <c r="X3308" s="2">
        <v>2016</v>
      </c>
      <c r="Y3308" s="2">
        <v>11</v>
      </c>
    </row>
    <row r="3309" spans="1:25" s="11" customFormat="1" ht="89.25" customHeight="1" outlineLevel="1" x14ac:dyDescent="0.25">
      <c r="A3309" s="16"/>
      <c r="B3309" s="2" t="s">
        <v>9099</v>
      </c>
      <c r="C3309" s="3" t="s">
        <v>83</v>
      </c>
      <c r="D3309" s="3" t="s">
        <v>8514</v>
      </c>
      <c r="E3309" s="3" t="s">
        <v>818</v>
      </c>
      <c r="F3309" s="3" t="s">
        <v>8515</v>
      </c>
      <c r="G3309" s="3" t="s">
        <v>8516</v>
      </c>
      <c r="H3309" s="2" t="s">
        <v>765</v>
      </c>
      <c r="I3309" s="4">
        <v>0</v>
      </c>
      <c r="J3309" s="5">
        <v>710000000</v>
      </c>
      <c r="K3309" s="5" t="s">
        <v>89</v>
      </c>
      <c r="L3309" s="5" t="s">
        <v>9098</v>
      </c>
      <c r="M3309" s="6" t="s">
        <v>1481</v>
      </c>
      <c r="N3309" s="7" t="s">
        <v>92</v>
      </c>
      <c r="O3309" s="7" t="s">
        <v>93</v>
      </c>
      <c r="P3309" s="3" t="s">
        <v>673</v>
      </c>
      <c r="Q3309" s="8" t="s">
        <v>117</v>
      </c>
      <c r="R3309" s="7" t="s">
        <v>118</v>
      </c>
      <c r="S3309" s="9">
        <v>1</v>
      </c>
      <c r="T3309" s="9">
        <v>38303.57</v>
      </c>
      <c r="U3309" s="9">
        <f t="shared" ref="U3309" si="2283">T3309*S3309</f>
        <v>38303.57</v>
      </c>
      <c r="V3309" s="9">
        <f t="shared" ref="V3309" si="2284">U3309*1.12</f>
        <v>42899.998400000004</v>
      </c>
      <c r="W3309" s="7"/>
      <c r="X3309" s="2">
        <v>2016</v>
      </c>
      <c r="Y3309" s="2"/>
    </row>
    <row r="3310" spans="1:25" s="11" customFormat="1" ht="89.25" customHeight="1" outlineLevel="1" x14ac:dyDescent="0.25">
      <c r="A3310" s="16"/>
      <c r="B3310" s="2" t="s">
        <v>8522</v>
      </c>
      <c r="C3310" s="3" t="s">
        <v>83</v>
      </c>
      <c r="D3310" s="3" t="s">
        <v>8517</v>
      </c>
      <c r="E3310" s="3" t="s">
        <v>8518</v>
      </c>
      <c r="F3310" s="3" t="s">
        <v>8519</v>
      </c>
      <c r="G3310" s="3" t="s">
        <v>8520</v>
      </c>
      <c r="H3310" s="2" t="s">
        <v>765</v>
      </c>
      <c r="I3310" s="4">
        <v>0</v>
      </c>
      <c r="J3310" s="5">
        <v>710000000</v>
      </c>
      <c r="K3310" s="5" t="s">
        <v>89</v>
      </c>
      <c r="L3310" s="2" t="s">
        <v>1735</v>
      </c>
      <c r="M3310" s="6" t="s">
        <v>1481</v>
      </c>
      <c r="N3310" s="7" t="s">
        <v>92</v>
      </c>
      <c r="O3310" s="7" t="s">
        <v>93</v>
      </c>
      <c r="P3310" s="3" t="s">
        <v>673</v>
      </c>
      <c r="Q3310" s="8" t="s">
        <v>861</v>
      </c>
      <c r="R3310" s="7" t="s">
        <v>812</v>
      </c>
      <c r="S3310" s="9">
        <v>1</v>
      </c>
      <c r="T3310" s="9">
        <v>10267.86</v>
      </c>
      <c r="U3310" s="9">
        <f t="shared" ref="U3310" si="2285">T3310*S3310</f>
        <v>10267.86</v>
      </c>
      <c r="V3310" s="9">
        <f t="shared" ref="V3310:V3313" si="2286">U3310*1.12</f>
        <v>11500.003200000001</v>
      </c>
      <c r="W3310" s="7"/>
      <c r="X3310" s="2">
        <v>2016</v>
      </c>
      <c r="Y3310" s="2"/>
    </row>
    <row r="3311" spans="1:25" s="11" customFormat="1" ht="89.25" customHeight="1" outlineLevel="1" x14ac:dyDescent="0.25">
      <c r="A3311" s="16"/>
      <c r="B3311" s="2" t="s">
        <v>8523</v>
      </c>
      <c r="C3311" s="3" t="s">
        <v>83</v>
      </c>
      <c r="D3311" s="3" t="s">
        <v>8524</v>
      </c>
      <c r="E3311" s="3" t="s">
        <v>8525</v>
      </c>
      <c r="F3311" s="3" t="s">
        <v>8526</v>
      </c>
      <c r="G3311" s="3" t="s">
        <v>8527</v>
      </c>
      <c r="H3311" s="2" t="s">
        <v>765</v>
      </c>
      <c r="I3311" s="4">
        <v>0</v>
      </c>
      <c r="J3311" s="5">
        <v>710000000</v>
      </c>
      <c r="K3311" s="5" t="s">
        <v>89</v>
      </c>
      <c r="L3311" s="2" t="s">
        <v>1735</v>
      </c>
      <c r="M3311" s="6" t="s">
        <v>1481</v>
      </c>
      <c r="N3311" s="7" t="s">
        <v>92</v>
      </c>
      <c r="O3311" s="7" t="s">
        <v>93</v>
      </c>
      <c r="P3311" s="3" t="s">
        <v>673</v>
      </c>
      <c r="Q3311" s="8" t="s">
        <v>861</v>
      </c>
      <c r="R3311" s="7" t="s">
        <v>812</v>
      </c>
      <c r="S3311" s="9">
        <v>1</v>
      </c>
      <c r="T3311" s="9">
        <v>8830.36</v>
      </c>
      <c r="U3311" s="9">
        <v>0</v>
      </c>
      <c r="V3311" s="9">
        <f t="shared" si="2286"/>
        <v>0</v>
      </c>
      <c r="W3311" s="7"/>
      <c r="X3311" s="2">
        <v>2016</v>
      </c>
      <c r="Y3311" s="2">
        <v>11</v>
      </c>
    </row>
    <row r="3312" spans="1:25" s="11" customFormat="1" ht="89.25" customHeight="1" outlineLevel="1" x14ac:dyDescent="0.25">
      <c r="A3312" s="16"/>
      <c r="B3312" s="2" t="s">
        <v>9100</v>
      </c>
      <c r="C3312" s="3" t="s">
        <v>83</v>
      </c>
      <c r="D3312" s="3" t="s">
        <v>8524</v>
      </c>
      <c r="E3312" s="3" t="s">
        <v>8525</v>
      </c>
      <c r="F3312" s="3" t="s">
        <v>8526</v>
      </c>
      <c r="G3312" s="3" t="s">
        <v>8527</v>
      </c>
      <c r="H3312" s="2" t="s">
        <v>765</v>
      </c>
      <c r="I3312" s="4">
        <v>0</v>
      </c>
      <c r="J3312" s="5">
        <v>710000000</v>
      </c>
      <c r="K3312" s="5" t="s">
        <v>89</v>
      </c>
      <c r="L3312" s="5" t="s">
        <v>9098</v>
      </c>
      <c r="M3312" s="6" t="s">
        <v>1481</v>
      </c>
      <c r="N3312" s="7" t="s">
        <v>92</v>
      </c>
      <c r="O3312" s="7" t="s">
        <v>93</v>
      </c>
      <c r="P3312" s="3" t="s">
        <v>673</v>
      </c>
      <c r="Q3312" s="8" t="s">
        <v>861</v>
      </c>
      <c r="R3312" s="7" t="s">
        <v>812</v>
      </c>
      <c r="S3312" s="9">
        <v>1</v>
      </c>
      <c r="T3312" s="9">
        <v>8830.36</v>
      </c>
      <c r="U3312" s="9">
        <f t="shared" ref="U3312" si="2287">T3312*S3312</f>
        <v>8830.36</v>
      </c>
      <c r="V3312" s="9">
        <f t="shared" ref="V3312" si="2288">U3312*1.12</f>
        <v>9890.003200000001</v>
      </c>
      <c r="W3312" s="7"/>
      <c r="X3312" s="2">
        <v>2016</v>
      </c>
      <c r="Y3312" s="2"/>
    </row>
    <row r="3313" spans="1:25" s="11" customFormat="1" ht="89.25" customHeight="1" outlineLevel="1" x14ac:dyDescent="0.25">
      <c r="A3313" s="16"/>
      <c r="B3313" s="2" t="s">
        <v>8553</v>
      </c>
      <c r="C3313" s="3" t="s">
        <v>83</v>
      </c>
      <c r="D3313" s="3" t="s">
        <v>8528</v>
      </c>
      <c r="E3313" s="3" t="s">
        <v>8529</v>
      </c>
      <c r="F3313" s="3" t="s">
        <v>8530</v>
      </c>
      <c r="G3313" s="3" t="s">
        <v>8531</v>
      </c>
      <c r="H3313" s="2" t="s">
        <v>765</v>
      </c>
      <c r="I3313" s="4">
        <v>0</v>
      </c>
      <c r="J3313" s="5">
        <v>710000000</v>
      </c>
      <c r="K3313" s="5" t="s">
        <v>89</v>
      </c>
      <c r="L3313" s="2" t="s">
        <v>1735</v>
      </c>
      <c r="M3313" s="6" t="s">
        <v>1481</v>
      </c>
      <c r="N3313" s="7" t="s">
        <v>92</v>
      </c>
      <c r="O3313" s="7" t="s">
        <v>93</v>
      </c>
      <c r="P3313" s="3" t="s">
        <v>673</v>
      </c>
      <c r="Q3313" s="8" t="s">
        <v>117</v>
      </c>
      <c r="R3313" s="7" t="s">
        <v>118</v>
      </c>
      <c r="S3313" s="9">
        <v>1</v>
      </c>
      <c r="T3313" s="9">
        <v>43660.71</v>
      </c>
      <c r="U3313" s="9">
        <v>0</v>
      </c>
      <c r="V3313" s="9">
        <f t="shared" si="2286"/>
        <v>0</v>
      </c>
      <c r="W3313" s="7"/>
      <c r="X3313" s="2">
        <v>2016</v>
      </c>
      <c r="Y3313" s="2">
        <v>6.11</v>
      </c>
    </row>
    <row r="3314" spans="1:25" s="11" customFormat="1" ht="216.75" customHeight="1" outlineLevel="1" x14ac:dyDescent="0.25">
      <c r="A3314" s="16"/>
      <c r="B3314" s="2" t="s">
        <v>9091</v>
      </c>
      <c r="C3314" s="3" t="s">
        <v>83</v>
      </c>
      <c r="D3314" s="3" t="s">
        <v>8528</v>
      </c>
      <c r="E3314" s="3" t="s">
        <v>8529</v>
      </c>
      <c r="F3314" s="3" t="s">
        <v>8530</v>
      </c>
      <c r="G3314" s="3" t="s">
        <v>9092</v>
      </c>
      <c r="H3314" s="2" t="s">
        <v>765</v>
      </c>
      <c r="I3314" s="4">
        <v>0</v>
      </c>
      <c r="J3314" s="5">
        <v>710000000</v>
      </c>
      <c r="K3314" s="5" t="s">
        <v>89</v>
      </c>
      <c r="L3314" s="5" t="s">
        <v>9098</v>
      </c>
      <c r="M3314" s="6" t="s">
        <v>1481</v>
      </c>
      <c r="N3314" s="7" t="s">
        <v>92</v>
      </c>
      <c r="O3314" s="7" t="s">
        <v>93</v>
      </c>
      <c r="P3314" s="3" t="s">
        <v>673</v>
      </c>
      <c r="Q3314" s="8" t="s">
        <v>117</v>
      </c>
      <c r="R3314" s="7" t="s">
        <v>118</v>
      </c>
      <c r="S3314" s="9">
        <v>1</v>
      </c>
      <c r="T3314" s="9">
        <v>43660.71</v>
      </c>
      <c r="U3314" s="9">
        <f t="shared" ref="U3314" si="2289">T3314*S3314</f>
        <v>43660.71</v>
      </c>
      <c r="V3314" s="9">
        <f t="shared" ref="V3314" si="2290">U3314*1.12</f>
        <v>48899.995200000005</v>
      </c>
      <c r="W3314" s="7"/>
      <c r="X3314" s="2">
        <v>2016</v>
      </c>
      <c r="Y3314" s="2"/>
    </row>
    <row r="3315" spans="1:25" s="11" customFormat="1" ht="89.25" customHeight="1" outlineLevel="1" x14ac:dyDescent="0.25">
      <c r="A3315" s="16"/>
      <c r="B3315" s="2" t="s">
        <v>8554</v>
      </c>
      <c r="C3315" s="3" t="s">
        <v>83</v>
      </c>
      <c r="D3315" s="3" t="s">
        <v>8532</v>
      </c>
      <c r="E3315" s="3" t="s">
        <v>2924</v>
      </c>
      <c r="F3315" s="3" t="s">
        <v>8533</v>
      </c>
      <c r="G3315" s="3" t="s">
        <v>8534</v>
      </c>
      <c r="H3315" s="2" t="s">
        <v>765</v>
      </c>
      <c r="I3315" s="4">
        <v>0</v>
      </c>
      <c r="J3315" s="5">
        <v>710000000</v>
      </c>
      <c r="K3315" s="5" t="s">
        <v>89</v>
      </c>
      <c r="L3315" s="2" t="s">
        <v>1735</v>
      </c>
      <c r="M3315" s="6" t="s">
        <v>1481</v>
      </c>
      <c r="N3315" s="7" t="s">
        <v>92</v>
      </c>
      <c r="O3315" s="7" t="s">
        <v>93</v>
      </c>
      <c r="P3315" s="3" t="s">
        <v>673</v>
      </c>
      <c r="Q3315" s="8" t="s">
        <v>117</v>
      </c>
      <c r="R3315" s="7" t="s">
        <v>118</v>
      </c>
      <c r="S3315" s="9">
        <v>10</v>
      </c>
      <c r="T3315" s="9">
        <v>0</v>
      </c>
      <c r="U3315" s="9">
        <f t="shared" ref="U3315:U3316" si="2291">T3315*S3315</f>
        <v>0</v>
      </c>
      <c r="V3315" s="9">
        <f t="shared" ref="V3315:V3316" si="2292">U3315*1.12</f>
        <v>0</v>
      </c>
      <c r="W3315" s="7"/>
      <c r="X3315" s="2">
        <v>2016</v>
      </c>
      <c r="Y3315" s="2" t="s">
        <v>9204</v>
      </c>
    </row>
    <row r="3316" spans="1:25" s="11" customFormat="1" ht="89.25" customHeight="1" outlineLevel="1" x14ac:dyDescent="0.25">
      <c r="A3316" s="16"/>
      <c r="B3316" s="2" t="s">
        <v>9205</v>
      </c>
      <c r="C3316" s="3" t="s">
        <v>83</v>
      </c>
      <c r="D3316" s="3" t="s">
        <v>8532</v>
      </c>
      <c r="E3316" s="3" t="s">
        <v>2924</v>
      </c>
      <c r="F3316" s="3" t="s">
        <v>8533</v>
      </c>
      <c r="G3316" s="3" t="s">
        <v>8534</v>
      </c>
      <c r="H3316" s="2" t="s">
        <v>765</v>
      </c>
      <c r="I3316" s="4">
        <v>0</v>
      </c>
      <c r="J3316" s="5">
        <v>710000000</v>
      </c>
      <c r="K3316" s="5" t="s">
        <v>89</v>
      </c>
      <c r="L3316" s="2" t="s">
        <v>9206</v>
      </c>
      <c r="M3316" s="6" t="s">
        <v>1481</v>
      </c>
      <c r="N3316" s="7" t="s">
        <v>92</v>
      </c>
      <c r="O3316" s="7" t="s">
        <v>93</v>
      </c>
      <c r="P3316" s="3" t="s">
        <v>673</v>
      </c>
      <c r="Q3316" s="8" t="s">
        <v>117</v>
      </c>
      <c r="R3316" s="7" t="s">
        <v>118</v>
      </c>
      <c r="S3316" s="9">
        <v>10</v>
      </c>
      <c r="T3316" s="9">
        <v>3264.29</v>
      </c>
      <c r="U3316" s="9">
        <f t="shared" si="2291"/>
        <v>32642.9</v>
      </c>
      <c r="V3316" s="9">
        <f t="shared" si="2292"/>
        <v>36560.048000000003</v>
      </c>
      <c r="W3316" s="7"/>
      <c r="X3316" s="2">
        <v>2016</v>
      </c>
      <c r="Y3316" s="2"/>
    </row>
    <row r="3317" spans="1:25" s="11" customFormat="1" ht="89.25" customHeight="1" outlineLevel="1" x14ac:dyDescent="0.25">
      <c r="A3317" s="16"/>
      <c r="B3317" s="2" t="s">
        <v>8555</v>
      </c>
      <c r="C3317" s="3" t="s">
        <v>83</v>
      </c>
      <c r="D3317" s="3" t="s">
        <v>8532</v>
      </c>
      <c r="E3317" s="3" t="s">
        <v>2924</v>
      </c>
      <c r="F3317" s="3" t="s">
        <v>8533</v>
      </c>
      <c r="G3317" s="3" t="s">
        <v>8535</v>
      </c>
      <c r="H3317" s="2" t="s">
        <v>765</v>
      </c>
      <c r="I3317" s="4">
        <v>0</v>
      </c>
      <c r="J3317" s="5">
        <v>710000000</v>
      </c>
      <c r="K3317" s="5" t="s">
        <v>89</v>
      </c>
      <c r="L3317" s="2" t="s">
        <v>1735</v>
      </c>
      <c r="M3317" s="6" t="s">
        <v>1481</v>
      </c>
      <c r="N3317" s="7" t="s">
        <v>92</v>
      </c>
      <c r="O3317" s="7" t="s">
        <v>93</v>
      </c>
      <c r="P3317" s="3" t="s">
        <v>673</v>
      </c>
      <c r="Q3317" s="8" t="s">
        <v>117</v>
      </c>
      <c r="R3317" s="7" t="s">
        <v>118</v>
      </c>
      <c r="S3317" s="9">
        <v>10</v>
      </c>
      <c r="T3317" s="9">
        <v>0</v>
      </c>
      <c r="U3317" s="9">
        <f t="shared" ref="U3317:U3318" si="2293">T3317*S3317</f>
        <v>0</v>
      </c>
      <c r="V3317" s="9">
        <f t="shared" ref="V3317:V3320" si="2294">U3317*1.12</f>
        <v>0</v>
      </c>
      <c r="W3317" s="7"/>
      <c r="X3317" s="2">
        <v>2016</v>
      </c>
      <c r="Y3317" s="2" t="s">
        <v>9204</v>
      </c>
    </row>
    <row r="3318" spans="1:25" s="11" customFormat="1" ht="89.25" customHeight="1" outlineLevel="1" x14ac:dyDescent="0.25">
      <c r="A3318" s="16"/>
      <c r="B3318" s="2" t="s">
        <v>9207</v>
      </c>
      <c r="C3318" s="3" t="s">
        <v>83</v>
      </c>
      <c r="D3318" s="3" t="s">
        <v>8532</v>
      </c>
      <c r="E3318" s="3" t="s">
        <v>2924</v>
      </c>
      <c r="F3318" s="3" t="s">
        <v>8533</v>
      </c>
      <c r="G3318" s="3" t="s">
        <v>8535</v>
      </c>
      <c r="H3318" s="2" t="s">
        <v>765</v>
      </c>
      <c r="I3318" s="4">
        <v>0</v>
      </c>
      <c r="J3318" s="5">
        <v>710000000</v>
      </c>
      <c r="K3318" s="5" t="s">
        <v>89</v>
      </c>
      <c r="L3318" s="2" t="s">
        <v>9206</v>
      </c>
      <c r="M3318" s="6" t="s">
        <v>1481</v>
      </c>
      <c r="N3318" s="7" t="s">
        <v>92</v>
      </c>
      <c r="O3318" s="7" t="s">
        <v>93</v>
      </c>
      <c r="P3318" s="3" t="s">
        <v>673</v>
      </c>
      <c r="Q3318" s="8" t="s">
        <v>117</v>
      </c>
      <c r="R3318" s="7" t="s">
        <v>118</v>
      </c>
      <c r="S3318" s="9">
        <v>10</v>
      </c>
      <c r="T3318" s="9">
        <v>3610.71</v>
      </c>
      <c r="U3318" s="9">
        <f t="shared" si="2293"/>
        <v>36107.1</v>
      </c>
      <c r="V3318" s="9">
        <f t="shared" si="2294"/>
        <v>40439.952000000005</v>
      </c>
      <c r="W3318" s="7"/>
      <c r="X3318" s="2">
        <v>2016</v>
      </c>
      <c r="Y3318" s="2"/>
    </row>
    <row r="3319" spans="1:25" s="11" customFormat="1" ht="89.25" customHeight="1" outlineLevel="1" x14ac:dyDescent="0.25">
      <c r="A3319" s="16"/>
      <c r="B3319" s="2" t="s">
        <v>8562</v>
      </c>
      <c r="C3319" s="3" t="s">
        <v>83</v>
      </c>
      <c r="D3319" s="3" t="s">
        <v>8532</v>
      </c>
      <c r="E3319" s="3" t="s">
        <v>2924</v>
      </c>
      <c r="F3319" s="3" t="s">
        <v>8533</v>
      </c>
      <c r="G3319" s="3" t="s">
        <v>8536</v>
      </c>
      <c r="H3319" s="2" t="s">
        <v>765</v>
      </c>
      <c r="I3319" s="4">
        <v>0</v>
      </c>
      <c r="J3319" s="5">
        <v>710000000</v>
      </c>
      <c r="K3319" s="5" t="s">
        <v>89</v>
      </c>
      <c r="L3319" s="2" t="s">
        <v>1735</v>
      </c>
      <c r="M3319" s="6" t="s">
        <v>1481</v>
      </c>
      <c r="N3319" s="7" t="s">
        <v>92</v>
      </c>
      <c r="O3319" s="7" t="s">
        <v>93</v>
      </c>
      <c r="P3319" s="3" t="s">
        <v>673</v>
      </c>
      <c r="Q3319" s="8" t="s">
        <v>117</v>
      </c>
      <c r="R3319" s="7" t="s">
        <v>118</v>
      </c>
      <c r="S3319" s="9">
        <v>5</v>
      </c>
      <c r="T3319" s="9">
        <v>21044.65</v>
      </c>
      <c r="U3319" s="9">
        <v>0</v>
      </c>
      <c r="V3319" s="9">
        <f t="shared" si="2294"/>
        <v>0</v>
      </c>
      <c r="W3319" s="7"/>
      <c r="X3319" s="2">
        <v>2016</v>
      </c>
      <c r="Y3319" s="2" t="s">
        <v>9204</v>
      </c>
    </row>
    <row r="3320" spans="1:25" s="11" customFormat="1" ht="89.25" customHeight="1" outlineLevel="1" x14ac:dyDescent="0.25">
      <c r="A3320" s="16"/>
      <c r="B3320" s="2" t="s">
        <v>9208</v>
      </c>
      <c r="C3320" s="3" t="s">
        <v>83</v>
      </c>
      <c r="D3320" s="3" t="s">
        <v>8532</v>
      </c>
      <c r="E3320" s="3" t="s">
        <v>2924</v>
      </c>
      <c r="F3320" s="3" t="s">
        <v>8533</v>
      </c>
      <c r="G3320" s="3" t="s">
        <v>8536</v>
      </c>
      <c r="H3320" s="2" t="s">
        <v>765</v>
      </c>
      <c r="I3320" s="4">
        <v>0</v>
      </c>
      <c r="J3320" s="5">
        <v>710000000</v>
      </c>
      <c r="K3320" s="5" t="s">
        <v>89</v>
      </c>
      <c r="L3320" s="2" t="s">
        <v>9206</v>
      </c>
      <c r="M3320" s="6" t="s">
        <v>1481</v>
      </c>
      <c r="N3320" s="7" t="s">
        <v>92</v>
      </c>
      <c r="O3320" s="7" t="s">
        <v>93</v>
      </c>
      <c r="P3320" s="3" t="s">
        <v>673</v>
      </c>
      <c r="Q3320" s="8" t="s">
        <v>117</v>
      </c>
      <c r="R3320" s="7" t="s">
        <v>118</v>
      </c>
      <c r="S3320" s="9">
        <v>5</v>
      </c>
      <c r="T3320" s="9">
        <v>4265.18</v>
      </c>
      <c r="U3320" s="9">
        <f t="shared" ref="U3320" si="2295">T3320*S3320</f>
        <v>21325.9</v>
      </c>
      <c r="V3320" s="9">
        <f t="shared" si="2294"/>
        <v>23885.008000000005</v>
      </c>
      <c r="W3320" s="7"/>
      <c r="X3320" s="2">
        <v>2016</v>
      </c>
      <c r="Y3320" s="2"/>
    </row>
    <row r="3321" spans="1:25" s="11" customFormat="1" ht="89.25" customHeight="1" outlineLevel="1" x14ac:dyDescent="0.25">
      <c r="A3321" s="16"/>
      <c r="B3321" s="2" t="s">
        <v>8565</v>
      </c>
      <c r="C3321" s="3" t="s">
        <v>83</v>
      </c>
      <c r="D3321" s="3" t="s">
        <v>8532</v>
      </c>
      <c r="E3321" s="3" t="s">
        <v>2924</v>
      </c>
      <c r="F3321" s="3" t="s">
        <v>8533</v>
      </c>
      <c r="G3321" s="3" t="s">
        <v>8556</v>
      </c>
      <c r="H3321" s="2" t="s">
        <v>765</v>
      </c>
      <c r="I3321" s="4">
        <v>0</v>
      </c>
      <c r="J3321" s="5">
        <v>710000000</v>
      </c>
      <c r="K3321" s="5" t="s">
        <v>89</v>
      </c>
      <c r="L3321" s="2" t="s">
        <v>1735</v>
      </c>
      <c r="M3321" s="6" t="s">
        <v>1481</v>
      </c>
      <c r="N3321" s="7" t="s">
        <v>92</v>
      </c>
      <c r="O3321" s="7" t="s">
        <v>93</v>
      </c>
      <c r="P3321" s="3" t="s">
        <v>673</v>
      </c>
      <c r="Q3321" s="8" t="s">
        <v>117</v>
      </c>
      <c r="R3321" s="7" t="s">
        <v>118</v>
      </c>
      <c r="S3321" s="9">
        <v>2</v>
      </c>
      <c r="T3321" s="9">
        <v>8391.07</v>
      </c>
      <c r="U3321" s="9">
        <v>0</v>
      </c>
      <c r="V3321" s="9">
        <f t="shared" ref="V3321:V3324" si="2296">U3321*1.12</f>
        <v>0</v>
      </c>
      <c r="W3321" s="7"/>
      <c r="X3321" s="2">
        <v>2016</v>
      </c>
      <c r="Y3321" s="2" t="s">
        <v>9204</v>
      </c>
    </row>
    <row r="3322" spans="1:25" s="11" customFormat="1" ht="89.25" customHeight="1" outlineLevel="1" x14ac:dyDescent="0.25">
      <c r="A3322" s="16"/>
      <c r="B3322" s="2" t="s">
        <v>9209</v>
      </c>
      <c r="C3322" s="3" t="s">
        <v>83</v>
      </c>
      <c r="D3322" s="3" t="s">
        <v>8532</v>
      </c>
      <c r="E3322" s="3" t="s">
        <v>2924</v>
      </c>
      <c r="F3322" s="3" t="s">
        <v>8533</v>
      </c>
      <c r="G3322" s="3" t="s">
        <v>8556</v>
      </c>
      <c r="H3322" s="2" t="s">
        <v>765</v>
      </c>
      <c r="I3322" s="4">
        <v>0</v>
      </c>
      <c r="J3322" s="5">
        <v>710000000</v>
      </c>
      <c r="K3322" s="5" t="s">
        <v>89</v>
      </c>
      <c r="L3322" s="2" t="s">
        <v>9206</v>
      </c>
      <c r="M3322" s="6" t="s">
        <v>1481</v>
      </c>
      <c r="N3322" s="7" t="s">
        <v>92</v>
      </c>
      <c r="O3322" s="7" t="s">
        <v>93</v>
      </c>
      <c r="P3322" s="3" t="s">
        <v>673</v>
      </c>
      <c r="Q3322" s="8" t="s">
        <v>117</v>
      </c>
      <c r="R3322" s="7" t="s">
        <v>118</v>
      </c>
      <c r="S3322" s="9">
        <v>2</v>
      </c>
      <c r="T3322" s="9">
        <v>4195.54</v>
      </c>
      <c r="U3322" s="9">
        <f t="shared" ref="U3322" si="2297">T3322*S3322</f>
        <v>8391.08</v>
      </c>
      <c r="V3322" s="9">
        <f t="shared" si="2296"/>
        <v>9398.0096000000012</v>
      </c>
      <c r="W3322" s="7"/>
      <c r="X3322" s="2">
        <v>2016</v>
      </c>
      <c r="Y3322" s="2"/>
    </row>
    <row r="3323" spans="1:25" s="11" customFormat="1" ht="89.25" customHeight="1" outlineLevel="1" x14ac:dyDescent="0.25">
      <c r="A3323" s="16"/>
      <c r="B3323" s="2" t="s">
        <v>8566</v>
      </c>
      <c r="C3323" s="3" t="s">
        <v>83</v>
      </c>
      <c r="D3323" s="3" t="s">
        <v>8532</v>
      </c>
      <c r="E3323" s="3" t="s">
        <v>2924</v>
      </c>
      <c r="F3323" s="3" t="s">
        <v>8533</v>
      </c>
      <c r="G3323" s="3" t="s">
        <v>8557</v>
      </c>
      <c r="H3323" s="2" t="s">
        <v>765</v>
      </c>
      <c r="I3323" s="4">
        <v>0</v>
      </c>
      <c r="J3323" s="5">
        <v>710000000</v>
      </c>
      <c r="K3323" s="5" t="s">
        <v>89</v>
      </c>
      <c r="L3323" s="2" t="s">
        <v>1735</v>
      </c>
      <c r="M3323" s="6" t="s">
        <v>1481</v>
      </c>
      <c r="N3323" s="7" t="s">
        <v>92</v>
      </c>
      <c r="O3323" s="7" t="s">
        <v>93</v>
      </c>
      <c r="P3323" s="3" t="s">
        <v>673</v>
      </c>
      <c r="Q3323" s="8" t="s">
        <v>117</v>
      </c>
      <c r="R3323" s="7" t="s">
        <v>118</v>
      </c>
      <c r="S3323" s="9">
        <v>3</v>
      </c>
      <c r="T3323" s="9">
        <v>12699.11</v>
      </c>
      <c r="U3323" s="9">
        <v>0</v>
      </c>
      <c r="V3323" s="9">
        <f t="shared" si="2296"/>
        <v>0</v>
      </c>
      <c r="W3323" s="7"/>
      <c r="X3323" s="2">
        <v>2016</v>
      </c>
      <c r="Y3323" s="2" t="s">
        <v>9204</v>
      </c>
    </row>
    <row r="3324" spans="1:25" s="11" customFormat="1" ht="89.25" customHeight="1" outlineLevel="1" x14ac:dyDescent="0.25">
      <c r="A3324" s="16"/>
      <c r="B3324" s="2" t="s">
        <v>9210</v>
      </c>
      <c r="C3324" s="3" t="s">
        <v>83</v>
      </c>
      <c r="D3324" s="3" t="s">
        <v>8532</v>
      </c>
      <c r="E3324" s="3" t="s">
        <v>2924</v>
      </c>
      <c r="F3324" s="3" t="s">
        <v>8533</v>
      </c>
      <c r="G3324" s="3" t="s">
        <v>8557</v>
      </c>
      <c r="H3324" s="2" t="s">
        <v>765</v>
      </c>
      <c r="I3324" s="4">
        <v>0</v>
      </c>
      <c r="J3324" s="5">
        <v>710000000</v>
      </c>
      <c r="K3324" s="5" t="s">
        <v>89</v>
      </c>
      <c r="L3324" s="2" t="s">
        <v>9206</v>
      </c>
      <c r="M3324" s="6" t="s">
        <v>1481</v>
      </c>
      <c r="N3324" s="7" t="s">
        <v>92</v>
      </c>
      <c r="O3324" s="7" t="s">
        <v>93</v>
      </c>
      <c r="P3324" s="3" t="s">
        <v>673</v>
      </c>
      <c r="Q3324" s="8" t="s">
        <v>117</v>
      </c>
      <c r="R3324" s="7" t="s">
        <v>118</v>
      </c>
      <c r="S3324" s="9">
        <v>3</v>
      </c>
      <c r="T3324" s="9">
        <v>4166.08</v>
      </c>
      <c r="U3324" s="9">
        <f t="shared" ref="U3324" si="2298">T3324*S3324</f>
        <v>12498.24</v>
      </c>
      <c r="V3324" s="9">
        <f t="shared" si="2296"/>
        <v>13998.028800000002</v>
      </c>
      <c r="W3324" s="7"/>
      <c r="X3324" s="2">
        <v>2016</v>
      </c>
      <c r="Y3324" s="2"/>
    </row>
    <row r="3325" spans="1:25" s="11" customFormat="1" ht="89.25" customHeight="1" outlineLevel="1" x14ac:dyDescent="0.25">
      <c r="A3325" s="16"/>
      <c r="B3325" s="2" t="s">
        <v>8574</v>
      </c>
      <c r="C3325" s="3" t="s">
        <v>83</v>
      </c>
      <c r="D3325" s="3" t="s">
        <v>8537</v>
      </c>
      <c r="E3325" s="3" t="s">
        <v>8538</v>
      </c>
      <c r="F3325" s="3" t="s">
        <v>8539</v>
      </c>
      <c r="G3325" s="3" t="s">
        <v>8558</v>
      </c>
      <c r="H3325" s="2" t="s">
        <v>765</v>
      </c>
      <c r="I3325" s="4">
        <v>0</v>
      </c>
      <c r="J3325" s="5">
        <v>710000000</v>
      </c>
      <c r="K3325" s="5" t="s">
        <v>89</v>
      </c>
      <c r="L3325" s="2" t="s">
        <v>1735</v>
      </c>
      <c r="M3325" s="6" t="s">
        <v>1481</v>
      </c>
      <c r="N3325" s="7" t="s">
        <v>92</v>
      </c>
      <c r="O3325" s="7" t="s">
        <v>93</v>
      </c>
      <c r="P3325" s="3" t="s">
        <v>673</v>
      </c>
      <c r="Q3325" s="8" t="s">
        <v>117</v>
      </c>
      <c r="R3325" s="7" t="s">
        <v>118</v>
      </c>
      <c r="S3325" s="9">
        <v>2</v>
      </c>
      <c r="T3325" s="9">
        <v>98214.29</v>
      </c>
      <c r="U3325" s="9">
        <v>0</v>
      </c>
      <c r="V3325" s="9">
        <f t="shared" ref="V3325:V3328" si="2299">U3325*1.12</f>
        <v>0</v>
      </c>
      <c r="W3325" s="7"/>
      <c r="X3325" s="2">
        <v>2016</v>
      </c>
      <c r="Y3325" s="5">
        <v>11</v>
      </c>
    </row>
    <row r="3326" spans="1:25" s="11" customFormat="1" ht="89.25" customHeight="1" outlineLevel="1" x14ac:dyDescent="0.25">
      <c r="A3326" s="16"/>
      <c r="B3326" s="2" t="s">
        <v>9101</v>
      </c>
      <c r="C3326" s="3" t="s">
        <v>83</v>
      </c>
      <c r="D3326" s="3" t="s">
        <v>8537</v>
      </c>
      <c r="E3326" s="3" t="s">
        <v>8538</v>
      </c>
      <c r="F3326" s="3" t="s">
        <v>8539</v>
      </c>
      <c r="G3326" s="3" t="s">
        <v>8558</v>
      </c>
      <c r="H3326" s="2" t="s">
        <v>765</v>
      </c>
      <c r="I3326" s="4">
        <v>0</v>
      </c>
      <c r="J3326" s="5">
        <v>710000000</v>
      </c>
      <c r="K3326" s="5" t="s">
        <v>89</v>
      </c>
      <c r="L3326" s="5" t="s">
        <v>9098</v>
      </c>
      <c r="M3326" s="6" t="s">
        <v>1481</v>
      </c>
      <c r="N3326" s="7" t="s">
        <v>92</v>
      </c>
      <c r="O3326" s="7" t="s">
        <v>93</v>
      </c>
      <c r="P3326" s="3" t="s">
        <v>673</v>
      </c>
      <c r="Q3326" s="8" t="s">
        <v>117</v>
      </c>
      <c r="R3326" s="7" t="s">
        <v>118</v>
      </c>
      <c r="S3326" s="9">
        <v>2</v>
      </c>
      <c r="T3326" s="9">
        <v>98214.29</v>
      </c>
      <c r="U3326" s="9">
        <v>0</v>
      </c>
      <c r="V3326" s="9">
        <f t="shared" ref="V3326:V3327" si="2300">U3326*1.12</f>
        <v>0</v>
      </c>
      <c r="W3326" s="7"/>
      <c r="X3326" s="2">
        <v>2016</v>
      </c>
      <c r="Y3326" s="2" t="s">
        <v>9211</v>
      </c>
    </row>
    <row r="3327" spans="1:25" s="11" customFormat="1" ht="89.25" customHeight="1" outlineLevel="1" x14ac:dyDescent="0.25">
      <c r="A3327" s="16"/>
      <c r="B3327" s="2" t="s">
        <v>9212</v>
      </c>
      <c r="C3327" s="3" t="s">
        <v>83</v>
      </c>
      <c r="D3327" s="3" t="s">
        <v>8537</v>
      </c>
      <c r="E3327" s="3" t="s">
        <v>8538</v>
      </c>
      <c r="F3327" s="3" t="s">
        <v>8539</v>
      </c>
      <c r="G3327" s="3" t="s">
        <v>8558</v>
      </c>
      <c r="H3327" s="2" t="s">
        <v>765</v>
      </c>
      <c r="I3327" s="4">
        <v>0</v>
      </c>
      <c r="J3327" s="5">
        <v>710000000</v>
      </c>
      <c r="K3327" s="5" t="s">
        <v>89</v>
      </c>
      <c r="L3327" s="5" t="s">
        <v>9098</v>
      </c>
      <c r="M3327" s="6" t="s">
        <v>1481</v>
      </c>
      <c r="N3327" s="7" t="s">
        <v>92</v>
      </c>
      <c r="O3327" s="7" t="s">
        <v>93</v>
      </c>
      <c r="P3327" s="3" t="s">
        <v>673</v>
      </c>
      <c r="Q3327" s="8" t="s">
        <v>117</v>
      </c>
      <c r="R3327" s="7" t="s">
        <v>118</v>
      </c>
      <c r="S3327" s="9">
        <v>2</v>
      </c>
      <c r="T3327" s="9">
        <v>49107.15</v>
      </c>
      <c r="U3327" s="9">
        <f t="shared" ref="U3327" si="2301">T3327*S3327</f>
        <v>98214.3</v>
      </c>
      <c r="V3327" s="9">
        <f t="shared" si="2300"/>
        <v>110000.01600000002</v>
      </c>
      <c r="W3327" s="7"/>
      <c r="X3327" s="2">
        <v>2016</v>
      </c>
      <c r="Y3327" s="2"/>
    </row>
    <row r="3328" spans="1:25" s="11" customFormat="1" ht="89.25" customHeight="1" outlineLevel="1" x14ac:dyDescent="0.25">
      <c r="A3328" s="16"/>
      <c r="B3328" s="2" t="s">
        <v>8678</v>
      </c>
      <c r="C3328" s="3" t="s">
        <v>83</v>
      </c>
      <c r="D3328" s="3" t="s">
        <v>8540</v>
      </c>
      <c r="E3328" s="3" t="s">
        <v>8541</v>
      </c>
      <c r="F3328" s="3" t="s">
        <v>8542</v>
      </c>
      <c r="G3328" s="3" t="s">
        <v>8559</v>
      </c>
      <c r="H3328" s="2" t="s">
        <v>765</v>
      </c>
      <c r="I3328" s="4">
        <v>0</v>
      </c>
      <c r="J3328" s="5">
        <v>710000000</v>
      </c>
      <c r="K3328" s="5" t="s">
        <v>89</v>
      </c>
      <c r="L3328" s="2" t="s">
        <v>1735</v>
      </c>
      <c r="M3328" s="6" t="s">
        <v>1481</v>
      </c>
      <c r="N3328" s="7" t="s">
        <v>92</v>
      </c>
      <c r="O3328" s="7" t="s">
        <v>93</v>
      </c>
      <c r="P3328" s="3" t="s">
        <v>673</v>
      </c>
      <c r="Q3328" s="8" t="s">
        <v>117</v>
      </c>
      <c r="R3328" s="7" t="s">
        <v>118</v>
      </c>
      <c r="S3328" s="9">
        <v>1</v>
      </c>
      <c r="T3328" s="9">
        <v>8839.2900000000009</v>
      </c>
      <c r="U3328" s="9">
        <v>0</v>
      </c>
      <c r="V3328" s="9">
        <f t="shared" si="2299"/>
        <v>0</v>
      </c>
      <c r="W3328" s="7"/>
      <c r="X3328" s="2">
        <v>2016</v>
      </c>
      <c r="Y3328" s="2">
        <v>11</v>
      </c>
    </row>
    <row r="3329" spans="1:25" s="11" customFormat="1" ht="89.25" customHeight="1" outlineLevel="1" x14ac:dyDescent="0.25">
      <c r="A3329" s="16"/>
      <c r="B3329" s="2" t="s">
        <v>9102</v>
      </c>
      <c r="C3329" s="3" t="s">
        <v>83</v>
      </c>
      <c r="D3329" s="3" t="s">
        <v>8540</v>
      </c>
      <c r="E3329" s="3" t="s">
        <v>8541</v>
      </c>
      <c r="F3329" s="3" t="s">
        <v>8542</v>
      </c>
      <c r="G3329" s="3" t="s">
        <v>8559</v>
      </c>
      <c r="H3329" s="2" t="s">
        <v>765</v>
      </c>
      <c r="I3329" s="4">
        <v>0</v>
      </c>
      <c r="J3329" s="5">
        <v>710000000</v>
      </c>
      <c r="K3329" s="5" t="s">
        <v>89</v>
      </c>
      <c r="L3329" s="5" t="s">
        <v>9098</v>
      </c>
      <c r="M3329" s="6" t="s">
        <v>1481</v>
      </c>
      <c r="N3329" s="7" t="s">
        <v>92</v>
      </c>
      <c r="O3329" s="7" t="s">
        <v>93</v>
      </c>
      <c r="P3329" s="3" t="s">
        <v>673</v>
      </c>
      <c r="Q3329" s="8" t="s">
        <v>117</v>
      </c>
      <c r="R3329" s="7" t="s">
        <v>118</v>
      </c>
      <c r="S3329" s="9">
        <v>1</v>
      </c>
      <c r="T3329" s="9">
        <v>8839.2900000000009</v>
      </c>
      <c r="U3329" s="9">
        <f t="shared" ref="U3329" si="2302">T3329*S3329</f>
        <v>8839.2900000000009</v>
      </c>
      <c r="V3329" s="9">
        <f t="shared" ref="V3329" si="2303">U3329*1.12</f>
        <v>9900.0048000000024</v>
      </c>
      <c r="W3329" s="7"/>
      <c r="X3329" s="2">
        <v>2016</v>
      </c>
      <c r="Y3329" s="2"/>
    </row>
    <row r="3330" spans="1:25" s="11" customFormat="1" ht="89.25" customHeight="1" outlineLevel="1" x14ac:dyDescent="0.25">
      <c r="A3330" s="16"/>
      <c r="B3330" s="2" t="s">
        <v>8679</v>
      </c>
      <c r="C3330" s="3" t="s">
        <v>83</v>
      </c>
      <c r="D3330" s="3" t="s">
        <v>8543</v>
      </c>
      <c r="E3330" s="3" t="s">
        <v>8544</v>
      </c>
      <c r="F3330" s="3" t="s">
        <v>8545</v>
      </c>
      <c r="G3330" s="3" t="s">
        <v>8560</v>
      </c>
      <c r="H3330" s="2" t="s">
        <v>765</v>
      </c>
      <c r="I3330" s="4">
        <v>0</v>
      </c>
      <c r="J3330" s="5">
        <v>710000000</v>
      </c>
      <c r="K3330" s="5" t="s">
        <v>89</v>
      </c>
      <c r="L3330" s="2" t="s">
        <v>1735</v>
      </c>
      <c r="M3330" s="6" t="s">
        <v>1481</v>
      </c>
      <c r="N3330" s="7" t="s">
        <v>92</v>
      </c>
      <c r="O3330" s="7" t="s">
        <v>93</v>
      </c>
      <c r="P3330" s="3" t="s">
        <v>673</v>
      </c>
      <c r="Q3330" s="8" t="s">
        <v>117</v>
      </c>
      <c r="R3330" s="7" t="s">
        <v>118</v>
      </c>
      <c r="S3330" s="9">
        <v>2</v>
      </c>
      <c r="T3330" s="9">
        <v>14285.72</v>
      </c>
      <c r="U3330" s="9">
        <v>0</v>
      </c>
      <c r="V3330" s="9">
        <f t="shared" ref="V3330" si="2304">U3330*1.12</f>
        <v>0</v>
      </c>
      <c r="W3330" s="7"/>
      <c r="X3330" s="2">
        <v>2016</v>
      </c>
      <c r="Y3330" s="2">
        <v>11</v>
      </c>
    </row>
    <row r="3331" spans="1:25" s="11" customFormat="1" ht="89.25" customHeight="1" outlineLevel="1" x14ac:dyDescent="0.25">
      <c r="A3331" s="16"/>
      <c r="B3331" s="2" t="s">
        <v>9103</v>
      </c>
      <c r="C3331" s="3" t="s">
        <v>83</v>
      </c>
      <c r="D3331" s="3" t="s">
        <v>8543</v>
      </c>
      <c r="E3331" s="3" t="s">
        <v>8544</v>
      </c>
      <c r="F3331" s="3" t="s">
        <v>8545</v>
      </c>
      <c r="G3331" s="3" t="s">
        <v>8560</v>
      </c>
      <c r="H3331" s="2" t="s">
        <v>765</v>
      </c>
      <c r="I3331" s="4">
        <v>0</v>
      </c>
      <c r="J3331" s="5">
        <v>710000000</v>
      </c>
      <c r="K3331" s="5" t="s">
        <v>89</v>
      </c>
      <c r="L3331" s="5" t="s">
        <v>9098</v>
      </c>
      <c r="M3331" s="6" t="s">
        <v>1481</v>
      </c>
      <c r="N3331" s="7" t="s">
        <v>92</v>
      </c>
      <c r="O3331" s="7" t="s">
        <v>93</v>
      </c>
      <c r="P3331" s="3" t="s">
        <v>673</v>
      </c>
      <c r="Q3331" s="8" t="s">
        <v>117</v>
      </c>
      <c r="R3331" s="7" t="s">
        <v>118</v>
      </c>
      <c r="S3331" s="9">
        <v>2</v>
      </c>
      <c r="T3331" s="9">
        <v>14285.72</v>
      </c>
      <c r="U3331" s="9">
        <v>0</v>
      </c>
      <c r="V3331" s="9">
        <f t="shared" ref="V3331:V3332" si="2305">U3331*1.12</f>
        <v>0</v>
      </c>
      <c r="W3331" s="7"/>
      <c r="X3331" s="2">
        <v>2016</v>
      </c>
      <c r="Y3331" s="2" t="s">
        <v>9211</v>
      </c>
    </row>
    <row r="3332" spans="1:25" s="11" customFormat="1" ht="89.25" customHeight="1" outlineLevel="1" x14ac:dyDescent="0.25">
      <c r="A3332" s="16"/>
      <c r="B3332" s="2" t="s">
        <v>9213</v>
      </c>
      <c r="C3332" s="3" t="s">
        <v>83</v>
      </c>
      <c r="D3332" s="3" t="s">
        <v>8543</v>
      </c>
      <c r="E3332" s="3" t="s">
        <v>8544</v>
      </c>
      <c r="F3332" s="3" t="s">
        <v>8545</v>
      </c>
      <c r="G3332" s="3" t="s">
        <v>8560</v>
      </c>
      <c r="H3332" s="2" t="s">
        <v>765</v>
      </c>
      <c r="I3332" s="4">
        <v>0</v>
      </c>
      <c r="J3332" s="5">
        <v>710000000</v>
      </c>
      <c r="K3332" s="5" t="s">
        <v>89</v>
      </c>
      <c r="L3332" s="5" t="s">
        <v>9098</v>
      </c>
      <c r="M3332" s="6" t="s">
        <v>1481</v>
      </c>
      <c r="N3332" s="7" t="s">
        <v>92</v>
      </c>
      <c r="O3332" s="7" t="s">
        <v>93</v>
      </c>
      <c r="P3332" s="3" t="s">
        <v>673</v>
      </c>
      <c r="Q3332" s="8" t="s">
        <v>117</v>
      </c>
      <c r="R3332" s="7" t="s">
        <v>118</v>
      </c>
      <c r="S3332" s="9">
        <v>2</v>
      </c>
      <c r="T3332" s="9">
        <v>7142.86</v>
      </c>
      <c r="U3332" s="9">
        <f t="shared" ref="U3332" si="2306">T3332*S3332</f>
        <v>14285.72</v>
      </c>
      <c r="V3332" s="9">
        <f t="shared" si="2305"/>
        <v>16000.0064</v>
      </c>
      <c r="W3332" s="7"/>
      <c r="X3332" s="2">
        <v>2016</v>
      </c>
      <c r="Y3332" s="2"/>
    </row>
    <row r="3333" spans="1:25" s="11" customFormat="1" ht="89.25" customHeight="1" outlineLevel="1" x14ac:dyDescent="0.25">
      <c r="A3333" s="16"/>
      <c r="B3333" s="2" t="s">
        <v>8684</v>
      </c>
      <c r="C3333" s="3" t="s">
        <v>83</v>
      </c>
      <c r="D3333" s="3" t="s">
        <v>8546</v>
      </c>
      <c r="E3333" s="3" t="s">
        <v>2426</v>
      </c>
      <c r="F3333" s="3" t="s">
        <v>2628</v>
      </c>
      <c r="G3333" s="3" t="s">
        <v>8561</v>
      </c>
      <c r="H3333" s="2" t="s">
        <v>765</v>
      </c>
      <c r="I3333" s="4">
        <v>0</v>
      </c>
      <c r="J3333" s="5">
        <v>710000000</v>
      </c>
      <c r="K3333" s="5" t="s">
        <v>89</v>
      </c>
      <c r="L3333" s="2" t="s">
        <v>1735</v>
      </c>
      <c r="M3333" s="6" t="s">
        <v>1481</v>
      </c>
      <c r="N3333" s="7" t="s">
        <v>92</v>
      </c>
      <c r="O3333" s="7" t="s">
        <v>93</v>
      </c>
      <c r="P3333" s="3" t="s">
        <v>673</v>
      </c>
      <c r="Q3333" s="8" t="s">
        <v>228</v>
      </c>
      <c r="R3333" s="7" t="s">
        <v>229</v>
      </c>
      <c r="S3333" s="9">
        <v>3</v>
      </c>
      <c r="T3333" s="9">
        <v>18214.29</v>
      </c>
      <c r="U3333" s="9">
        <v>0</v>
      </c>
      <c r="V3333" s="9">
        <f t="shared" ref="V3333:V3336" si="2307">U3333*1.12</f>
        <v>0</v>
      </c>
      <c r="W3333" s="7"/>
      <c r="X3333" s="2">
        <v>2016</v>
      </c>
      <c r="Y3333" s="2">
        <v>11</v>
      </c>
    </row>
    <row r="3334" spans="1:25" s="11" customFormat="1" ht="89.25" customHeight="1" outlineLevel="1" x14ac:dyDescent="0.25">
      <c r="A3334" s="16"/>
      <c r="B3334" s="2" t="s">
        <v>9104</v>
      </c>
      <c r="C3334" s="3" t="s">
        <v>83</v>
      </c>
      <c r="D3334" s="3" t="s">
        <v>8546</v>
      </c>
      <c r="E3334" s="3" t="s">
        <v>2426</v>
      </c>
      <c r="F3334" s="3" t="s">
        <v>2628</v>
      </c>
      <c r="G3334" s="3" t="s">
        <v>8561</v>
      </c>
      <c r="H3334" s="2" t="s">
        <v>765</v>
      </c>
      <c r="I3334" s="4">
        <v>0</v>
      </c>
      <c r="J3334" s="5">
        <v>710000000</v>
      </c>
      <c r="K3334" s="5" t="s">
        <v>89</v>
      </c>
      <c r="L3334" s="5" t="s">
        <v>9098</v>
      </c>
      <c r="M3334" s="6" t="s">
        <v>1481</v>
      </c>
      <c r="N3334" s="7" t="s">
        <v>92</v>
      </c>
      <c r="O3334" s="7" t="s">
        <v>93</v>
      </c>
      <c r="P3334" s="3" t="s">
        <v>673</v>
      </c>
      <c r="Q3334" s="8" t="s">
        <v>228</v>
      </c>
      <c r="R3334" s="7" t="s">
        <v>229</v>
      </c>
      <c r="S3334" s="9">
        <v>3</v>
      </c>
      <c r="T3334" s="9">
        <v>18214.29</v>
      </c>
      <c r="U3334" s="9">
        <v>0</v>
      </c>
      <c r="V3334" s="9">
        <f t="shared" ref="V3334:V3335" si="2308">U3334*1.12</f>
        <v>0</v>
      </c>
      <c r="W3334" s="7"/>
      <c r="X3334" s="2">
        <v>2016</v>
      </c>
      <c r="Y3334" s="2" t="s">
        <v>9211</v>
      </c>
    </row>
    <row r="3335" spans="1:25" s="11" customFormat="1" ht="89.25" customHeight="1" outlineLevel="1" x14ac:dyDescent="0.25">
      <c r="A3335" s="16"/>
      <c r="B3335" s="2" t="s">
        <v>9214</v>
      </c>
      <c r="C3335" s="3" t="s">
        <v>83</v>
      </c>
      <c r="D3335" s="3" t="s">
        <v>8546</v>
      </c>
      <c r="E3335" s="3" t="s">
        <v>2426</v>
      </c>
      <c r="F3335" s="3" t="s">
        <v>2628</v>
      </c>
      <c r="G3335" s="3" t="s">
        <v>8561</v>
      </c>
      <c r="H3335" s="2" t="s">
        <v>765</v>
      </c>
      <c r="I3335" s="4">
        <v>0</v>
      </c>
      <c r="J3335" s="5">
        <v>710000000</v>
      </c>
      <c r="K3335" s="5" t="s">
        <v>89</v>
      </c>
      <c r="L3335" s="5" t="s">
        <v>9098</v>
      </c>
      <c r="M3335" s="6" t="s">
        <v>1481</v>
      </c>
      <c r="N3335" s="7" t="s">
        <v>92</v>
      </c>
      <c r="O3335" s="7" t="s">
        <v>93</v>
      </c>
      <c r="P3335" s="3" t="s">
        <v>673</v>
      </c>
      <c r="Q3335" s="8" t="s">
        <v>228</v>
      </c>
      <c r="R3335" s="7" t="s">
        <v>229</v>
      </c>
      <c r="S3335" s="9">
        <v>3</v>
      </c>
      <c r="T3335" s="9">
        <v>6071.43</v>
      </c>
      <c r="U3335" s="9">
        <f t="shared" ref="U3335" si="2309">T3335*S3335</f>
        <v>18214.29</v>
      </c>
      <c r="V3335" s="9">
        <f t="shared" si="2308"/>
        <v>20400.004800000002</v>
      </c>
      <c r="W3335" s="7"/>
      <c r="X3335" s="2">
        <v>2016</v>
      </c>
      <c r="Y3335" s="2"/>
    </row>
    <row r="3336" spans="1:25" s="11" customFormat="1" ht="89.25" customHeight="1" outlineLevel="1" x14ac:dyDescent="0.25">
      <c r="A3336" s="16"/>
      <c r="B3336" s="2" t="s">
        <v>8685</v>
      </c>
      <c r="C3336" s="3" t="s">
        <v>83</v>
      </c>
      <c r="D3336" s="3" t="s">
        <v>8547</v>
      </c>
      <c r="E3336" s="3" t="s">
        <v>8548</v>
      </c>
      <c r="F3336" s="3" t="s">
        <v>8549</v>
      </c>
      <c r="G3336" s="3" t="s">
        <v>8563</v>
      </c>
      <c r="H3336" s="2" t="s">
        <v>765</v>
      </c>
      <c r="I3336" s="4">
        <v>0</v>
      </c>
      <c r="J3336" s="5">
        <v>710000000</v>
      </c>
      <c r="K3336" s="5" t="s">
        <v>89</v>
      </c>
      <c r="L3336" s="2" t="s">
        <v>1735</v>
      </c>
      <c r="M3336" s="6" t="s">
        <v>1481</v>
      </c>
      <c r="N3336" s="7" t="s">
        <v>92</v>
      </c>
      <c r="O3336" s="7" t="s">
        <v>93</v>
      </c>
      <c r="P3336" s="3" t="s">
        <v>673</v>
      </c>
      <c r="Q3336" s="8" t="s">
        <v>95</v>
      </c>
      <c r="R3336" s="7" t="s">
        <v>96</v>
      </c>
      <c r="S3336" s="9">
        <v>2</v>
      </c>
      <c r="T3336" s="9">
        <v>4464.29</v>
      </c>
      <c r="U3336" s="9">
        <v>0</v>
      </c>
      <c r="V3336" s="9">
        <f t="shared" si="2307"/>
        <v>0</v>
      </c>
      <c r="W3336" s="7"/>
      <c r="X3336" s="2">
        <v>2016</v>
      </c>
      <c r="Y3336" s="2">
        <v>11</v>
      </c>
    </row>
    <row r="3337" spans="1:25" s="11" customFormat="1" ht="89.25" customHeight="1" outlineLevel="1" x14ac:dyDescent="0.25">
      <c r="A3337" s="16"/>
      <c r="B3337" s="2" t="s">
        <v>9105</v>
      </c>
      <c r="C3337" s="3" t="s">
        <v>83</v>
      </c>
      <c r="D3337" s="3" t="s">
        <v>8547</v>
      </c>
      <c r="E3337" s="3" t="s">
        <v>8548</v>
      </c>
      <c r="F3337" s="3" t="s">
        <v>8549</v>
      </c>
      <c r="G3337" s="3" t="s">
        <v>8563</v>
      </c>
      <c r="H3337" s="2" t="s">
        <v>765</v>
      </c>
      <c r="I3337" s="4">
        <v>0</v>
      </c>
      <c r="J3337" s="5">
        <v>710000000</v>
      </c>
      <c r="K3337" s="5" t="s">
        <v>89</v>
      </c>
      <c r="L3337" s="5" t="s">
        <v>9098</v>
      </c>
      <c r="M3337" s="6" t="s">
        <v>1481</v>
      </c>
      <c r="N3337" s="7" t="s">
        <v>92</v>
      </c>
      <c r="O3337" s="7" t="s">
        <v>93</v>
      </c>
      <c r="P3337" s="3" t="s">
        <v>673</v>
      </c>
      <c r="Q3337" s="8" t="s">
        <v>95</v>
      </c>
      <c r="R3337" s="7" t="s">
        <v>96</v>
      </c>
      <c r="S3337" s="9">
        <v>2</v>
      </c>
      <c r="T3337" s="9">
        <v>4464.29</v>
      </c>
      <c r="U3337" s="9">
        <v>0</v>
      </c>
      <c r="V3337" s="9">
        <f t="shared" ref="V3337:V3340" si="2310">U3337*1.12</f>
        <v>0</v>
      </c>
      <c r="W3337" s="7"/>
      <c r="X3337" s="2">
        <v>2016</v>
      </c>
      <c r="Y3337" s="2" t="s">
        <v>9211</v>
      </c>
    </row>
    <row r="3338" spans="1:25" s="11" customFormat="1" ht="89.25" customHeight="1" outlineLevel="1" x14ac:dyDescent="0.25">
      <c r="A3338" s="16"/>
      <c r="B3338" s="2" t="s">
        <v>9215</v>
      </c>
      <c r="C3338" s="3" t="s">
        <v>83</v>
      </c>
      <c r="D3338" s="3" t="s">
        <v>8547</v>
      </c>
      <c r="E3338" s="3" t="s">
        <v>8548</v>
      </c>
      <c r="F3338" s="3" t="s">
        <v>8549</v>
      </c>
      <c r="G3338" s="3" t="s">
        <v>8563</v>
      </c>
      <c r="H3338" s="2" t="s">
        <v>765</v>
      </c>
      <c r="I3338" s="4">
        <v>0</v>
      </c>
      <c r="J3338" s="5">
        <v>710000000</v>
      </c>
      <c r="K3338" s="5" t="s">
        <v>89</v>
      </c>
      <c r="L3338" s="5" t="s">
        <v>9098</v>
      </c>
      <c r="M3338" s="6" t="s">
        <v>1481</v>
      </c>
      <c r="N3338" s="7" t="s">
        <v>92</v>
      </c>
      <c r="O3338" s="7" t="s">
        <v>93</v>
      </c>
      <c r="P3338" s="3" t="s">
        <v>673</v>
      </c>
      <c r="Q3338" s="8" t="s">
        <v>95</v>
      </c>
      <c r="R3338" s="7" t="s">
        <v>96</v>
      </c>
      <c r="S3338" s="9">
        <v>2</v>
      </c>
      <c r="T3338" s="9">
        <v>2232.15</v>
      </c>
      <c r="U3338" s="9">
        <f t="shared" ref="U3338" si="2311">T3338*S3338</f>
        <v>4464.3</v>
      </c>
      <c r="V3338" s="9">
        <f t="shared" si="2310"/>
        <v>5000.0160000000005</v>
      </c>
      <c r="W3338" s="7"/>
      <c r="X3338" s="2">
        <v>2016</v>
      </c>
      <c r="Y3338" s="2"/>
    </row>
    <row r="3339" spans="1:25" s="11" customFormat="1" ht="89.25" customHeight="1" outlineLevel="1" x14ac:dyDescent="0.25">
      <c r="A3339" s="16"/>
      <c r="B3339" s="2" t="s">
        <v>8687</v>
      </c>
      <c r="C3339" s="3" t="s">
        <v>83</v>
      </c>
      <c r="D3339" s="3" t="s">
        <v>8550</v>
      </c>
      <c r="E3339" s="3" t="s">
        <v>8551</v>
      </c>
      <c r="F3339" s="3" t="s">
        <v>8552</v>
      </c>
      <c r="G3339" s="3" t="s">
        <v>8564</v>
      </c>
      <c r="H3339" s="2" t="s">
        <v>765</v>
      </c>
      <c r="I3339" s="4">
        <v>0</v>
      </c>
      <c r="J3339" s="5">
        <v>710000000</v>
      </c>
      <c r="K3339" s="5" t="s">
        <v>89</v>
      </c>
      <c r="L3339" s="5" t="s">
        <v>9098</v>
      </c>
      <c r="M3339" s="6" t="s">
        <v>1481</v>
      </c>
      <c r="N3339" s="7" t="s">
        <v>92</v>
      </c>
      <c r="O3339" s="7" t="s">
        <v>93</v>
      </c>
      <c r="P3339" s="3" t="s">
        <v>673</v>
      </c>
      <c r="Q3339" s="8" t="s">
        <v>117</v>
      </c>
      <c r="R3339" s="7" t="s">
        <v>118</v>
      </c>
      <c r="S3339" s="9">
        <v>4</v>
      </c>
      <c r="T3339" s="9">
        <v>12500</v>
      </c>
      <c r="U3339" s="9">
        <v>0</v>
      </c>
      <c r="V3339" s="9">
        <f t="shared" si="2310"/>
        <v>0</v>
      </c>
      <c r="W3339" s="7"/>
      <c r="X3339" s="2">
        <v>2016</v>
      </c>
      <c r="Y3339" s="2" t="s">
        <v>9211</v>
      </c>
    </row>
    <row r="3340" spans="1:25" s="11" customFormat="1" ht="89.25" customHeight="1" outlineLevel="1" x14ac:dyDescent="0.25">
      <c r="A3340" s="16"/>
      <c r="B3340" s="47" t="s">
        <v>9216</v>
      </c>
      <c r="C3340" s="41" t="s">
        <v>83</v>
      </c>
      <c r="D3340" s="41" t="s">
        <v>8550</v>
      </c>
      <c r="E3340" s="41" t="s">
        <v>8551</v>
      </c>
      <c r="F3340" s="41" t="s">
        <v>8552</v>
      </c>
      <c r="G3340" s="41" t="s">
        <v>8564</v>
      </c>
      <c r="H3340" s="47" t="s">
        <v>765</v>
      </c>
      <c r="I3340" s="61">
        <v>0</v>
      </c>
      <c r="J3340" s="43">
        <v>710000000</v>
      </c>
      <c r="K3340" s="43" t="s">
        <v>89</v>
      </c>
      <c r="L3340" s="43" t="s">
        <v>9098</v>
      </c>
      <c r="M3340" s="42" t="s">
        <v>1481</v>
      </c>
      <c r="N3340" s="44" t="s">
        <v>92</v>
      </c>
      <c r="O3340" s="44" t="s">
        <v>93</v>
      </c>
      <c r="P3340" s="41" t="s">
        <v>673</v>
      </c>
      <c r="Q3340" s="45" t="s">
        <v>117</v>
      </c>
      <c r="R3340" s="44" t="s">
        <v>118</v>
      </c>
      <c r="S3340" s="46">
        <v>4</v>
      </c>
      <c r="T3340" s="46">
        <v>3125</v>
      </c>
      <c r="U3340" s="46">
        <f t="shared" ref="U3340" si="2312">T3340*S3340</f>
        <v>12500</v>
      </c>
      <c r="V3340" s="46">
        <f t="shared" si="2310"/>
        <v>14000.000000000002</v>
      </c>
      <c r="W3340" s="44"/>
      <c r="X3340" s="47">
        <v>2016</v>
      </c>
      <c r="Y3340" s="47"/>
    </row>
    <row r="3341" spans="1:25" s="11" customFormat="1" ht="89.25" customHeight="1" outlineLevel="1" x14ac:dyDescent="0.25">
      <c r="A3341" s="16"/>
      <c r="B3341" s="2" t="s">
        <v>8689</v>
      </c>
      <c r="C3341" s="3" t="s">
        <v>83</v>
      </c>
      <c r="D3341" s="3" t="s">
        <v>8570</v>
      </c>
      <c r="E3341" s="3" t="s">
        <v>8571</v>
      </c>
      <c r="F3341" s="3" t="s">
        <v>8572</v>
      </c>
      <c r="G3341" s="3" t="s">
        <v>8573</v>
      </c>
      <c r="H3341" s="2" t="s">
        <v>694</v>
      </c>
      <c r="I3341" s="4">
        <v>0</v>
      </c>
      <c r="J3341" s="5">
        <v>710000000</v>
      </c>
      <c r="K3341" s="5" t="s">
        <v>89</v>
      </c>
      <c r="L3341" s="2" t="s">
        <v>1735</v>
      </c>
      <c r="M3341" s="6" t="s">
        <v>696</v>
      </c>
      <c r="N3341" s="7" t="s">
        <v>92</v>
      </c>
      <c r="O3341" s="7" t="s">
        <v>93</v>
      </c>
      <c r="P3341" s="3" t="s">
        <v>673</v>
      </c>
      <c r="Q3341" s="8" t="s">
        <v>117</v>
      </c>
      <c r="R3341" s="7" t="s">
        <v>118</v>
      </c>
      <c r="S3341" s="9">
        <v>24</v>
      </c>
      <c r="T3341" s="9">
        <v>55500</v>
      </c>
      <c r="U3341" s="9">
        <f t="shared" ref="U3341" si="2313">T3341*S3341</f>
        <v>1332000</v>
      </c>
      <c r="V3341" s="9">
        <f t="shared" ref="V3341" si="2314">U3341*1.12</f>
        <v>1491840.0000000002</v>
      </c>
      <c r="W3341" s="7"/>
      <c r="X3341" s="2">
        <v>2016</v>
      </c>
      <c r="Y3341" s="2"/>
    </row>
    <row r="3342" spans="1:25" s="11" customFormat="1" ht="89.25" customHeight="1" outlineLevel="1" x14ac:dyDescent="0.25">
      <c r="A3342" s="16"/>
      <c r="B3342" s="50" t="s">
        <v>8698</v>
      </c>
      <c r="C3342" s="51" t="s">
        <v>83</v>
      </c>
      <c r="D3342" s="51" t="s">
        <v>4498</v>
      </c>
      <c r="E3342" s="51" t="s">
        <v>1014</v>
      </c>
      <c r="F3342" s="51" t="s">
        <v>4499</v>
      </c>
      <c r="G3342" s="51" t="s">
        <v>8677</v>
      </c>
      <c r="H3342" s="50" t="s">
        <v>694</v>
      </c>
      <c r="I3342" s="62">
        <v>0</v>
      </c>
      <c r="J3342" s="54">
        <v>710000000</v>
      </c>
      <c r="K3342" s="54" t="s">
        <v>89</v>
      </c>
      <c r="L3342" s="50" t="s">
        <v>1735</v>
      </c>
      <c r="M3342" s="49" t="s">
        <v>1481</v>
      </c>
      <c r="N3342" s="53" t="s">
        <v>92</v>
      </c>
      <c r="O3342" s="53" t="s">
        <v>93</v>
      </c>
      <c r="P3342" s="51" t="s">
        <v>673</v>
      </c>
      <c r="Q3342" s="56" t="s">
        <v>117</v>
      </c>
      <c r="R3342" s="53" t="s">
        <v>118</v>
      </c>
      <c r="S3342" s="52">
        <v>4</v>
      </c>
      <c r="T3342" s="52">
        <v>6353.18</v>
      </c>
      <c r="U3342" s="52">
        <v>0</v>
      </c>
      <c r="V3342" s="52">
        <f t="shared" ref="V3342:V3344" si="2315">U3342*1.12</f>
        <v>0</v>
      </c>
      <c r="W3342" s="53"/>
      <c r="X3342" s="50">
        <v>2016</v>
      </c>
      <c r="Y3342" s="54">
        <v>7.11</v>
      </c>
    </row>
    <row r="3343" spans="1:25" s="11" customFormat="1" ht="89.25" customHeight="1" outlineLevel="1" x14ac:dyDescent="0.25">
      <c r="A3343" s="16"/>
      <c r="B3343" s="2" t="s">
        <v>8867</v>
      </c>
      <c r="C3343" s="3" t="s">
        <v>83</v>
      </c>
      <c r="D3343" s="3" t="s">
        <v>4498</v>
      </c>
      <c r="E3343" s="3" t="s">
        <v>1014</v>
      </c>
      <c r="F3343" s="3" t="s">
        <v>4499</v>
      </c>
      <c r="G3343" s="3" t="s">
        <v>8677</v>
      </c>
      <c r="H3343" s="2" t="s">
        <v>765</v>
      </c>
      <c r="I3343" s="4">
        <v>0</v>
      </c>
      <c r="J3343" s="5">
        <v>710000000</v>
      </c>
      <c r="K3343" s="5" t="s">
        <v>89</v>
      </c>
      <c r="L3343" s="2" t="s">
        <v>8710</v>
      </c>
      <c r="M3343" s="6" t="s">
        <v>1481</v>
      </c>
      <c r="N3343" s="7" t="s">
        <v>92</v>
      </c>
      <c r="O3343" s="7" t="s">
        <v>93</v>
      </c>
      <c r="P3343" s="3" t="s">
        <v>673</v>
      </c>
      <c r="Q3343" s="8" t="s">
        <v>117</v>
      </c>
      <c r="R3343" s="7" t="s">
        <v>118</v>
      </c>
      <c r="S3343" s="9">
        <v>4</v>
      </c>
      <c r="T3343" s="9">
        <v>6353.18</v>
      </c>
      <c r="U3343" s="9">
        <f t="shared" ref="U3343" si="2316">T3343*S3343</f>
        <v>25412.720000000001</v>
      </c>
      <c r="V3343" s="9">
        <f t="shared" ref="V3343" si="2317">U3343*1.12</f>
        <v>28462.246400000004</v>
      </c>
      <c r="W3343" s="7"/>
      <c r="X3343" s="2">
        <v>2016</v>
      </c>
      <c r="Y3343" s="5"/>
    </row>
    <row r="3344" spans="1:25" s="11" customFormat="1" ht="89.25" customHeight="1" outlineLevel="1" x14ac:dyDescent="0.25">
      <c r="A3344" s="16"/>
      <c r="B3344" s="2" t="s">
        <v>8699</v>
      </c>
      <c r="C3344" s="3" t="s">
        <v>83</v>
      </c>
      <c r="D3344" s="3" t="s">
        <v>8680</v>
      </c>
      <c r="E3344" s="3" t="s">
        <v>1014</v>
      </c>
      <c r="F3344" s="3" t="s">
        <v>8681</v>
      </c>
      <c r="G3344" s="3" t="s">
        <v>8682</v>
      </c>
      <c r="H3344" s="2" t="s">
        <v>694</v>
      </c>
      <c r="I3344" s="4">
        <v>0</v>
      </c>
      <c r="J3344" s="5">
        <v>710000000</v>
      </c>
      <c r="K3344" s="5" t="s">
        <v>89</v>
      </c>
      <c r="L3344" s="2" t="s">
        <v>1735</v>
      </c>
      <c r="M3344" s="6" t="s">
        <v>1481</v>
      </c>
      <c r="N3344" s="7" t="s">
        <v>92</v>
      </c>
      <c r="O3344" s="7" t="s">
        <v>93</v>
      </c>
      <c r="P3344" s="3" t="s">
        <v>673</v>
      </c>
      <c r="Q3344" s="8" t="s">
        <v>117</v>
      </c>
      <c r="R3344" s="7" t="s">
        <v>118</v>
      </c>
      <c r="S3344" s="9">
        <v>5</v>
      </c>
      <c r="T3344" s="9">
        <v>5152.5</v>
      </c>
      <c r="U3344" s="9">
        <v>0</v>
      </c>
      <c r="V3344" s="9">
        <f t="shared" si="2315"/>
        <v>0</v>
      </c>
      <c r="W3344" s="7"/>
      <c r="X3344" s="2">
        <v>2016</v>
      </c>
      <c r="Y3344" s="5">
        <v>7.11</v>
      </c>
    </row>
    <row r="3345" spans="1:25" s="11" customFormat="1" ht="89.25" customHeight="1" outlineLevel="1" x14ac:dyDescent="0.25">
      <c r="A3345" s="16"/>
      <c r="B3345" s="2" t="s">
        <v>8868</v>
      </c>
      <c r="C3345" s="3" t="s">
        <v>83</v>
      </c>
      <c r="D3345" s="3" t="s">
        <v>8680</v>
      </c>
      <c r="E3345" s="3" t="s">
        <v>1014</v>
      </c>
      <c r="F3345" s="3" t="s">
        <v>8681</v>
      </c>
      <c r="G3345" s="3" t="s">
        <v>8682</v>
      </c>
      <c r="H3345" s="2" t="s">
        <v>765</v>
      </c>
      <c r="I3345" s="4">
        <v>0</v>
      </c>
      <c r="J3345" s="5">
        <v>710000000</v>
      </c>
      <c r="K3345" s="5" t="s">
        <v>89</v>
      </c>
      <c r="L3345" s="2" t="s">
        <v>8710</v>
      </c>
      <c r="M3345" s="6" t="s">
        <v>1481</v>
      </c>
      <c r="N3345" s="7" t="s">
        <v>92</v>
      </c>
      <c r="O3345" s="7" t="s">
        <v>93</v>
      </c>
      <c r="P3345" s="3" t="s">
        <v>673</v>
      </c>
      <c r="Q3345" s="8" t="s">
        <v>117</v>
      </c>
      <c r="R3345" s="7" t="s">
        <v>118</v>
      </c>
      <c r="S3345" s="9">
        <v>5</v>
      </c>
      <c r="T3345" s="9">
        <v>5152.5</v>
      </c>
      <c r="U3345" s="9">
        <f t="shared" ref="U3345" si="2318">T3345*S3345</f>
        <v>25762.5</v>
      </c>
      <c r="V3345" s="9">
        <f t="shared" ref="V3345" si="2319">U3345*1.12</f>
        <v>28854.000000000004</v>
      </c>
      <c r="W3345" s="7"/>
      <c r="X3345" s="2">
        <v>2016</v>
      </c>
      <c r="Y3345" s="5"/>
    </row>
    <row r="3346" spans="1:25" s="11" customFormat="1" ht="89.25" customHeight="1" outlineLevel="1" x14ac:dyDescent="0.25">
      <c r="A3346" s="16"/>
      <c r="B3346" s="2" t="s">
        <v>8700</v>
      </c>
      <c r="C3346" s="3" t="s">
        <v>83</v>
      </c>
      <c r="D3346" s="3" t="s">
        <v>8680</v>
      </c>
      <c r="E3346" s="3" t="s">
        <v>1014</v>
      </c>
      <c r="F3346" s="3" t="s">
        <v>8681</v>
      </c>
      <c r="G3346" s="3" t="s">
        <v>8683</v>
      </c>
      <c r="H3346" s="2" t="s">
        <v>694</v>
      </c>
      <c r="I3346" s="4">
        <v>0</v>
      </c>
      <c r="J3346" s="5">
        <v>710000000</v>
      </c>
      <c r="K3346" s="5" t="s">
        <v>89</v>
      </c>
      <c r="L3346" s="2" t="s">
        <v>1735</v>
      </c>
      <c r="M3346" s="6" t="s">
        <v>1481</v>
      </c>
      <c r="N3346" s="7" t="s">
        <v>92</v>
      </c>
      <c r="O3346" s="7" t="s">
        <v>93</v>
      </c>
      <c r="P3346" s="3" t="s">
        <v>673</v>
      </c>
      <c r="Q3346" s="8" t="s">
        <v>117</v>
      </c>
      <c r="R3346" s="7" t="s">
        <v>118</v>
      </c>
      <c r="S3346" s="9">
        <v>4</v>
      </c>
      <c r="T3346" s="9">
        <v>3911</v>
      </c>
      <c r="U3346" s="9">
        <v>0</v>
      </c>
      <c r="V3346" s="9">
        <f t="shared" ref="V3346:V3348" si="2320">U3346*1.12</f>
        <v>0</v>
      </c>
      <c r="W3346" s="7"/>
      <c r="X3346" s="2">
        <v>2016</v>
      </c>
      <c r="Y3346" s="5">
        <v>7.11</v>
      </c>
    </row>
    <row r="3347" spans="1:25" s="11" customFormat="1" ht="89.25" customHeight="1" outlineLevel="1" x14ac:dyDescent="0.25">
      <c r="A3347" s="16"/>
      <c r="B3347" s="2" t="s">
        <v>8869</v>
      </c>
      <c r="C3347" s="3" t="s">
        <v>83</v>
      </c>
      <c r="D3347" s="3" t="s">
        <v>8680</v>
      </c>
      <c r="E3347" s="3" t="s">
        <v>1014</v>
      </c>
      <c r="F3347" s="3" t="s">
        <v>8681</v>
      </c>
      <c r="G3347" s="3" t="s">
        <v>8683</v>
      </c>
      <c r="H3347" s="2" t="s">
        <v>765</v>
      </c>
      <c r="I3347" s="4">
        <v>0</v>
      </c>
      <c r="J3347" s="5">
        <v>710000000</v>
      </c>
      <c r="K3347" s="5" t="s">
        <v>89</v>
      </c>
      <c r="L3347" s="2" t="s">
        <v>8710</v>
      </c>
      <c r="M3347" s="6" t="s">
        <v>1481</v>
      </c>
      <c r="N3347" s="7" t="s">
        <v>92</v>
      </c>
      <c r="O3347" s="7" t="s">
        <v>93</v>
      </c>
      <c r="P3347" s="3" t="s">
        <v>673</v>
      </c>
      <c r="Q3347" s="8" t="s">
        <v>117</v>
      </c>
      <c r="R3347" s="7" t="s">
        <v>118</v>
      </c>
      <c r="S3347" s="9">
        <v>4</v>
      </c>
      <c r="T3347" s="9">
        <v>3911</v>
      </c>
      <c r="U3347" s="9">
        <f t="shared" ref="U3347" si="2321">T3347*S3347</f>
        <v>15644</v>
      </c>
      <c r="V3347" s="9">
        <f t="shared" ref="V3347" si="2322">U3347*1.12</f>
        <v>17521.280000000002</v>
      </c>
      <c r="W3347" s="7"/>
      <c r="X3347" s="2">
        <v>2016</v>
      </c>
      <c r="Y3347" s="5"/>
    </row>
    <row r="3348" spans="1:25" s="11" customFormat="1" ht="89.25" customHeight="1" outlineLevel="1" x14ac:dyDescent="0.25">
      <c r="A3348" s="16"/>
      <c r="B3348" s="2" t="s">
        <v>8701</v>
      </c>
      <c r="C3348" s="3" t="s">
        <v>83</v>
      </c>
      <c r="D3348" s="3" t="s">
        <v>4498</v>
      </c>
      <c r="E3348" s="3" t="s">
        <v>1014</v>
      </c>
      <c r="F3348" s="3" t="s">
        <v>4499</v>
      </c>
      <c r="G3348" s="3" t="s">
        <v>8686</v>
      </c>
      <c r="H3348" s="2" t="s">
        <v>694</v>
      </c>
      <c r="I3348" s="4">
        <v>0</v>
      </c>
      <c r="J3348" s="5">
        <v>710000000</v>
      </c>
      <c r="K3348" s="5" t="s">
        <v>89</v>
      </c>
      <c r="L3348" s="2" t="s">
        <v>1735</v>
      </c>
      <c r="M3348" s="6" t="s">
        <v>1481</v>
      </c>
      <c r="N3348" s="7" t="s">
        <v>92</v>
      </c>
      <c r="O3348" s="7" t="s">
        <v>93</v>
      </c>
      <c r="P3348" s="3" t="s">
        <v>673</v>
      </c>
      <c r="Q3348" s="8" t="s">
        <v>117</v>
      </c>
      <c r="R3348" s="7" t="s">
        <v>118</v>
      </c>
      <c r="S3348" s="9">
        <v>2</v>
      </c>
      <c r="T3348" s="9">
        <v>9494.7999999999993</v>
      </c>
      <c r="U3348" s="9">
        <v>0</v>
      </c>
      <c r="V3348" s="9">
        <f t="shared" si="2320"/>
        <v>0</v>
      </c>
      <c r="W3348" s="7"/>
      <c r="X3348" s="2">
        <v>2016</v>
      </c>
      <c r="Y3348" s="5">
        <v>7.11</v>
      </c>
    </row>
    <row r="3349" spans="1:25" s="11" customFormat="1" ht="89.25" customHeight="1" outlineLevel="1" x14ac:dyDescent="0.25">
      <c r="A3349" s="16"/>
      <c r="B3349" s="2" t="s">
        <v>8870</v>
      </c>
      <c r="C3349" s="3" t="s">
        <v>83</v>
      </c>
      <c r="D3349" s="3" t="s">
        <v>4498</v>
      </c>
      <c r="E3349" s="3" t="s">
        <v>1014</v>
      </c>
      <c r="F3349" s="3" t="s">
        <v>4499</v>
      </c>
      <c r="G3349" s="3" t="s">
        <v>8686</v>
      </c>
      <c r="H3349" s="2" t="s">
        <v>765</v>
      </c>
      <c r="I3349" s="4">
        <v>0</v>
      </c>
      <c r="J3349" s="5">
        <v>710000000</v>
      </c>
      <c r="K3349" s="5" t="s">
        <v>89</v>
      </c>
      <c r="L3349" s="2" t="s">
        <v>8710</v>
      </c>
      <c r="M3349" s="6" t="s">
        <v>1481</v>
      </c>
      <c r="N3349" s="7" t="s">
        <v>92</v>
      </c>
      <c r="O3349" s="7" t="s">
        <v>93</v>
      </c>
      <c r="P3349" s="3" t="s">
        <v>673</v>
      </c>
      <c r="Q3349" s="8" t="s">
        <v>117</v>
      </c>
      <c r="R3349" s="7" t="s">
        <v>118</v>
      </c>
      <c r="S3349" s="9">
        <v>2</v>
      </c>
      <c r="T3349" s="9">
        <v>9494.7999999999993</v>
      </c>
      <c r="U3349" s="9">
        <f t="shared" ref="U3349" si="2323">T3349*S3349</f>
        <v>18989.599999999999</v>
      </c>
      <c r="V3349" s="9">
        <f t="shared" ref="V3349" si="2324">U3349*1.12</f>
        <v>21268.351999999999</v>
      </c>
      <c r="W3349" s="7"/>
      <c r="X3349" s="2">
        <v>2016</v>
      </c>
      <c r="Y3349" s="5"/>
    </row>
    <row r="3350" spans="1:25" s="11" customFormat="1" ht="89.25" customHeight="1" outlineLevel="1" x14ac:dyDescent="0.25">
      <c r="A3350" s="16"/>
      <c r="B3350" s="2" t="s">
        <v>8702</v>
      </c>
      <c r="C3350" s="3" t="s">
        <v>83</v>
      </c>
      <c r="D3350" s="3" t="s">
        <v>4498</v>
      </c>
      <c r="E3350" s="3" t="s">
        <v>1014</v>
      </c>
      <c r="F3350" s="3" t="s">
        <v>4499</v>
      </c>
      <c r="G3350" s="3" t="s">
        <v>8688</v>
      </c>
      <c r="H3350" s="2" t="s">
        <v>694</v>
      </c>
      <c r="I3350" s="4">
        <v>0</v>
      </c>
      <c r="J3350" s="5">
        <v>710000000</v>
      </c>
      <c r="K3350" s="5" t="s">
        <v>89</v>
      </c>
      <c r="L3350" s="2" t="s">
        <v>1735</v>
      </c>
      <c r="M3350" s="6" t="s">
        <v>1481</v>
      </c>
      <c r="N3350" s="7" t="s">
        <v>92</v>
      </c>
      <c r="O3350" s="7" t="s">
        <v>93</v>
      </c>
      <c r="P3350" s="3" t="s">
        <v>673</v>
      </c>
      <c r="Q3350" s="8" t="s">
        <v>117</v>
      </c>
      <c r="R3350" s="7" t="s">
        <v>118</v>
      </c>
      <c r="S3350" s="9">
        <v>5</v>
      </c>
      <c r="T3350" s="9">
        <v>3543.8</v>
      </c>
      <c r="U3350" s="9">
        <v>0</v>
      </c>
      <c r="V3350" s="9">
        <f t="shared" ref="V3350" si="2325">U3350*1.12</f>
        <v>0</v>
      </c>
      <c r="W3350" s="7"/>
      <c r="X3350" s="2">
        <v>2016</v>
      </c>
      <c r="Y3350" s="5">
        <v>7.11</v>
      </c>
    </row>
    <row r="3351" spans="1:25" s="11" customFormat="1" ht="89.25" customHeight="1" outlineLevel="1" x14ac:dyDescent="0.25">
      <c r="A3351" s="16"/>
      <c r="B3351" s="2" t="s">
        <v>8871</v>
      </c>
      <c r="C3351" s="3" t="s">
        <v>83</v>
      </c>
      <c r="D3351" s="3" t="s">
        <v>4498</v>
      </c>
      <c r="E3351" s="3" t="s">
        <v>1014</v>
      </c>
      <c r="F3351" s="3" t="s">
        <v>4499</v>
      </c>
      <c r="G3351" s="3" t="s">
        <v>8688</v>
      </c>
      <c r="H3351" s="2" t="s">
        <v>765</v>
      </c>
      <c r="I3351" s="4">
        <v>0</v>
      </c>
      <c r="J3351" s="5">
        <v>710000000</v>
      </c>
      <c r="K3351" s="5" t="s">
        <v>89</v>
      </c>
      <c r="L3351" s="2" t="s">
        <v>8710</v>
      </c>
      <c r="M3351" s="6" t="s">
        <v>1481</v>
      </c>
      <c r="N3351" s="7" t="s">
        <v>92</v>
      </c>
      <c r="O3351" s="7" t="s">
        <v>93</v>
      </c>
      <c r="P3351" s="3" t="s">
        <v>673</v>
      </c>
      <c r="Q3351" s="8" t="s">
        <v>117</v>
      </c>
      <c r="R3351" s="7" t="s">
        <v>118</v>
      </c>
      <c r="S3351" s="9">
        <v>5</v>
      </c>
      <c r="T3351" s="9">
        <v>3543.8</v>
      </c>
      <c r="U3351" s="9">
        <f t="shared" ref="U3351" si="2326">T3351*S3351</f>
        <v>17719</v>
      </c>
      <c r="V3351" s="9">
        <f t="shared" ref="V3351" si="2327">U3351*1.12</f>
        <v>19845.280000000002</v>
      </c>
      <c r="W3351" s="7"/>
      <c r="X3351" s="2">
        <v>2016</v>
      </c>
      <c r="Y3351" s="5"/>
    </row>
    <row r="3352" spans="1:25" s="11" customFormat="1" ht="89.25" customHeight="1" outlineLevel="1" x14ac:dyDescent="0.25">
      <c r="A3352" s="16"/>
      <c r="B3352" s="2" t="s">
        <v>8703</v>
      </c>
      <c r="C3352" s="3" t="s">
        <v>83</v>
      </c>
      <c r="D3352" s="3" t="s">
        <v>4498</v>
      </c>
      <c r="E3352" s="3" t="s">
        <v>1014</v>
      </c>
      <c r="F3352" s="3" t="s">
        <v>4499</v>
      </c>
      <c r="G3352" s="3" t="s">
        <v>8690</v>
      </c>
      <c r="H3352" s="2" t="s">
        <v>694</v>
      </c>
      <c r="I3352" s="4">
        <v>0</v>
      </c>
      <c r="J3352" s="5">
        <v>710000000</v>
      </c>
      <c r="K3352" s="5" t="s">
        <v>89</v>
      </c>
      <c r="L3352" s="2" t="s">
        <v>1735</v>
      </c>
      <c r="M3352" s="6" t="s">
        <v>1481</v>
      </c>
      <c r="N3352" s="7" t="s">
        <v>92</v>
      </c>
      <c r="O3352" s="7" t="s">
        <v>93</v>
      </c>
      <c r="P3352" s="3" t="s">
        <v>673</v>
      </c>
      <c r="Q3352" s="8" t="s">
        <v>117</v>
      </c>
      <c r="R3352" s="7" t="s">
        <v>118</v>
      </c>
      <c r="S3352" s="9">
        <v>1</v>
      </c>
      <c r="T3352" s="9">
        <v>7110.98</v>
      </c>
      <c r="U3352" s="9">
        <v>0</v>
      </c>
      <c r="V3352" s="9">
        <f t="shared" ref="V3352" si="2328">U3352*1.12</f>
        <v>0</v>
      </c>
      <c r="W3352" s="7"/>
      <c r="X3352" s="2">
        <v>2016</v>
      </c>
      <c r="Y3352" s="5">
        <v>7.11</v>
      </c>
    </row>
    <row r="3353" spans="1:25" s="11" customFormat="1" ht="89.25" customHeight="1" outlineLevel="1" x14ac:dyDescent="0.25">
      <c r="A3353" s="16"/>
      <c r="B3353" s="2" t="s">
        <v>8872</v>
      </c>
      <c r="C3353" s="3" t="s">
        <v>83</v>
      </c>
      <c r="D3353" s="3" t="s">
        <v>4498</v>
      </c>
      <c r="E3353" s="3" t="s">
        <v>1014</v>
      </c>
      <c r="F3353" s="3" t="s">
        <v>4499</v>
      </c>
      <c r="G3353" s="3" t="s">
        <v>8690</v>
      </c>
      <c r="H3353" s="2" t="s">
        <v>765</v>
      </c>
      <c r="I3353" s="4">
        <v>0</v>
      </c>
      <c r="J3353" s="5">
        <v>710000000</v>
      </c>
      <c r="K3353" s="5" t="s">
        <v>89</v>
      </c>
      <c r="L3353" s="2" t="s">
        <v>8710</v>
      </c>
      <c r="M3353" s="6" t="s">
        <v>1481</v>
      </c>
      <c r="N3353" s="7" t="s">
        <v>92</v>
      </c>
      <c r="O3353" s="7" t="s">
        <v>93</v>
      </c>
      <c r="P3353" s="3" t="s">
        <v>673</v>
      </c>
      <c r="Q3353" s="8" t="s">
        <v>117</v>
      </c>
      <c r="R3353" s="7" t="s">
        <v>118</v>
      </c>
      <c r="S3353" s="9">
        <v>1</v>
      </c>
      <c r="T3353" s="9">
        <v>7110.98</v>
      </c>
      <c r="U3353" s="9">
        <f t="shared" ref="U3353" si="2329">T3353*S3353</f>
        <v>7110.98</v>
      </c>
      <c r="V3353" s="9">
        <f t="shared" ref="V3353" si="2330">U3353*1.12</f>
        <v>7964.2975999999999</v>
      </c>
      <c r="W3353" s="7"/>
      <c r="X3353" s="2">
        <v>2016</v>
      </c>
      <c r="Y3353" s="5"/>
    </row>
    <row r="3354" spans="1:25" s="11" customFormat="1" ht="127.5" customHeight="1" outlineLevel="1" x14ac:dyDescent="0.25">
      <c r="A3354" s="16"/>
      <c r="B3354" s="2" t="s">
        <v>8714</v>
      </c>
      <c r="C3354" s="3" t="s">
        <v>83</v>
      </c>
      <c r="D3354" s="3" t="s">
        <v>8716</v>
      </c>
      <c r="E3354" s="3" t="s">
        <v>8717</v>
      </c>
      <c r="F3354" s="3" t="s">
        <v>8718</v>
      </c>
      <c r="G3354" s="3" t="s">
        <v>8806</v>
      </c>
      <c r="H3354" s="2" t="s">
        <v>88</v>
      </c>
      <c r="I3354" s="4">
        <v>0</v>
      </c>
      <c r="J3354" s="5">
        <v>710000000</v>
      </c>
      <c r="K3354" s="5" t="s">
        <v>89</v>
      </c>
      <c r="L3354" s="2" t="s">
        <v>8710</v>
      </c>
      <c r="M3354" s="6" t="s">
        <v>1481</v>
      </c>
      <c r="N3354" s="7" t="s">
        <v>92</v>
      </c>
      <c r="O3354" s="7" t="s">
        <v>93</v>
      </c>
      <c r="P3354" s="3" t="s">
        <v>673</v>
      </c>
      <c r="Q3354" s="8" t="s">
        <v>117</v>
      </c>
      <c r="R3354" s="7" t="s">
        <v>118</v>
      </c>
      <c r="S3354" s="9">
        <v>1</v>
      </c>
      <c r="T3354" s="9">
        <v>10600000</v>
      </c>
      <c r="U3354" s="9">
        <f t="shared" ref="U3354" si="2331">T3354*S3354</f>
        <v>10600000</v>
      </c>
      <c r="V3354" s="9">
        <f t="shared" ref="V3354" si="2332">U3354*1.12</f>
        <v>11872000.000000002</v>
      </c>
      <c r="W3354" s="7"/>
      <c r="X3354" s="2">
        <v>2016</v>
      </c>
      <c r="Y3354" s="2"/>
    </row>
    <row r="3355" spans="1:25" s="11" customFormat="1" ht="89.25" customHeight="1" outlineLevel="1" x14ac:dyDescent="0.25">
      <c r="A3355" s="16"/>
      <c r="B3355" s="2" t="s">
        <v>8715</v>
      </c>
      <c r="C3355" s="3" t="s">
        <v>83</v>
      </c>
      <c r="D3355" s="3" t="s">
        <v>8795</v>
      </c>
      <c r="E3355" s="3" t="s">
        <v>3248</v>
      </c>
      <c r="F3355" s="3" t="s">
        <v>8796</v>
      </c>
      <c r="G3355" s="3" t="s">
        <v>8797</v>
      </c>
      <c r="H3355" s="2" t="s">
        <v>694</v>
      </c>
      <c r="I3355" s="4">
        <v>0</v>
      </c>
      <c r="J3355" s="5">
        <v>710000000</v>
      </c>
      <c r="K3355" s="5" t="s">
        <v>89</v>
      </c>
      <c r="L3355" s="2" t="s">
        <v>8710</v>
      </c>
      <c r="M3355" s="6" t="s">
        <v>787</v>
      </c>
      <c r="N3355" s="7" t="s">
        <v>92</v>
      </c>
      <c r="O3355" s="7" t="s">
        <v>93</v>
      </c>
      <c r="P3355" s="3" t="s">
        <v>673</v>
      </c>
      <c r="Q3355" s="8" t="s">
        <v>3085</v>
      </c>
      <c r="R3355" s="7" t="s">
        <v>3086</v>
      </c>
      <c r="S3355" s="9">
        <v>600</v>
      </c>
      <c r="T3355" s="9">
        <v>2410</v>
      </c>
      <c r="U3355" s="9">
        <v>0</v>
      </c>
      <c r="V3355" s="9">
        <f t="shared" ref="V3355" si="2333">U3355*1.12</f>
        <v>0</v>
      </c>
      <c r="W3355" s="7"/>
      <c r="X3355" s="2">
        <v>2016</v>
      </c>
      <c r="Y3355" s="2" t="s">
        <v>2338</v>
      </c>
    </row>
    <row r="3356" spans="1:25" s="11" customFormat="1" ht="89.25" customHeight="1" outlineLevel="1" x14ac:dyDescent="0.25">
      <c r="A3356" s="16"/>
      <c r="B3356" s="2" t="s">
        <v>9220</v>
      </c>
      <c r="C3356" s="3" t="s">
        <v>83</v>
      </c>
      <c r="D3356" s="3" t="s">
        <v>8795</v>
      </c>
      <c r="E3356" s="3" t="s">
        <v>3248</v>
      </c>
      <c r="F3356" s="3" t="s">
        <v>8796</v>
      </c>
      <c r="G3356" s="3" t="s">
        <v>8797</v>
      </c>
      <c r="H3356" s="2" t="s">
        <v>694</v>
      </c>
      <c r="I3356" s="4">
        <v>0</v>
      </c>
      <c r="J3356" s="5">
        <v>710000000</v>
      </c>
      <c r="K3356" s="5" t="s">
        <v>89</v>
      </c>
      <c r="L3356" s="2" t="s">
        <v>8710</v>
      </c>
      <c r="M3356" s="6" t="s">
        <v>787</v>
      </c>
      <c r="N3356" s="7" t="s">
        <v>92</v>
      </c>
      <c r="O3356" s="7" t="s">
        <v>93</v>
      </c>
      <c r="P3356" s="3" t="s">
        <v>673</v>
      </c>
      <c r="Q3356" s="8" t="s">
        <v>3085</v>
      </c>
      <c r="R3356" s="7" t="s">
        <v>3086</v>
      </c>
      <c r="S3356" s="9">
        <f>600+180</f>
        <v>780</v>
      </c>
      <c r="T3356" s="9">
        <v>2410</v>
      </c>
      <c r="U3356" s="9">
        <f t="shared" ref="U3356" si="2334">T3356*S3356</f>
        <v>1879800</v>
      </c>
      <c r="V3356" s="9">
        <f t="shared" ref="V3356" si="2335">U3356*1.12</f>
        <v>2105376</v>
      </c>
      <c r="W3356" s="7"/>
      <c r="X3356" s="2">
        <v>2016</v>
      </c>
      <c r="Y3356" s="2"/>
    </row>
    <row r="3357" spans="1:25" s="11" customFormat="1" ht="165.75" customHeight="1" outlineLevel="1" x14ac:dyDescent="0.25">
      <c r="A3357" s="16"/>
      <c r="B3357" s="2" t="s">
        <v>8810</v>
      </c>
      <c r="C3357" s="3" t="s">
        <v>83</v>
      </c>
      <c r="D3357" s="3" t="s">
        <v>8807</v>
      </c>
      <c r="E3357" s="3" t="s">
        <v>8808</v>
      </c>
      <c r="F3357" s="3" t="s">
        <v>8809</v>
      </c>
      <c r="G3357" s="3" t="s">
        <v>8849</v>
      </c>
      <c r="H3357" s="2" t="s">
        <v>765</v>
      </c>
      <c r="I3357" s="4">
        <v>0</v>
      </c>
      <c r="J3357" s="5">
        <v>710000000</v>
      </c>
      <c r="K3357" s="5" t="s">
        <v>89</v>
      </c>
      <c r="L3357" s="2" t="s">
        <v>8710</v>
      </c>
      <c r="M3357" s="6" t="s">
        <v>1481</v>
      </c>
      <c r="N3357" s="7" t="s">
        <v>92</v>
      </c>
      <c r="O3357" s="7" t="s">
        <v>8850</v>
      </c>
      <c r="P3357" s="3" t="s">
        <v>673</v>
      </c>
      <c r="Q3357" s="8" t="s">
        <v>117</v>
      </c>
      <c r="R3357" s="7" t="s">
        <v>118</v>
      </c>
      <c r="S3357" s="9">
        <v>1</v>
      </c>
      <c r="T3357" s="9">
        <v>1773263.39</v>
      </c>
      <c r="U3357" s="9">
        <v>0</v>
      </c>
      <c r="V3357" s="9">
        <f t="shared" ref="V3357" si="2336">U3357*1.12</f>
        <v>0</v>
      </c>
      <c r="W3357" s="7"/>
      <c r="X3357" s="2">
        <v>2016</v>
      </c>
      <c r="Y3357" s="2" t="s">
        <v>7460</v>
      </c>
    </row>
    <row r="3358" spans="1:25" s="11" customFormat="1" ht="89.25" customHeight="1" outlineLevel="1" x14ac:dyDescent="0.25">
      <c r="A3358" s="16"/>
      <c r="B3358" s="2" t="s">
        <v>8811</v>
      </c>
      <c r="C3358" s="3" t="s">
        <v>83</v>
      </c>
      <c r="D3358" s="3" t="s">
        <v>8813</v>
      </c>
      <c r="E3358" s="3" t="s">
        <v>8812</v>
      </c>
      <c r="F3358" s="3" t="s">
        <v>8814</v>
      </c>
      <c r="G3358" s="3" t="s">
        <v>8844</v>
      </c>
      <c r="H3358" s="2" t="s">
        <v>765</v>
      </c>
      <c r="I3358" s="4">
        <v>0</v>
      </c>
      <c r="J3358" s="5">
        <v>710000000</v>
      </c>
      <c r="K3358" s="5" t="s">
        <v>89</v>
      </c>
      <c r="L3358" s="2" t="s">
        <v>8710</v>
      </c>
      <c r="M3358" s="6" t="s">
        <v>1481</v>
      </c>
      <c r="N3358" s="7" t="s">
        <v>92</v>
      </c>
      <c r="O3358" s="7" t="s">
        <v>8850</v>
      </c>
      <c r="P3358" s="3" t="s">
        <v>673</v>
      </c>
      <c r="Q3358" s="8" t="s">
        <v>117</v>
      </c>
      <c r="R3358" s="7" t="s">
        <v>118</v>
      </c>
      <c r="S3358" s="9">
        <v>25</v>
      </c>
      <c r="T3358" s="9">
        <v>134415.18</v>
      </c>
      <c r="U3358" s="9">
        <v>0</v>
      </c>
      <c r="V3358" s="9">
        <f t="shared" ref="V3358" si="2337">U3358*1.12</f>
        <v>0</v>
      </c>
      <c r="W3358" s="7"/>
      <c r="X3358" s="2">
        <v>2016</v>
      </c>
      <c r="Y3358" s="2" t="s">
        <v>7460</v>
      </c>
    </row>
    <row r="3359" spans="1:25" s="11" customFormat="1" ht="89.25" customHeight="1" outlineLevel="1" x14ac:dyDescent="0.25">
      <c r="A3359" s="16"/>
      <c r="B3359" s="2" t="s">
        <v>8856</v>
      </c>
      <c r="C3359" s="3" t="s">
        <v>83</v>
      </c>
      <c r="D3359" s="3" t="s">
        <v>8857</v>
      </c>
      <c r="E3359" s="3" t="s">
        <v>8858</v>
      </c>
      <c r="F3359" s="3" t="s">
        <v>8859</v>
      </c>
      <c r="G3359" s="3" t="s">
        <v>8932</v>
      </c>
      <c r="H3359" s="2" t="s">
        <v>765</v>
      </c>
      <c r="I3359" s="4">
        <v>0</v>
      </c>
      <c r="J3359" s="5">
        <v>710000000</v>
      </c>
      <c r="K3359" s="5" t="s">
        <v>89</v>
      </c>
      <c r="L3359" s="2" t="s">
        <v>8710</v>
      </c>
      <c r="M3359" s="6" t="s">
        <v>1481</v>
      </c>
      <c r="N3359" s="7" t="s">
        <v>92</v>
      </c>
      <c r="O3359" s="7" t="s">
        <v>93</v>
      </c>
      <c r="P3359" s="3" t="s">
        <v>673</v>
      </c>
      <c r="Q3359" s="8" t="s">
        <v>117</v>
      </c>
      <c r="R3359" s="7" t="s">
        <v>118</v>
      </c>
      <c r="S3359" s="9">
        <v>1</v>
      </c>
      <c r="T3359" s="9">
        <v>60625</v>
      </c>
      <c r="U3359" s="9">
        <f t="shared" ref="U3359" si="2338">T3359*S3359</f>
        <v>60625</v>
      </c>
      <c r="V3359" s="9">
        <f t="shared" ref="V3359" si="2339">U3359*1.12</f>
        <v>67900</v>
      </c>
      <c r="W3359" s="7"/>
      <c r="X3359" s="2">
        <v>2016</v>
      </c>
      <c r="Y3359" s="2"/>
    </row>
    <row r="3360" spans="1:25" s="11" customFormat="1" ht="89.25" customHeight="1" outlineLevel="1" x14ac:dyDescent="0.25">
      <c r="A3360" s="16"/>
      <c r="B3360" s="2" t="s">
        <v>8860</v>
      </c>
      <c r="C3360" s="3" t="s">
        <v>83</v>
      </c>
      <c r="D3360" s="3" t="s">
        <v>8861</v>
      </c>
      <c r="E3360" s="3" t="s">
        <v>5145</v>
      </c>
      <c r="F3360" s="3" t="s">
        <v>8862</v>
      </c>
      <c r="G3360" s="3" t="s">
        <v>8933</v>
      </c>
      <c r="H3360" s="2" t="s">
        <v>765</v>
      </c>
      <c r="I3360" s="4">
        <v>0</v>
      </c>
      <c r="J3360" s="5">
        <v>710000000</v>
      </c>
      <c r="K3360" s="5" t="s">
        <v>89</v>
      </c>
      <c r="L3360" s="2" t="s">
        <v>8710</v>
      </c>
      <c r="M3360" s="6" t="s">
        <v>1481</v>
      </c>
      <c r="N3360" s="7" t="s">
        <v>92</v>
      </c>
      <c r="O3360" s="7" t="s">
        <v>93</v>
      </c>
      <c r="P3360" s="3" t="s">
        <v>673</v>
      </c>
      <c r="Q3360" s="8" t="s">
        <v>117</v>
      </c>
      <c r="R3360" s="7" t="s">
        <v>118</v>
      </c>
      <c r="S3360" s="9">
        <v>1</v>
      </c>
      <c r="T3360" s="9">
        <v>2369.65</v>
      </c>
      <c r="U3360" s="9">
        <f t="shared" ref="U3360:U3361" si="2340">T3360*S3360</f>
        <v>2369.65</v>
      </c>
      <c r="V3360" s="9">
        <f t="shared" ref="V3360:V3361" si="2341">U3360*1.12</f>
        <v>2654.0080000000003</v>
      </c>
      <c r="W3360" s="7"/>
      <c r="X3360" s="2">
        <v>2016</v>
      </c>
      <c r="Y3360" s="2"/>
    </row>
    <row r="3361" spans="1:25" s="11" customFormat="1" ht="114.75" customHeight="1" outlineLevel="1" x14ac:dyDescent="0.25">
      <c r="A3361" s="16"/>
      <c r="B3361" s="2" t="s">
        <v>8875</v>
      </c>
      <c r="C3361" s="3" t="s">
        <v>83</v>
      </c>
      <c r="D3361" s="3" t="s">
        <v>8876</v>
      </c>
      <c r="E3361" s="3" t="s">
        <v>8877</v>
      </c>
      <c r="F3361" s="3" t="s">
        <v>8878</v>
      </c>
      <c r="G3361" s="3" t="s">
        <v>8927</v>
      </c>
      <c r="H3361" s="2" t="s">
        <v>694</v>
      </c>
      <c r="I3361" s="4">
        <v>0</v>
      </c>
      <c r="J3361" s="5">
        <v>710000000</v>
      </c>
      <c r="K3361" s="5" t="s">
        <v>89</v>
      </c>
      <c r="L3361" s="2" t="s">
        <v>8710</v>
      </c>
      <c r="M3361" s="6" t="s">
        <v>1527</v>
      </c>
      <c r="N3361" s="7" t="s">
        <v>92</v>
      </c>
      <c r="O3361" s="7" t="s">
        <v>93</v>
      </c>
      <c r="P3361" s="3" t="s">
        <v>673</v>
      </c>
      <c r="Q3361" s="8" t="s">
        <v>117</v>
      </c>
      <c r="R3361" s="7" t="s">
        <v>118</v>
      </c>
      <c r="S3361" s="9">
        <v>1</v>
      </c>
      <c r="T3361" s="9">
        <v>103000</v>
      </c>
      <c r="U3361" s="9">
        <f t="shared" si="2340"/>
        <v>103000</v>
      </c>
      <c r="V3361" s="9">
        <f t="shared" si="2341"/>
        <v>115360.00000000001</v>
      </c>
      <c r="W3361" s="7"/>
      <c r="X3361" s="2">
        <v>2016</v>
      </c>
      <c r="Y3361" s="2"/>
    </row>
    <row r="3362" spans="1:25" s="11" customFormat="1" ht="89.25" customHeight="1" outlineLevel="1" x14ac:dyDescent="0.25">
      <c r="A3362" s="16"/>
      <c r="B3362" s="2" t="s">
        <v>8879</v>
      </c>
      <c r="C3362" s="3" t="s">
        <v>83</v>
      </c>
      <c r="D3362" s="3" t="s">
        <v>8876</v>
      </c>
      <c r="E3362" s="3" t="s">
        <v>8877</v>
      </c>
      <c r="F3362" s="3" t="s">
        <v>8878</v>
      </c>
      <c r="G3362" s="3" t="s">
        <v>8928</v>
      </c>
      <c r="H3362" s="2" t="s">
        <v>694</v>
      </c>
      <c r="I3362" s="4">
        <v>0</v>
      </c>
      <c r="J3362" s="5">
        <v>710000000</v>
      </c>
      <c r="K3362" s="5" t="s">
        <v>89</v>
      </c>
      <c r="L3362" s="2" t="s">
        <v>8710</v>
      </c>
      <c r="M3362" s="6" t="s">
        <v>1527</v>
      </c>
      <c r="N3362" s="7" t="s">
        <v>92</v>
      </c>
      <c r="O3362" s="7" t="s">
        <v>93</v>
      </c>
      <c r="P3362" s="3" t="s">
        <v>673</v>
      </c>
      <c r="Q3362" s="8" t="s">
        <v>117</v>
      </c>
      <c r="R3362" s="7" t="s">
        <v>118</v>
      </c>
      <c r="S3362" s="9">
        <v>1</v>
      </c>
      <c r="T3362" s="9">
        <v>82250</v>
      </c>
      <c r="U3362" s="9">
        <f t="shared" ref="U3362" si="2342">T3362*S3362</f>
        <v>82250</v>
      </c>
      <c r="V3362" s="9">
        <f t="shared" ref="V3362" si="2343">U3362*1.12</f>
        <v>92120.000000000015</v>
      </c>
      <c r="W3362" s="7"/>
      <c r="X3362" s="2">
        <v>2016</v>
      </c>
      <c r="Y3362" s="2"/>
    </row>
    <row r="3363" spans="1:25" s="11" customFormat="1" ht="89.25" customHeight="1" outlineLevel="1" x14ac:dyDescent="0.25">
      <c r="A3363" s="16"/>
      <c r="B3363" s="2" t="s">
        <v>8880</v>
      </c>
      <c r="C3363" s="3" t="s">
        <v>83</v>
      </c>
      <c r="D3363" s="3" t="s">
        <v>8882</v>
      </c>
      <c r="E3363" s="3" t="s">
        <v>8881</v>
      </c>
      <c r="F3363" s="3" t="s">
        <v>8883</v>
      </c>
      <c r="G3363" s="3" t="s">
        <v>8884</v>
      </c>
      <c r="H3363" s="2" t="s">
        <v>694</v>
      </c>
      <c r="I3363" s="4">
        <v>0</v>
      </c>
      <c r="J3363" s="5">
        <v>710000000</v>
      </c>
      <c r="K3363" s="5" t="s">
        <v>89</v>
      </c>
      <c r="L3363" s="2" t="s">
        <v>8710</v>
      </c>
      <c r="M3363" s="6" t="s">
        <v>1527</v>
      </c>
      <c r="N3363" s="7" t="s">
        <v>92</v>
      </c>
      <c r="O3363" s="7" t="s">
        <v>93</v>
      </c>
      <c r="P3363" s="3" t="s">
        <v>673</v>
      </c>
      <c r="Q3363" s="8" t="s">
        <v>117</v>
      </c>
      <c r="R3363" s="7" t="s">
        <v>118</v>
      </c>
      <c r="S3363" s="9">
        <v>5</v>
      </c>
      <c r="T3363" s="9">
        <v>25550</v>
      </c>
      <c r="U3363" s="9">
        <f t="shared" ref="U3363" si="2344">T3363*S3363</f>
        <v>127750</v>
      </c>
      <c r="V3363" s="9">
        <f t="shared" ref="V3363" si="2345">U3363*1.12</f>
        <v>143080</v>
      </c>
      <c r="W3363" s="7"/>
      <c r="X3363" s="2">
        <v>2016</v>
      </c>
      <c r="Y3363" s="2"/>
    </row>
    <row r="3364" spans="1:25" s="11" customFormat="1" ht="89.25" customHeight="1" outlineLevel="1" x14ac:dyDescent="0.25">
      <c r="A3364" s="16"/>
      <c r="B3364" s="2" t="s">
        <v>8890</v>
      </c>
      <c r="C3364" s="3" t="s">
        <v>83</v>
      </c>
      <c r="D3364" s="3" t="s">
        <v>4708</v>
      </c>
      <c r="E3364" s="3" t="s">
        <v>4709</v>
      </c>
      <c r="F3364" s="3" t="s">
        <v>4710</v>
      </c>
      <c r="G3364" s="3" t="s">
        <v>8943</v>
      </c>
      <c r="H3364" s="2" t="s">
        <v>694</v>
      </c>
      <c r="I3364" s="4">
        <v>0</v>
      </c>
      <c r="J3364" s="5">
        <v>710000000</v>
      </c>
      <c r="K3364" s="5" t="s">
        <v>89</v>
      </c>
      <c r="L3364" s="2" t="s">
        <v>8710</v>
      </c>
      <c r="M3364" s="6" t="s">
        <v>1481</v>
      </c>
      <c r="N3364" s="7" t="s">
        <v>92</v>
      </c>
      <c r="O3364" s="7" t="s">
        <v>93</v>
      </c>
      <c r="P3364" s="3" t="s">
        <v>673</v>
      </c>
      <c r="Q3364" s="8" t="s">
        <v>117</v>
      </c>
      <c r="R3364" s="7" t="s">
        <v>118</v>
      </c>
      <c r="S3364" s="9">
        <v>4</v>
      </c>
      <c r="T3364" s="9">
        <v>8459.86</v>
      </c>
      <c r="U3364" s="9">
        <f>S3364*T3364</f>
        <v>33839.440000000002</v>
      </c>
      <c r="V3364" s="9">
        <f t="shared" ref="V3364" si="2346">U3364*1.12</f>
        <v>37900.172800000008</v>
      </c>
      <c r="W3364" s="7"/>
      <c r="X3364" s="2">
        <v>2016</v>
      </c>
      <c r="Y3364" s="2"/>
    </row>
    <row r="3365" spans="1:25" s="11" customFormat="1" ht="89.25" customHeight="1" outlineLevel="1" x14ac:dyDescent="0.25">
      <c r="A3365" s="16"/>
      <c r="B3365" s="2" t="s">
        <v>8891</v>
      </c>
      <c r="C3365" s="3" t="s">
        <v>83</v>
      </c>
      <c r="D3365" s="3" t="s">
        <v>4754</v>
      </c>
      <c r="E3365" s="3" t="s">
        <v>4755</v>
      </c>
      <c r="F3365" s="3" t="s">
        <v>4756</v>
      </c>
      <c r="G3365" s="3" t="s">
        <v>9003</v>
      </c>
      <c r="H3365" s="2" t="s">
        <v>694</v>
      </c>
      <c r="I3365" s="4">
        <v>0</v>
      </c>
      <c r="J3365" s="5">
        <v>710000000</v>
      </c>
      <c r="K3365" s="5" t="s">
        <v>89</v>
      </c>
      <c r="L3365" s="2" t="s">
        <v>8710</v>
      </c>
      <c r="M3365" s="6" t="s">
        <v>1481</v>
      </c>
      <c r="N3365" s="7" t="s">
        <v>92</v>
      </c>
      <c r="O3365" s="7" t="s">
        <v>93</v>
      </c>
      <c r="P3365" s="3" t="s">
        <v>673</v>
      </c>
      <c r="Q3365" s="8" t="s">
        <v>117</v>
      </c>
      <c r="R3365" s="7" t="s">
        <v>118</v>
      </c>
      <c r="S3365" s="9">
        <v>4</v>
      </c>
      <c r="T3365" s="9">
        <v>9848.2199999999993</v>
      </c>
      <c r="U3365" s="9">
        <f>S3365*T3365</f>
        <v>39392.879999999997</v>
      </c>
      <c r="V3365" s="9">
        <f t="shared" ref="V3365" si="2347">U3365*1.12</f>
        <v>44120.025600000001</v>
      </c>
      <c r="W3365" s="7"/>
      <c r="X3365" s="2">
        <v>2016</v>
      </c>
      <c r="Y3365" s="2"/>
    </row>
    <row r="3366" spans="1:25" s="11" customFormat="1" ht="89.25" customHeight="1" outlineLevel="1" x14ac:dyDescent="0.25">
      <c r="A3366" s="16"/>
      <c r="B3366" s="2" t="s">
        <v>8895</v>
      </c>
      <c r="C3366" s="3" t="s">
        <v>83</v>
      </c>
      <c r="D3366" s="3" t="s">
        <v>8892</v>
      </c>
      <c r="E3366" s="3" t="s">
        <v>8893</v>
      </c>
      <c r="F3366" s="3" t="s">
        <v>8894</v>
      </c>
      <c r="G3366" s="3" t="s">
        <v>8929</v>
      </c>
      <c r="H3366" s="2" t="s">
        <v>694</v>
      </c>
      <c r="I3366" s="4">
        <v>0</v>
      </c>
      <c r="J3366" s="5">
        <v>710000000</v>
      </c>
      <c r="K3366" s="5" t="s">
        <v>89</v>
      </c>
      <c r="L3366" s="2" t="s">
        <v>8710</v>
      </c>
      <c r="M3366" s="6" t="s">
        <v>1481</v>
      </c>
      <c r="N3366" s="7" t="s">
        <v>92</v>
      </c>
      <c r="O3366" s="7" t="s">
        <v>93</v>
      </c>
      <c r="P3366" s="3" t="s">
        <v>673</v>
      </c>
      <c r="Q3366" s="8" t="s">
        <v>117</v>
      </c>
      <c r="R3366" s="7" t="s">
        <v>118</v>
      </c>
      <c r="S3366" s="9">
        <v>790</v>
      </c>
      <c r="T3366" s="9">
        <v>111.61</v>
      </c>
      <c r="U3366" s="9">
        <f t="shared" ref="U3366" si="2348">T3366*S3366</f>
        <v>88171.9</v>
      </c>
      <c r="V3366" s="9">
        <f t="shared" ref="V3366" si="2349">U3366*1.12</f>
        <v>98752.528000000006</v>
      </c>
      <c r="W3366" s="7"/>
      <c r="X3366" s="2">
        <v>2016</v>
      </c>
      <c r="Y3366" s="2"/>
    </row>
    <row r="3367" spans="1:25" s="11" customFormat="1" ht="89.25" customHeight="1" outlineLevel="1" x14ac:dyDescent="0.25">
      <c r="A3367" s="16"/>
      <c r="B3367" s="2" t="s">
        <v>8899</v>
      </c>
      <c r="C3367" s="3" t="s">
        <v>83</v>
      </c>
      <c r="D3367" s="3" t="s">
        <v>9004</v>
      </c>
      <c r="E3367" s="3" t="s">
        <v>9005</v>
      </c>
      <c r="F3367" s="3" t="s">
        <v>9006</v>
      </c>
      <c r="G3367" s="3" t="s">
        <v>9007</v>
      </c>
      <c r="H3367" s="2" t="s">
        <v>694</v>
      </c>
      <c r="I3367" s="4">
        <v>0</v>
      </c>
      <c r="J3367" s="5">
        <v>710000000</v>
      </c>
      <c r="K3367" s="5" t="s">
        <v>89</v>
      </c>
      <c r="L3367" s="2" t="s">
        <v>8710</v>
      </c>
      <c r="M3367" s="6" t="s">
        <v>1481</v>
      </c>
      <c r="N3367" s="7" t="s">
        <v>92</v>
      </c>
      <c r="O3367" s="7" t="s">
        <v>93</v>
      </c>
      <c r="P3367" s="3" t="s">
        <v>673</v>
      </c>
      <c r="Q3367" s="8" t="s">
        <v>117</v>
      </c>
      <c r="R3367" s="7" t="s">
        <v>118</v>
      </c>
      <c r="S3367" s="9">
        <v>13</v>
      </c>
      <c r="T3367" s="9">
        <v>892.86</v>
      </c>
      <c r="U3367" s="9">
        <f t="shared" ref="U3367" si="2350">T3367*S3367</f>
        <v>11607.18</v>
      </c>
      <c r="V3367" s="9">
        <f t="shared" ref="V3367" si="2351">U3367*1.12</f>
        <v>13000.041600000002</v>
      </c>
      <c r="W3367" s="7"/>
      <c r="X3367" s="2">
        <v>2016</v>
      </c>
      <c r="Y3367" s="2"/>
    </row>
    <row r="3368" spans="1:25" s="11" customFormat="1" ht="89.25" customHeight="1" outlineLevel="1" x14ac:dyDescent="0.25">
      <c r="A3368" s="16"/>
      <c r="B3368" s="2" t="s">
        <v>8906</v>
      </c>
      <c r="C3368" s="3" t="s">
        <v>83</v>
      </c>
      <c r="D3368" s="3" t="s">
        <v>8896</v>
      </c>
      <c r="E3368" s="3" t="s">
        <v>3340</v>
      </c>
      <c r="F3368" s="3" t="s">
        <v>8897</v>
      </c>
      <c r="G3368" s="3" t="s">
        <v>8898</v>
      </c>
      <c r="H3368" s="2" t="s">
        <v>694</v>
      </c>
      <c r="I3368" s="4">
        <v>0</v>
      </c>
      <c r="J3368" s="5">
        <v>710000000</v>
      </c>
      <c r="K3368" s="5" t="s">
        <v>89</v>
      </c>
      <c r="L3368" s="2" t="s">
        <v>8710</v>
      </c>
      <c r="M3368" s="6" t="s">
        <v>1481</v>
      </c>
      <c r="N3368" s="7" t="s">
        <v>92</v>
      </c>
      <c r="O3368" s="7" t="s">
        <v>93</v>
      </c>
      <c r="P3368" s="3" t="s">
        <v>673</v>
      </c>
      <c r="Q3368" s="8" t="s">
        <v>117</v>
      </c>
      <c r="R3368" s="7" t="s">
        <v>118</v>
      </c>
      <c r="S3368" s="9">
        <v>1</v>
      </c>
      <c r="T3368" s="9">
        <v>120000</v>
      </c>
      <c r="U3368" s="9">
        <f t="shared" ref="U3368" si="2352">T3368*S3368</f>
        <v>120000</v>
      </c>
      <c r="V3368" s="9">
        <f t="shared" ref="V3368" si="2353">U3368*1.12</f>
        <v>134400</v>
      </c>
      <c r="W3368" s="7"/>
      <c r="X3368" s="2">
        <v>2016</v>
      </c>
      <c r="Y3368" s="2"/>
    </row>
    <row r="3369" spans="1:25" s="11" customFormat="1" ht="89.25" customHeight="1" outlineLevel="1" x14ac:dyDescent="0.25">
      <c r="A3369" s="16"/>
      <c r="B3369" s="2" t="s">
        <v>8907</v>
      </c>
      <c r="C3369" s="3" t="s">
        <v>83</v>
      </c>
      <c r="D3369" s="3" t="s">
        <v>8900</v>
      </c>
      <c r="E3369" s="3" t="s">
        <v>8901</v>
      </c>
      <c r="F3369" s="3" t="s">
        <v>8902</v>
      </c>
      <c r="G3369" s="3" t="s">
        <v>8903</v>
      </c>
      <c r="H3369" s="2" t="s">
        <v>694</v>
      </c>
      <c r="I3369" s="4">
        <v>0</v>
      </c>
      <c r="J3369" s="5">
        <v>710000000</v>
      </c>
      <c r="K3369" s="5" t="s">
        <v>89</v>
      </c>
      <c r="L3369" s="2" t="s">
        <v>8710</v>
      </c>
      <c r="M3369" s="6" t="s">
        <v>1481</v>
      </c>
      <c r="N3369" s="7" t="s">
        <v>92</v>
      </c>
      <c r="O3369" s="7" t="s">
        <v>93</v>
      </c>
      <c r="P3369" s="3" t="s">
        <v>673</v>
      </c>
      <c r="Q3369" s="8" t="s">
        <v>117</v>
      </c>
      <c r="R3369" s="7" t="s">
        <v>118</v>
      </c>
      <c r="S3369" s="9">
        <v>14</v>
      </c>
      <c r="T3369" s="9">
        <v>53000</v>
      </c>
      <c r="U3369" s="9">
        <f t="shared" ref="U3369" si="2354">T3369*S3369</f>
        <v>742000</v>
      </c>
      <c r="V3369" s="9">
        <f t="shared" ref="V3369" si="2355">U3369*1.12</f>
        <v>831040.00000000012</v>
      </c>
      <c r="W3369" s="7"/>
      <c r="X3369" s="2">
        <v>2016</v>
      </c>
      <c r="Y3369" s="2"/>
    </row>
    <row r="3370" spans="1:25" s="11" customFormat="1" ht="89.25" customHeight="1" outlineLevel="1" x14ac:dyDescent="0.25">
      <c r="A3370" s="16"/>
      <c r="B3370" s="2" t="s">
        <v>8908</v>
      </c>
      <c r="C3370" s="3" t="s">
        <v>83</v>
      </c>
      <c r="D3370" s="3" t="s">
        <v>8904</v>
      </c>
      <c r="E3370" s="3" t="s">
        <v>8901</v>
      </c>
      <c r="F3370" s="3" t="s">
        <v>8905</v>
      </c>
      <c r="G3370" s="3" t="s">
        <v>8930</v>
      </c>
      <c r="H3370" s="2" t="s">
        <v>694</v>
      </c>
      <c r="I3370" s="4">
        <v>0</v>
      </c>
      <c r="J3370" s="5">
        <v>710000000</v>
      </c>
      <c r="K3370" s="5" t="s">
        <v>89</v>
      </c>
      <c r="L3370" s="2" t="s">
        <v>8710</v>
      </c>
      <c r="M3370" s="6" t="s">
        <v>1481</v>
      </c>
      <c r="N3370" s="7" t="s">
        <v>92</v>
      </c>
      <c r="O3370" s="7" t="s">
        <v>93</v>
      </c>
      <c r="P3370" s="3" t="s">
        <v>673</v>
      </c>
      <c r="Q3370" s="8" t="s">
        <v>117</v>
      </c>
      <c r="R3370" s="7" t="s">
        <v>118</v>
      </c>
      <c r="S3370" s="9">
        <v>3</v>
      </c>
      <c r="T3370" s="9">
        <v>49500</v>
      </c>
      <c r="U3370" s="9">
        <f t="shared" ref="U3370" si="2356">T3370*S3370</f>
        <v>148500</v>
      </c>
      <c r="V3370" s="9">
        <f t="shared" ref="V3370" si="2357">U3370*1.12</f>
        <v>166320.00000000003</v>
      </c>
      <c r="W3370" s="7"/>
      <c r="X3370" s="2">
        <v>2016</v>
      </c>
      <c r="Y3370" s="2"/>
    </row>
    <row r="3371" spans="1:25" s="11" customFormat="1" ht="89.25" customHeight="1" outlineLevel="1" x14ac:dyDescent="0.25">
      <c r="A3371" s="16"/>
      <c r="B3371" s="2" t="s">
        <v>8915</v>
      </c>
      <c r="C3371" s="3" t="s">
        <v>83</v>
      </c>
      <c r="D3371" s="3" t="s">
        <v>4287</v>
      </c>
      <c r="E3371" s="3" t="s">
        <v>4288</v>
      </c>
      <c r="F3371" s="3" t="s">
        <v>4289</v>
      </c>
      <c r="G3371" s="3" t="s">
        <v>8909</v>
      </c>
      <c r="H3371" s="2" t="s">
        <v>694</v>
      </c>
      <c r="I3371" s="4">
        <v>0</v>
      </c>
      <c r="J3371" s="5">
        <v>710000000</v>
      </c>
      <c r="K3371" s="5" t="s">
        <v>89</v>
      </c>
      <c r="L3371" s="2" t="s">
        <v>8710</v>
      </c>
      <c r="M3371" s="6" t="s">
        <v>1481</v>
      </c>
      <c r="N3371" s="7" t="s">
        <v>92</v>
      </c>
      <c r="O3371" s="7" t="s">
        <v>93</v>
      </c>
      <c r="P3371" s="3" t="s">
        <v>673</v>
      </c>
      <c r="Q3371" s="8" t="s">
        <v>117</v>
      </c>
      <c r="R3371" s="7" t="s">
        <v>118</v>
      </c>
      <c r="S3371" s="9">
        <v>6</v>
      </c>
      <c r="T3371" s="9">
        <v>47419.65</v>
      </c>
      <c r="U3371" s="9">
        <v>0</v>
      </c>
      <c r="V3371" s="9">
        <f t="shared" ref="V3371" si="2358">U3371*1.12</f>
        <v>0</v>
      </c>
      <c r="W3371" s="7"/>
      <c r="X3371" s="2">
        <v>2016</v>
      </c>
      <c r="Y3371" s="2">
        <v>15</v>
      </c>
    </row>
    <row r="3372" spans="1:25" s="11" customFormat="1" ht="89.25" customHeight="1" outlineLevel="1" x14ac:dyDescent="0.25">
      <c r="A3372" s="16"/>
      <c r="B3372" s="2" t="s">
        <v>9245</v>
      </c>
      <c r="C3372" s="3" t="s">
        <v>83</v>
      </c>
      <c r="D3372" s="3" t="s">
        <v>4287</v>
      </c>
      <c r="E3372" s="3" t="s">
        <v>4288</v>
      </c>
      <c r="F3372" s="3" t="s">
        <v>4289</v>
      </c>
      <c r="G3372" s="3" t="s">
        <v>8909</v>
      </c>
      <c r="H3372" s="2" t="s">
        <v>694</v>
      </c>
      <c r="I3372" s="4">
        <v>0</v>
      </c>
      <c r="J3372" s="5">
        <v>710000000</v>
      </c>
      <c r="K3372" s="5" t="s">
        <v>89</v>
      </c>
      <c r="L3372" s="2" t="s">
        <v>8710</v>
      </c>
      <c r="M3372" s="6" t="s">
        <v>1481</v>
      </c>
      <c r="N3372" s="7" t="s">
        <v>92</v>
      </c>
      <c r="O3372" s="7" t="s">
        <v>93</v>
      </c>
      <c r="P3372" s="3" t="s">
        <v>94</v>
      </c>
      <c r="Q3372" s="8" t="s">
        <v>117</v>
      </c>
      <c r="R3372" s="7" t="s">
        <v>118</v>
      </c>
      <c r="S3372" s="9">
        <v>6</v>
      </c>
      <c r="T3372" s="9">
        <v>47419.65</v>
      </c>
      <c r="U3372" s="9">
        <f t="shared" ref="U3372" si="2359">T3372*S3372</f>
        <v>284517.90000000002</v>
      </c>
      <c r="V3372" s="9">
        <f t="shared" ref="V3372" si="2360">U3372*1.12</f>
        <v>318660.04800000007</v>
      </c>
      <c r="W3372" s="7"/>
      <c r="X3372" s="2">
        <v>2016</v>
      </c>
      <c r="Y3372" s="2"/>
    </row>
    <row r="3373" spans="1:25" s="11" customFormat="1" ht="89.25" customHeight="1" outlineLevel="1" x14ac:dyDescent="0.25">
      <c r="A3373" s="16"/>
      <c r="B3373" s="2" t="s">
        <v>8916</v>
      </c>
      <c r="C3373" s="3" t="s">
        <v>83</v>
      </c>
      <c r="D3373" s="3" t="s">
        <v>8910</v>
      </c>
      <c r="E3373" s="3" t="s">
        <v>4288</v>
      </c>
      <c r="F3373" s="3" t="s">
        <v>8911</v>
      </c>
      <c r="G3373" s="3" t="s">
        <v>8912</v>
      </c>
      <c r="H3373" s="2" t="s">
        <v>694</v>
      </c>
      <c r="I3373" s="4">
        <v>0</v>
      </c>
      <c r="J3373" s="5">
        <v>710000000</v>
      </c>
      <c r="K3373" s="5" t="s">
        <v>89</v>
      </c>
      <c r="L3373" s="2" t="s">
        <v>8710</v>
      </c>
      <c r="M3373" s="6" t="s">
        <v>1481</v>
      </c>
      <c r="N3373" s="7" t="s">
        <v>92</v>
      </c>
      <c r="O3373" s="7" t="s">
        <v>93</v>
      </c>
      <c r="P3373" s="3" t="s">
        <v>673</v>
      </c>
      <c r="Q3373" s="8" t="s">
        <v>117</v>
      </c>
      <c r="R3373" s="7" t="s">
        <v>118</v>
      </c>
      <c r="S3373" s="9">
        <v>20</v>
      </c>
      <c r="T3373" s="9">
        <v>30535.72</v>
      </c>
      <c r="U3373" s="9">
        <v>0</v>
      </c>
      <c r="V3373" s="9">
        <f t="shared" ref="V3373" si="2361">U3373*1.12</f>
        <v>0</v>
      </c>
      <c r="W3373" s="7"/>
      <c r="X3373" s="2">
        <v>2016</v>
      </c>
      <c r="Y3373" s="2">
        <v>15</v>
      </c>
    </row>
    <row r="3374" spans="1:25" s="11" customFormat="1" ht="89.25" customHeight="1" outlineLevel="1" x14ac:dyDescent="0.25">
      <c r="A3374" s="16"/>
      <c r="B3374" s="2" t="s">
        <v>9246</v>
      </c>
      <c r="C3374" s="3" t="s">
        <v>83</v>
      </c>
      <c r="D3374" s="3" t="s">
        <v>8910</v>
      </c>
      <c r="E3374" s="3" t="s">
        <v>4288</v>
      </c>
      <c r="F3374" s="3" t="s">
        <v>8911</v>
      </c>
      <c r="G3374" s="3" t="s">
        <v>8912</v>
      </c>
      <c r="H3374" s="2" t="s">
        <v>694</v>
      </c>
      <c r="I3374" s="4">
        <v>0</v>
      </c>
      <c r="J3374" s="5">
        <v>710000000</v>
      </c>
      <c r="K3374" s="5" t="s">
        <v>89</v>
      </c>
      <c r="L3374" s="2" t="s">
        <v>8710</v>
      </c>
      <c r="M3374" s="6" t="s">
        <v>1481</v>
      </c>
      <c r="N3374" s="7" t="s">
        <v>92</v>
      </c>
      <c r="O3374" s="7" t="s">
        <v>93</v>
      </c>
      <c r="P3374" s="3" t="s">
        <v>94</v>
      </c>
      <c r="Q3374" s="8" t="s">
        <v>117</v>
      </c>
      <c r="R3374" s="7" t="s">
        <v>118</v>
      </c>
      <c r="S3374" s="9">
        <v>20</v>
      </c>
      <c r="T3374" s="9">
        <v>30535.72</v>
      </c>
      <c r="U3374" s="9">
        <f t="shared" ref="U3374" si="2362">T3374*S3374</f>
        <v>610714.4</v>
      </c>
      <c r="V3374" s="9">
        <f t="shared" ref="V3374" si="2363">U3374*1.12</f>
        <v>684000.12800000014</v>
      </c>
      <c r="W3374" s="7"/>
      <c r="X3374" s="2">
        <v>2016</v>
      </c>
      <c r="Y3374" s="2"/>
    </row>
    <row r="3375" spans="1:25" s="11" customFormat="1" ht="89.25" customHeight="1" outlineLevel="1" x14ac:dyDescent="0.25">
      <c r="A3375" s="16"/>
      <c r="B3375" s="2" t="s">
        <v>8917</v>
      </c>
      <c r="C3375" s="3" t="s">
        <v>83</v>
      </c>
      <c r="D3375" s="3" t="s">
        <v>8910</v>
      </c>
      <c r="E3375" s="3" t="s">
        <v>4288</v>
      </c>
      <c r="F3375" s="3" t="s">
        <v>8911</v>
      </c>
      <c r="G3375" s="3" t="s">
        <v>8913</v>
      </c>
      <c r="H3375" s="2" t="s">
        <v>694</v>
      </c>
      <c r="I3375" s="4">
        <v>0</v>
      </c>
      <c r="J3375" s="5">
        <v>710000000</v>
      </c>
      <c r="K3375" s="5" t="s">
        <v>89</v>
      </c>
      <c r="L3375" s="2" t="s">
        <v>8710</v>
      </c>
      <c r="M3375" s="6" t="s">
        <v>1481</v>
      </c>
      <c r="N3375" s="7" t="s">
        <v>92</v>
      </c>
      <c r="O3375" s="7" t="s">
        <v>93</v>
      </c>
      <c r="P3375" s="3" t="s">
        <v>673</v>
      </c>
      <c r="Q3375" s="8" t="s">
        <v>117</v>
      </c>
      <c r="R3375" s="7" t="s">
        <v>118</v>
      </c>
      <c r="S3375" s="9">
        <v>2</v>
      </c>
      <c r="T3375" s="9">
        <v>25892.86</v>
      </c>
      <c r="U3375" s="9">
        <v>0</v>
      </c>
      <c r="V3375" s="9">
        <f t="shared" ref="V3375" si="2364">U3375*1.12</f>
        <v>0</v>
      </c>
      <c r="W3375" s="7"/>
      <c r="X3375" s="2">
        <v>2016</v>
      </c>
      <c r="Y3375" s="2">
        <v>15</v>
      </c>
    </row>
    <row r="3376" spans="1:25" s="11" customFormat="1" ht="89.25" customHeight="1" outlineLevel="1" x14ac:dyDescent="0.25">
      <c r="A3376" s="16"/>
      <c r="B3376" s="2" t="s">
        <v>9247</v>
      </c>
      <c r="C3376" s="3" t="s">
        <v>83</v>
      </c>
      <c r="D3376" s="3" t="s">
        <v>8910</v>
      </c>
      <c r="E3376" s="3" t="s">
        <v>4288</v>
      </c>
      <c r="F3376" s="3" t="s">
        <v>8911</v>
      </c>
      <c r="G3376" s="3" t="s">
        <v>8913</v>
      </c>
      <c r="H3376" s="2" t="s">
        <v>694</v>
      </c>
      <c r="I3376" s="4">
        <v>0</v>
      </c>
      <c r="J3376" s="5">
        <v>710000000</v>
      </c>
      <c r="K3376" s="5" t="s">
        <v>89</v>
      </c>
      <c r="L3376" s="2" t="s">
        <v>8710</v>
      </c>
      <c r="M3376" s="6" t="s">
        <v>1481</v>
      </c>
      <c r="N3376" s="7" t="s">
        <v>92</v>
      </c>
      <c r="O3376" s="7" t="s">
        <v>93</v>
      </c>
      <c r="P3376" s="3" t="s">
        <v>673</v>
      </c>
      <c r="Q3376" s="8" t="s">
        <v>117</v>
      </c>
      <c r="R3376" s="7" t="s">
        <v>118</v>
      </c>
      <c r="S3376" s="9">
        <v>2</v>
      </c>
      <c r="T3376" s="9">
        <v>25892.86</v>
      </c>
      <c r="U3376" s="9">
        <f t="shared" ref="U3376" si="2365">T3376*S3376</f>
        <v>51785.72</v>
      </c>
      <c r="V3376" s="9">
        <f t="shared" ref="V3376:V3377" si="2366">U3376*1.12</f>
        <v>58000.006400000006</v>
      </c>
      <c r="W3376" s="7"/>
      <c r="X3376" s="2">
        <v>2016</v>
      </c>
      <c r="Y3376" s="2"/>
    </row>
    <row r="3377" spans="1:25" s="11" customFormat="1" ht="89.25" customHeight="1" outlineLevel="1" x14ac:dyDescent="0.25">
      <c r="A3377" s="16"/>
      <c r="B3377" s="2" t="s">
        <v>8923</v>
      </c>
      <c r="C3377" s="3" t="s">
        <v>83</v>
      </c>
      <c r="D3377" s="3" t="s">
        <v>8910</v>
      </c>
      <c r="E3377" s="3" t="s">
        <v>4288</v>
      </c>
      <c r="F3377" s="3" t="s">
        <v>8911</v>
      </c>
      <c r="G3377" s="3" t="s">
        <v>8914</v>
      </c>
      <c r="H3377" s="2" t="s">
        <v>694</v>
      </c>
      <c r="I3377" s="4">
        <v>0</v>
      </c>
      <c r="J3377" s="5">
        <v>710000000</v>
      </c>
      <c r="K3377" s="5" t="s">
        <v>89</v>
      </c>
      <c r="L3377" s="2" t="s">
        <v>8710</v>
      </c>
      <c r="M3377" s="6" t="s">
        <v>1481</v>
      </c>
      <c r="N3377" s="7" t="s">
        <v>92</v>
      </c>
      <c r="O3377" s="7" t="s">
        <v>93</v>
      </c>
      <c r="P3377" s="3" t="s">
        <v>673</v>
      </c>
      <c r="Q3377" s="8" t="s">
        <v>117</v>
      </c>
      <c r="R3377" s="7" t="s">
        <v>118</v>
      </c>
      <c r="S3377" s="9">
        <v>2</v>
      </c>
      <c r="T3377" s="9">
        <v>23580.36</v>
      </c>
      <c r="U3377" s="9">
        <v>0</v>
      </c>
      <c r="V3377" s="9">
        <f t="shared" si="2366"/>
        <v>0</v>
      </c>
      <c r="W3377" s="7"/>
      <c r="X3377" s="2">
        <v>2016</v>
      </c>
      <c r="Y3377" s="2">
        <v>15</v>
      </c>
    </row>
    <row r="3378" spans="1:25" s="11" customFormat="1" ht="89.25" customHeight="1" outlineLevel="1" x14ac:dyDescent="0.25">
      <c r="A3378" s="16"/>
      <c r="B3378" s="2" t="s">
        <v>9248</v>
      </c>
      <c r="C3378" s="3" t="s">
        <v>83</v>
      </c>
      <c r="D3378" s="3" t="s">
        <v>8910</v>
      </c>
      <c r="E3378" s="3" t="s">
        <v>4288</v>
      </c>
      <c r="F3378" s="3" t="s">
        <v>8911</v>
      </c>
      <c r="G3378" s="3" t="s">
        <v>8914</v>
      </c>
      <c r="H3378" s="2" t="s">
        <v>694</v>
      </c>
      <c r="I3378" s="4">
        <v>0</v>
      </c>
      <c r="J3378" s="5">
        <v>710000000</v>
      </c>
      <c r="K3378" s="5" t="s">
        <v>89</v>
      </c>
      <c r="L3378" s="2" t="s">
        <v>8710</v>
      </c>
      <c r="M3378" s="6" t="s">
        <v>1481</v>
      </c>
      <c r="N3378" s="7" t="s">
        <v>92</v>
      </c>
      <c r="O3378" s="7" t="s">
        <v>93</v>
      </c>
      <c r="P3378" s="3" t="s">
        <v>673</v>
      </c>
      <c r="Q3378" s="8" t="s">
        <v>117</v>
      </c>
      <c r="R3378" s="7" t="s">
        <v>118</v>
      </c>
      <c r="S3378" s="9">
        <v>2</v>
      </c>
      <c r="T3378" s="9">
        <v>23580.36</v>
      </c>
      <c r="U3378" s="9">
        <f t="shared" ref="U3378" si="2367">T3378*S3378</f>
        <v>47160.72</v>
      </c>
      <c r="V3378" s="9">
        <f t="shared" ref="V3378" si="2368">U3378*1.12</f>
        <v>52820.006400000006</v>
      </c>
      <c r="W3378" s="7"/>
      <c r="X3378" s="2">
        <v>2016</v>
      </c>
      <c r="Y3378" s="2"/>
    </row>
    <row r="3379" spans="1:25" s="11" customFormat="1" ht="89.25" customHeight="1" outlineLevel="1" x14ac:dyDescent="0.25">
      <c r="A3379" s="16"/>
      <c r="B3379" s="2" t="s">
        <v>8924</v>
      </c>
      <c r="C3379" s="3" t="s">
        <v>83</v>
      </c>
      <c r="D3379" s="3" t="s">
        <v>8918</v>
      </c>
      <c r="E3379" s="3" t="s">
        <v>8919</v>
      </c>
      <c r="F3379" s="3" t="s">
        <v>8920</v>
      </c>
      <c r="G3379" s="3" t="s">
        <v>8921</v>
      </c>
      <c r="H3379" s="2" t="s">
        <v>694</v>
      </c>
      <c r="I3379" s="4">
        <v>0</v>
      </c>
      <c r="J3379" s="5">
        <v>710000000</v>
      </c>
      <c r="K3379" s="5" t="s">
        <v>89</v>
      </c>
      <c r="L3379" s="2" t="s">
        <v>8710</v>
      </c>
      <c r="M3379" s="6" t="s">
        <v>91</v>
      </c>
      <c r="N3379" s="7" t="s">
        <v>92</v>
      </c>
      <c r="O3379" s="7" t="s">
        <v>93</v>
      </c>
      <c r="P3379" s="3" t="s">
        <v>673</v>
      </c>
      <c r="Q3379" s="8" t="s">
        <v>5664</v>
      </c>
      <c r="R3379" s="7" t="s">
        <v>716</v>
      </c>
      <c r="S3379" s="9">
        <v>50</v>
      </c>
      <c r="T3379" s="9">
        <v>5000</v>
      </c>
      <c r="U3379" s="9">
        <f t="shared" ref="U3379:U3380" si="2369">T3379*S3379</f>
        <v>250000</v>
      </c>
      <c r="V3379" s="9">
        <f t="shared" ref="V3379:V3380" si="2370">U3379*1.12</f>
        <v>280000</v>
      </c>
      <c r="W3379" s="7"/>
      <c r="X3379" s="2">
        <v>2016</v>
      </c>
      <c r="Y3379" s="2"/>
    </row>
    <row r="3380" spans="1:25" s="11" customFormat="1" ht="89.25" customHeight="1" outlineLevel="1" x14ac:dyDescent="0.25">
      <c r="A3380" s="16"/>
      <c r="B3380" s="2" t="s">
        <v>8938</v>
      </c>
      <c r="C3380" s="3" t="s">
        <v>83</v>
      </c>
      <c r="D3380" s="3" t="s">
        <v>8922</v>
      </c>
      <c r="E3380" s="3" t="s">
        <v>712</v>
      </c>
      <c r="F3380" s="3" t="s">
        <v>713</v>
      </c>
      <c r="G3380" s="3"/>
      <c r="H3380" s="2" t="s">
        <v>694</v>
      </c>
      <c r="I3380" s="4">
        <v>0</v>
      </c>
      <c r="J3380" s="5">
        <v>710000000</v>
      </c>
      <c r="K3380" s="5" t="s">
        <v>89</v>
      </c>
      <c r="L3380" s="2" t="s">
        <v>8710</v>
      </c>
      <c r="M3380" s="6" t="s">
        <v>91</v>
      </c>
      <c r="N3380" s="7" t="s">
        <v>92</v>
      </c>
      <c r="O3380" s="7" t="s">
        <v>93</v>
      </c>
      <c r="P3380" s="3" t="s">
        <v>673</v>
      </c>
      <c r="Q3380" s="8" t="s">
        <v>95</v>
      </c>
      <c r="R3380" s="7" t="s">
        <v>96</v>
      </c>
      <c r="S3380" s="9">
        <v>1320</v>
      </c>
      <c r="T3380" s="9">
        <v>56.25</v>
      </c>
      <c r="U3380" s="9">
        <f t="shared" si="2369"/>
        <v>74250</v>
      </c>
      <c r="V3380" s="9">
        <f t="shared" si="2370"/>
        <v>83160.000000000015</v>
      </c>
      <c r="W3380" s="7"/>
      <c r="X3380" s="2">
        <v>2016</v>
      </c>
      <c r="Y3380" s="2"/>
    </row>
    <row r="3381" spans="1:25" s="11" customFormat="1" ht="102" customHeight="1" outlineLevel="1" x14ac:dyDescent="0.25">
      <c r="A3381" s="16"/>
      <c r="B3381" s="2" t="s">
        <v>8942</v>
      </c>
      <c r="C3381" s="3" t="s">
        <v>83</v>
      </c>
      <c r="D3381" s="3" t="s">
        <v>8925</v>
      </c>
      <c r="E3381" s="3" t="s">
        <v>121</v>
      </c>
      <c r="F3381" s="3" t="s">
        <v>8926</v>
      </c>
      <c r="G3381" s="3" t="s">
        <v>8931</v>
      </c>
      <c r="H3381" s="2" t="s">
        <v>765</v>
      </c>
      <c r="I3381" s="4">
        <v>0</v>
      </c>
      <c r="J3381" s="5">
        <v>710000000</v>
      </c>
      <c r="K3381" s="5" t="s">
        <v>89</v>
      </c>
      <c r="L3381" s="2" t="s">
        <v>8710</v>
      </c>
      <c r="M3381" s="6" t="s">
        <v>1481</v>
      </c>
      <c r="N3381" s="7" t="s">
        <v>92</v>
      </c>
      <c r="O3381" s="7" t="s">
        <v>93</v>
      </c>
      <c r="P3381" s="3" t="s">
        <v>673</v>
      </c>
      <c r="Q3381" s="8" t="s">
        <v>95</v>
      </c>
      <c r="R3381" s="7" t="s">
        <v>96</v>
      </c>
      <c r="S3381" s="9">
        <v>160</v>
      </c>
      <c r="T3381" s="9">
        <v>7169.18</v>
      </c>
      <c r="U3381" s="9">
        <f t="shared" ref="U3381" si="2371">T3381*S3381</f>
        <v>1147068.8</v>
      </c>
      <c r="V3381" s="9">
        <f t="shared" ref="V3381" si="2372">U3381*1.12</f>
        <v>1284717.0560000001</v>
      </c>
      <c r="W3381" s="7"/>
      <c r="X3381" s="2">
        <v>2016</v>
      </c>
      <c r="Y3381" s="2"/>
    </row>
    <row r="3382" spans="1:25" s="11" customFormat="1" ht="89.25" customHeight="1" outlineLevel="1" x14ac:dyDescent="0.25">
      <c r="A3382" s="16"/>
      <c r="B3382" s="2" t="s">
        <v>8962</v>
      </c>
      <c r="C3382" s="3" t="s">
        <v>83</v>
      </c>
      <c r="D3382" s="3" t="s">
        <v>8934</v>
      </c>
      <c r="E3382" s="3" t="s">
        <v>8935</v>
      </c>
      <c r="F3382" s="3" t="s">
        <v>8936</v>
      </c>
      <c r="G3382" s="3" t="s">
        <v>8937</v>
      </c>
      <c r="H3382" s="2" t="s">
        <v>694</v>
      </c>
      <c r="I3382" s="4">
        <v>0</v>
      </c>
      <c r="J3382" s="5">
        <v>710000000</v>
      </c>
      <c r="K3382" s="5" t="s">
        <v>89</v>
      </c>
      <c r="L3382" s="2" t="s">
        <v>8710</v>
      </c>
      <c r="M3382" s="6" t="s">
        <v>1481</v>
      </c>
      <c r="N3382" s="7" t="s">
        <v>92</v>
      </c>
      <c r="O3382" s="7" t="s">
        <v>93</v>
      </c>
      <c r="P3382" s="3" t="s">
        <v>673</v>
      </c>
      <c r="Q3382" s="8" t="s">
        <v>117</v>
      </c>
      <c r="R3382" s="7" t="s">
        <v>118</v>
      </c>
      <c r="S3382" s="9">
        <v>1</v>
      </c>
      <c r="T3382" s="9">
        <v>268000</v>
      </c>
      <c r="U3382" s="9">
        <f t="shared" ref="U3382" si="2373">T3382*S3382</f>
        <v>268000</v>
      </c>
      <c r="V3382" s="9">
        <f t="shared" ref="V3382" si="2374">U3382*1.12</f>
        <v>300160</v>
      </c>
      <c r="W3382" s="7"/>
      <c r="X3382" s="2">
        <v>2016</v>
      </c>
      <c r="Y3382" s="2"/>
    </row>
    <row r="3383" spans="1:25" s="11" customFormat="1" ht="89.25" customHeight="1" outlineLevel="1" x14ac:dyDescent="0.25">
      <c r="A3383" s="16"/>
      <c r="B3383" s="2" t="s">
        <v>8967</v>
      </c>
      <c r="C3383" s="3" t="s">
        <v>83</v>
      </c>
      <c r="D3383" s="3" t="s">
        <v>8939</v>
      </c>
      <c r="E3383" s="3" t="s">
        <v>2300</v>
      </c>
      <c r="F3383" s="3" t="s">
        <v>8940</v>
      </c>
      <c r="G3383" s="3" t="s">
        <v>8941</v>
      </c>
      <c r="H3383" s="2" t="s">
        <v>694</v>
      </c>
      <c r="I3383" s="4">
        <v>0</v>
      </c>
      <c r="J3383" s="5">
        <v>710000000</v>
      </c>
      <c r="K3383" s="5" t="s">
        <v>89</v>
      </c>
      <c r="L3383" s="2" t="s">
        <v>8710</v>
      </c>
      <c r="M3383" s="6" t="s">
        <v>1527</v>
      </c>
      <c r="N3383" s="7" t="s">
        <v>92</v>
      </c>
      <c r="O3383" s="7" t="s">
        <v>93</v>
      </c>
      <c r="P3383" s="3" t="s">
        <v>673</v>
      </c>
      <c r="Q3383" s="8" t="s">
        <v>117</v>
      </c>
      <c r="R3383" s="7" t="s">
        <v>118</v>
      </c>
      <c r="S3383" s="9">
        <v>1</v>
      </c>
      <c r="T3383" s="9">
        <v>41964.29</v>
      </c>
      <c r="U3383" s="9">
        <f t="shared" ref="U3383" si="2375">T3383*S3383</f>
        <v>41964.29</v>
      </c>
      <c r="V3383" s="9">
        <f t="shared" ref="V3383" si="2376">U3383*1.12</f>
        <v>47000.004800000002</v>
      </c>
      <c r="W3383" s="7"/>
      <c r="X3383" s="2">
        <v>2016</v>
      </c>
      <c r="Y3383" s="2"/>
    </row>
    <row r="3384" spans="1:25" s="11" customFormat="1" ht="89.25" customHeight="1" outlineLevel="1" x14ac:dyDescent="0.25">
      <c r="A3384" s="16"/>
      <c r="B3384" s="2" t="s">
        <v>8976</v>
      </c>
      <c r="C3384" s="3" t="s">
        <v>83</v>
      </c>
      <c r="D3384" s="3" t="s">
        <v>8968</v>
      </c>
      <c r="E3384" s="3" t="s">
        <v>790</v>
      </c>
      <c r="F3384" s="3" t="s">
        <v>8969</v>
      </c>
      <c r="G3384" s="3" t="s">
        <v>9019</v>
      </c>
      <c r="H3384" s="2" t="s">
        <v>694</v>
      </c>
      <c r="I3384" s="4">
        <v>0</v>
      </c>
      <c r="J3384" s="5">
        <v>710000000</v>
      </c>
      <c r="K3384" s="5" t="s">
        <v>89</v>
      </c>
      <c r="L3384" s="2" t="s">
        <v>8710</v>
      </c>
      <c r="M3384" s="6" t="s">
        <v>1481</v>
      </c>
      <c r="N3384" s="7" t="s">
        <v>92</v>
      </c>
      <c r="O3384" s="7" t="s">
        <v>93</v>
      </c>
      <c r="P3384" s="3" t="s">
        <v>673</v>
      </c>
      <c r="Q3384" s="8" t="s">
        <v>117</v>
      </c>
      <c r="R3384" s="7" t="s">
        <v>118</v>
      </c>
      <c r="S3384" s="9">
        <v>1</v>
      </c>
      <c r="T3384" s="9">
        <v>12888.4</v>
      </c>
      <c r="U3384" s="9">
        <f t="shared" ref="U3384" si="2377">T3384*S3384</f>
        <v>12888.4</v>
      </c>
      <c r="V3384" s="9">
        <f t="shared" ref="V3384" si="2378">U3384*1.12</f>
        <v>14435.008000000002</v>
      </c>
      <c r="W3384" s="7"/>
      <c r="X3384" s="2">
        <v>2016</v>
      </c>
      <c r="Y3384" s="2"/>
    </row>
    <row r="3385" spans="1:25" s="11" customFormat="1" ht="89.25" customHeight="1" outlineLevel="1" x14ac:dyDescent="0.25">
      <c r="A3385" s="16"/>
      <c r="B3385" s="2" t="s">
        <v>8977</v>
      </c>
      <c r="C3385" s="3" t="s">
        <v>83</v>
      </c>
      <c r="D3385" s="3" t="s">
        <v>8963</v>
      </c>
      <c r="E3385" s="3" t="s">
        <v>8964</v>
      </c>
      <c r="F3385" s="3" t="s">
        <v>8965</v>
      </c>
      <c r="G3385" s="3" t="s">
        <v>8966</v>
      </c>
      <c r="H3385" s="2" t="s">
        <v>694</v>
      </c>
      <c r="I3385" s="4">
        <v>0</v>
      </c>
      <c r="J3385" s="5">
        <v>710000000</v>
      </c>
      <c r="K3385" s="5" t="s">
        <v>89</v>
      </c>
      <c r="L3385" s="2" t="s">
        <v>8710</v>
      </c>
      <c r="M3385" s="6" t="s">
        <v>1481</v>
      </c>
      <c r="N3385" s="7" t="s">
        <v>92</v>
      </c>
      <c r="O3385" s="7" t="s">
        <v>93</v>
      </c>
      <c r="P3385" s="3" t="s">
        <v>673</v>
      </c>
      <c r="Q3385" s="8" t="s">
        <v>861</v>
      </c>
      <c r="R3385" s="7" t="s">
        <v>812</v>
      </c>
      <c r="S3385" s="9">
        <v>2</v>
      </c>
      <c r="T3385" s="9">
        <v>32339.29</v>
      </c>
      <c r="U3385" s="9">
        <f t="shared" ref="U3385" si="2379">T3385*S3385</f>
        <v>64678.58</v>
      </c>
      <c r="V3385" s="9">
        <f t="shared" ref="V3385" si="2380">U3385*1.12</f>
        <v>72440.009600000005</v>
      </c>
      <c r="W3385" s="7"/>
      <c r="X3385" s="2">
        <v>2016</v>
      </c>
      <c r="Y3385" s="2"/>
    </row>
    <row r="3386" spans="1:25" s="11" customFormat="1" ht="89.25" customHeight="1" outlineLevel="1" x14ac:dyDescent="0.25">
      <c r="A3386" s="16"/>
      <c r="B3386" s="2" t="s">
        <v>8978</v>
      </c>
      <c r="C3386" s="3" t="s">
        <v>83</v>
      </c>
      <c r="D3386" s="3" t="s">
        <v>8970</v>
      </c>
      <c r="E3386" s="3" t="s">
        <v>8971</v>
      </c>
      <c r="F3386" s="3" t="s">
        <v>1285</v>
      </c>
      <c r="G3386" s="3" t="s">
        <v>8972</v>
      </c>
      <c r="H3386" s="2" t="s">
        <v>694</v>
      </c>
      <c r="I3386" s="4">
        <v>0</v>
      </c>
      <c r="J3386" s="5">
        <v>710000000</v>
      </c>
      <c r="K3386" s="5" t="s">
        <v>89</v>
      </c>
      <c r="L3386" s="2" t="s">
        <v>8710</v>
      </c>
      <c r="M3386" s="6" t="s">
        <v>1481</v>
      </c>
      <c r="N3386" s="7" t="s">
        <v>92</v>
      </c>
      <c r="O3386" s="7" t="s">
        <v>93</v>
      </c>
      <c r="P3386" s="3" t="s">
        <v>673</v>
      </c>
      <c r="Q3386" s="8" t="s">
        <v>117</v>
      </c>
      <c r="R3386" s="7" t="s">
        <v>118</v>
      </c>
      <c r="S3386" s="9">
        <v>2</v>
      </c>
      <c r="T3386" s="9">
        <v>18647.330000000002</v>
      </c>
      <c r="U3386" s="9">
        <f t="shared" ref="U3386" si="2381">T3386*S3386</f>
        <v>37294.660000000003</v>
      </c>
      <c r="V3386" s="9">
        <f t="shared" ref="V3386" si="2382">U3386*1.12</f>
        <v>41770.01920000001</v>
      </c>
      <c r="W3386" s="7"/>
      <c r="X3386" s="2">
        <v>2016</v>
      </c>
      <c r="Y3386" s="2"/>
    </row>
    <row r="3387" spans="1:25" s="11" customFormat="1" ht="89.25" customHeight="1" outlineLevel="1" x14ac:dyDescent="0.25">
      <c r="A3387" s="16"/>
      <c r="B3387" s="2" t="s">
        <v>8985</v>
      </c>
      <c r="C3387" s="3" t="s">
        <v>83</v>
      </c>
      <c r="D3387" s="3" t="s">
        <v>8973</v>
      </c>
      <c r="E3387" s="3" t="s">
        <v>3089</v>
      </c>
      <c r="F3387" s="3" t="s">
        <v>8974</v>
      </c>
      <c r="G3387" s="3" t="s">
        <v>8975</v>
      </c>
      <c r="H3387" s="2" t="s">
        <v>694</v>
      </c>
      <c r="I3387" s="4">
        <v>0</v>
      </c>
      <c r="J3387" s="5">
        <v>710000000</v>
      </c>
      <c r="K3387" s="5" t="s">
        <v>89</v>
      </c>
      <c r="L3387" s="2" t="s">
        <v>8710</v>
      </c>
      <c r="M3387" s="6" t="s">
        <v>1481</v>
      </c>
      <c r="N3387" s="7" t="s">
        <v>92</v>
      </c>
      <c r="O3387" s="7" t="s">
        <v>93</v>
      </c>
      <c r="P3387" s="3" t="s">
        <v>673</v>
      </c>
      <c r="Q3387" s="8" t="s">
        <v>117</v>
      </c>
      <c r="R3387" s="7" t="s">
        <v>118</v>
      </c>
      <c r="S3387" s="9">
        <v>1</v>
      </c>
      <c r="T3387" s="9">
        <v>59276.79</v>
      </c>
      <c r="U3387" s="9">
        <f t="shared" ref="U3387" si="2383">T3387*S3387</f>
        <v>59276.79</v>
      </c>
      <c r="V3387" s="9">
        <f t="shared" ref="V3387" si="2384">U3387*1.12</f>
        <v>66390.00480000001</v>
      </c>
      <c r="W3387" s="7"/>
      <c r="X3387" s="2">
        <v>2016</v>
      </c>
      <c r="Y3387" s="2"/>
    </row>
    <row r="3388" spans="1:25" s="11" customFormat="1" ht="89.25" customHeight="1" outlineLevel="1" x14ac:dyDescent="0.25">
      <c r="A3388" s="16"/>
      <c r="B3388" s="2" t="s">
        <v>8986</v>
      </c>
      <c r="C3388" s="3" t="s">
        <v>83</v>
      </c>
      <c r="D3388" s="3" t="s">
        <v>8979</v>
      </c>
      <c r="E3388" s="3" t="s">
        <v>980</v>
      </c>
      <c r="F3388" s="3" t="s">
        <v>8980</v>
      </c>
      <c r="G3388" s="3" t="s">
        <v>8981</v>
      </c>
      <c r="H3388" s="2" t="s">
        <v>694</v>
      </c>
      <c r="I3388" s="4">
        <v>0</v>
      </c>
      <c r="J3388" s="5">
        <v>710000000</v>
      </c>
      <c r="K3388" s="5" t="s">
        <v>89</v>
      </c>
      <c r="L3388" s="2" t="s">
        <v>8710</v>
      </c>
      <c r="M3388" s="6" t="s">
        <v>1481</v>
      </c>
      <c r="N3388" s="7" t="s">
        <v>92</v>
      </c>
      <c r="O3388" s="7" t="s">
        <v>93</v>
      </c>
      <c r="P3388" s="3" t="s">
        <v>673</v>
      </c>
      <c r="Q3388" s="8" t="s">
        <v>117</v>
      </c>
      <c r="R3388" s="7" t="s">
        <v>118</v>
      </c>
      <c r="S3388" s="9">
        <v>4</v>
      </c>
      <c r="T3388" s="9">
        <v>22321.43</v>
      </c>
      <c r="U3388" s="9">
        <f t="shared" ref="U3388" si="2385">T3388*S3388</f>
        <v>89285.72</v>
      </c>
      <c r="V3388" s="9">
        <f t="shared" ref="V3388" si="2386">U3388*1.12</f>
        <v>100000.00640000001</v>
      </c>
      <c r="W3388" s="7"/>
      <c r="X3388" s="2">
        <v>2016</v>
      </c>
      <c r="Y3388" s="2"/>
    </row>
    <row r="3389" spans="1:25" s="11" customFormat="1" ht="89.25" customHeight="1" outlineLevel="1" x14ac:dyDescent="0.25">
      <c r="A3389" s="16"/>
      <c r="B3389" s="2" t="s">
        <v>8988</v>
      </c>
      <c r="C3389" s="3" t="s">
        <v>83</v>
      </c>
      <c r="D3389" s="3" t="s">
        <v>8982</v>
      </c>
      <c r="E3389" s="3" t="s">
        <v>980</v>
      </c>
      <c r="F3389" s="3" t="s">
        <v>8983</v>
      </c>
      <c r="G3389" s="3" t="s">
        <v>8984</v>
      </c>
      <c r="H3389" s="2" t="s">
        <v>694</v>
      </c>
      <c r="I3389" s="4">
        <v>0</v>
      </c>
      <c r="J3389" s="5">
        <v>710000000</v>
      </c>
      <c r="K3389" s="5" t="s">
        <v>89</v>
      </c>
      <c r="L3389" s="2" t="s">
        <v>8710</v>
      </c>
      <c r="M3389" s="6" t="s">
        <v>1481</v>
      </c>
      <c r="N3389" s="7" t="s">
        <v>92</v>
      </c>
      <c r="O3389" s="7" t="s">
        <v>93</v>
      </c>
      <c r="P3389" s="3" t="s">
        <v>673</v>
      </c>
      <c r="Q3389" s="8" t="s">
        <v>117</v>
      </c>
      <c r="R3389" s="7" t="s">
        <v>118</v>
      </c>
      <c r="S3389" s="9">
        <v>8</v>
      </c>
      <c r="T3389" s="9">
        <v>31696.43</v>
      </c>
      <c r="U3389" s="9">
        <f t="shared" ref="U3389" si="2387">T3389*S3389</f>
        <v>253571.44</v>
      </c>
      <c r="V3389" s="9">
        <f t="shared" ref="V3389" si="2388">U3389*1.12</f>
        <v>284000.01280000003</v>
      </c>
      <c r="W3389" s="7"/>
      <c r="X3389" s="2">
        <v>2016</v>
      </c>
      <c r="Y3389" s="2"/>
    </row>
    <row r="3390" spans="1:25" s="11" customFormat="1" ht="89.25" customHeight="1" outlineLevel="1" x14ac:dyDescent="0.25">
      <c r="A3390" s="16"/>
      <c r="B3390" s="2" t="s">
        <v>8993</v>
      </c>
      <c r="C3390" s="3" t="s">
        <v>83</v>
      </c>
      <c r="D3390" s="3" t="s">
        <v>2644</v>
      </c>
      <c r="E3390" s="3" t="s">
        <v>2645</v>
      </c>
      <c r="F3390" s="3" t="s">
        <v>2646</v>
      </c>
      <c r="G3390" s="3" t="s">
        <v>8987</v>
      </c>
      <c r="H3390" s="2" t="s">
        <v>694</v>
      </c>
      <c r="I3390" s="4">
        <v>0</v>
      </c>
      <c r="J3390" s="5">
        <v>710000000</v>
      </c>
      <c r="K3390" s="5" t="s">
        <v>89</v>
      </c>
      <c r="L3390" s="2" t="s">
        <v>8710</v>
      </c>
      <c r="M3390" s="6" t="s">
        <v>91</v>
      </c>
      <c r="N3390" s="7" t="s">
        <v>92</v>
      </c>
      <c r="O3390" s="7" t="s">
        <v>93</v>
      </c>
      <c r="P3390" s="3" t="s">
        <v>673</v>
      </c>
      <c r="Q3390" s="8" t="s">
        <v>117</v>
      </c>
      <c r="R3390" s="7" t="s">
        <v>118</v>
      </c>
      <c r="S3390" s="9">
        <v>1</v>
      </c>
      <c r="T3390" s="9">
        <v>525000</v>
      </c>
      <c r="U3390" s="9">
        <f t="shared" ref="U3390" si="2389">T3390*S3390</f>
        <v>525000</v>
      </c>
      <c r="V3390" s="9">
        <f t="shared" ref="V3390" si="2390">U3390*1.12</f>
        <v>588000</v>
      </c>
      <c r="W3390" s="7"/>
      <c r="X3390" s="2">
        <v>2016</v>
      </c>
      <c r="Y3390" s="2"/>
    </row>
    <row r="3391" spans="1:25" s="11" customFormat="1" ht="89.25" customHeight="1" outlineLevel="1" x14ac:dyDescent="0.25">
      <c r="A3391" s="16"/>
      <c r="B3391" s="2" t="s">
        <v>8994</v>
      </c>
      <c r="C3391" s="3" t="s">
        <v>83</v>
      </c>
      <c r="D3391" s="3" t="s">
        <v>8989</v>
      </c>
      <c r="E3391" s="3" t="s">
        <v>3165</v>
      </c>
      <c r="F3391" s="3" t="s">
        <v>8990</v>
      </c>
      <c r="G3391" s="3" t="s">
        <v>8991</v>
      </c>
      <c r="H3391" s="2" t="s">
        <v>694</v>
      </c>
      <c r="I3391" s="4">
        <v>0</v>
      </c>
      <c r="J3391" s="5">
        <v>710000000</v>
      </c>
      <c r="K3391" s="5" t="s">
        <v>89</v>
      </c>
      <c r="L3391" s="2" t="s">
        <v>8710</v>
      </c>
      <c r="M3391" s="6" t="s">
        <v>91</v>
      </c>
      <c r="N3391" s="7" t="s">
        <v>92</v>
      </c>
      <c r="O3391" s="7" t="s">
        <v>93</v>
      </c>
      <c r="P3391" s="3" t="s">
        <v>673</v>
      </c>
      <c r="Q3391" s="8" t="s">
        <v>117</v>
      </c>
      <c r="R3391" s="7" t="s">
        <v>118</v>
      </c>
      <c r="S3391" s="9">
        <v>2</v>
      </c>
      <c r="T3391" s="9">
        <v>110000</v>
      </c>
      <c r="U3391" s="9">
        <f t="shared" ref="U3391" si="2391">T3391*S3391</f>
        <v>220000</v>
      </c>
      <c r="V3391" s="9">
        <f t="shared" ref="V3391" si="2392">U3391*1.12</f>
        <v>246400.00000000003</v>
      </c>
      <c r="W3391" s="7"/>
      <c r="X3391" s="2">
        <v>2016</v>
      </c>
      <c r="Y3391" s="2"/>
    </row>
    <row r="3392" spans="1:25" s="11" customFormat="1" ht="89.25" customHeight="1" outlineLevel="1" x14ac:dyDescent="0.25">
      <c r="A3392" s="16"/>
      <c r="B3392" s="2" t="s">
        <v>8996</v>
      </c>
      <c r="C3392" s="3" t="s">
        <v>83</v>
      </c>
      <c r="D3392" s="3" t="s">
        <v>5679</v>
      </c>
      <c r="E3392" s="3" t="s">
        <v>5680</v>
      </c>
      <c r="F3392" s="3" t="s">
        <v>5290</v>
      </c>
      <c r="G3392" s="3" t="s">
        <v>8992</v>
      </c>
      <c r="H3392" s="2" t="s">
        <v>694</v>
      </c>
      <c r="I3392" s="4">
        <v>0</v>
      </c>
      <c r="J3392" s="5">
        <v>710000000</v>
      </c>
      <c r="K3392" s="5" t="s">
        <v>89</v>
      </c>
      <c r="L3392" s="2" t="s">
        <v>8710</v>
      </c>
      <c r="M3392" s="6" t="s">
        <v>1481</v>
      </c>
      <c r="N3392" s="7" t="s">
        <v>92</v>
      </c>
      <c r="O3392" s="7" t="s">
        <v>93</v>
      </c>
      <c r="P3392" s="3" t="s">
        <v>673</v>
      </c>
      <c r="Q3392" s="8" t="s">
        <v>522</v>
      </c>
      <c r="R3392" s="7" t="s">
        <v>523</v>
      </c>
      <c r="S3392" s="9">
        <v>50</v>
      </c>
      <c r="T3392" s="9">
        <v>652</v>
      </c>
      <c r="U3392" s="9">
        <f t="shared" ref="U3392" si="2393">T3392*S3392</f>
        <v>32600</v>
      </c>
      <c r="V3392" s="9">
        <f t="shared" ref="V3392" si="2394">U3392*1.12</f>
        <v>36512</v>
      </c>
      <c r="W3392" s="7"/>
      <c r="X3392" s="2">
        <v>2016</v>
      </c>
      <c r="Y3392" s="2"/>
    </row>
    <row r="3393" spans="1:25" s="11" customFormat="1" ht="89.25" customHeight="1" outlineLevel="1" x14ac:dyDescent="0.25">
      <c r="A3393" s="16"/>
      <c r="B3393" s="2" t="s">
        <v>9000</v>
      </c>
      <c r="C3393" s="3" t="s">
        <v>83</v>
      </c>
      <c r="D3393" s="3" t="s">
        <v>5666</v>
      </c>
      <c r="E3393" s="3" t="s">
        <v>5667</v>
      </c>
      <c r="F3393" s="3" t="s">
        <v>5668</v>
      </c>
      <c r="G3393" s="3" t="s">
        <v>8995</v>
      </c>
      <c r="H3393" s="2" t="s">
        <v>694</v>
      </c>
      <c r="I3393" s="4">
        <v>0</v>
      </c>
      <c r="J3393" s="5">
        <v>710000000</v>
      </c>
      <c r="K3393" s="5" t="s">
        <v>89</v>
      </c>
      <c r="L3393" s="2" t="s">
        <v>8710</v>
      </c>
      <c r="M3393" s="6" t="s">
        <v>1481</v>
      </c>
      <c r="N3393" s="7" t="s">
        <v>92</v>
      </c>
      <c r="O3393" s="7" t="s">
        <v>93</v>
      </c>
      <c r="P3393" s="3" t="s">
        <v>673</v>
      </c>
      <c r="Q3393" s="8" t="s">
        <v>522</v>
      </c>
      <c r="R3393" s="7" t="s">
        <v>523</v>
      </c>
      <c r="S3393" s="9">
        <v>100</v>
      </c>
      <c r="T3393" s="9">
        <v>946</v>
      </c>
      <c r="U3393" s="9">
        <f t="shared" ref="U3393" si="2395">T3393*S3393</f>
        <v>94600</v>
      </c>
      <c r="V3393" s="9">
        <f t="shared" ref="V3393" si="2396">U3393*1.12</f>
        <v>105952.00000000001</v>
      </c>
      <c r="W3393" s="7"/>
      <c r="X3393" s="2">
        <v>2016</v>
      </c>
      <c r="Y3393" s="2"/>
    </row>
    <row r="3394" spans="1:25" s="11" customFormat="1" ht="89.25" customHeight="1" outlineLevel="1" x14ac:dyDescent="0.25">
      <c r="A3394" s="16"/>
      <c r="B3394" s="2" t="s">
        <v>9001</v>
      </c>
      <c r="C3394" s="3" t="s">
        <v>83</v>
      </c>
      <c r="D3394" s="3" t="s">
        <v>5700</v>
      </c>
      <c r="E3394" s="3" t="s">
        <v>5701</v>
      </c>
      <c r="F3394" s="3" t="s">
        <v>5702</v>
      </c>
      <c r="G3394" s="3" t="s">
        <v>8997</v>
      </c>
      <c r="H3394" s="2" t="s">
        <v>694</v>
      </c>
      <c r="I3394" s="4">
        <v>0</v>
      </c>
      <c r="J3394" s="5">
        <v>710000000</v>
      </c>
      <c r="K3394" s="5" t="s">
        <v>89</v>
      </c>
      <c r="L3394" s="2" t="s">
        <v>8710</v>
      </c>
      <c r="M3394" s="6" t="s">
        <v>1481</v>
      </c>
      <c r="N3394" s="7" t="s">
        <v>92</v>
      </c>
      <c r="O3394" s="7" t="s">
        <v>93</v>
      </c>
      <c r="P3394" s="3" t="s">
        <v>673</v>
      </c>
      <c r="Q3394" s="8" t="s">
        <v>522</v>
      </c>
      <c r="R3394" s="7" t="s">
        <v>523</v>
      </c>
      <c r="S3394" s="9">
        <v>200</v>
      </c>
      <c r="T3394" s="9">
        <v>47.27</v>
      </c>
      <c r="U3394" s="9">
        <f t="shared" ref="U3394" si="2397">T3394*S3394</f>
        <v>9454</v>
      </c>
      <c r="V3394" s="9">
        <f t="shared" ref="V3394" si="2398">U3394*1.12</f>
        <v>10588.480000000001</v>
      </c>
      <c r="W3394" s="7"/>
      <c r="X3394" s="2">
        <v>2016</v>
      </c>
      <c r="Y3394" s="2"/>
    </row>
    <row r="3395" spans="1:25" s="11" customFormat="1" ht="89.25" customHeight="1" outlineLevel="1" x14ac:dyDescent="0.25">
      <c r="A3395" s="16"/>
      <c r="B3395" s="2" t="s">
        <v>9002</v>
      </c>
      <c r="C3395" s="3" t="s">
        <v>83</v>
      </c>
      <c r="D3395" s="3" t="s">
        <v>8998</v>
      </c>
      <c r="E3395" s="3" t="s">
        <v>5667</v>
      </c>
      <c r="F3395" s="3" t="s">
        <v>5678</v>
      </c>
      <c r="G3395" s="3" t="s">
        <v>9018</v>
      </c>
      <c r="H3395" s="2" t="s">
        <v>694</v>
      </c>
      <c r="I3395" s="4">
        <v>0</v>
      </c>
      <c r="J3395" s="5">
        <v>710000000</v>
      </c>
      <c r="K3395" s="5" t="s">
        <v>89</v>
      </c>
      <c r="L3395" s="2" t="s">
        <v>8710</v>
      </c>
      <c r="M3395" s="6" t="s">
        <v>1481</v>
      </c>
      <c r="N3395" s="7" t="s">
        <v>92</v>
      </c>
      <c r="O3395" s="7" t="s">
        <v>93</v>
      </c>
      <c r="P3395" s="3" t="s">
        <v>673</v>
      </c>
      <c r="Q3395" s="8" t="s">
        <v>522</v>
      </c>
      <c r="R3395" s="7" t="s">
        <v>523</v>
      </c>
      <c r="S3395" s="9">
        <v>50</v>
      </c>
      <c r="T3395" s="9">
        <v>1384</v>
      </c>
      <c r="U3395" s="9">
        <f t="shared" ref="U3395" si="2399">T3395*S3395</f>
        <v>69200</v>
      </c>
      <c r="V3395" s="9">
        <f t="shared" ref="V3395" si="2400">U3395*1.12</f>
        <v>77504.000000000015</v>
      </c>
      <c r="W3395" s="7"/>
      <c r="X3395" s="2">
        <v>2016</v>
      </c>
      <c r="Y3395" s="2"/>
    </row>
    <row r="3396" spans="1:25" s="11" customFormat="1" ht="89.25" customHeight="1" outlineLevel="1" x14ac:dyDescent="0.25">
      <c r="A3396" s="16"/>
      <c r="B3396" s="2" t="s">
        <v>9008</v>
      </c>
      <c r="C3396" s="3" t="s">
        <v>83</v>
      </c>
      <c r="D3396" s="3" t="s">
        <v>9021</v>
      </c>
      <c r="E3396" s="3" t="s">
        <v>9022</v>
      </c>
      <c r="F3396" s="3" t="s">
        <v>9023</v>
      </c>
      <c r="G3396" s="3" t="s">
        <v>9024</v>
      </c>
      <c r="H3396" s="2" t="s">
        <v>765</v>
      </c>
      <c r="I3396" s="4">
        <v>0</v>
      </c>
      <c r="J3396" s="5">
        <v>710000000</v>
      </c>
      <c r="K3396" s="5" t="s">
        <v>89</v>
      </c>
      <c r="L3396" s="2" t="s">
        <v>1738</v>
      </c>
      <c r="M3396" s="6" t="s">
        <v>1481</v>
      </c>
      <c r="N3396" s="7" t="s">
        <v>92</v>
      </c>
      <c r="O3396" s="7" t="s">
        <v>93</v>
      </c>
      <c r="P3396" s="3" t="s">
        <v>673</v>
      </c>
      <c r="Q3396" s="8" t="s">
        <v>117</v>
      </c>
      <c r="R3396" s="7" t="s">
        <v>118</v>
      </c>
      <c r="S3396" s="9">
        <v>1</v>
      </c>
      <c r="T3396" s="9">
        <v>599107.14</v>
      </c>
      <c r="U3396" s="9">
        <f t="shared" ref="U3396:U3397" si="2401">T3396*S3396</f>
        <v>599107.14</v>
      </c>
      <c r="V3396" s="9">
        <f t="shared" ref="V3396:V3397" si="2402">U3396*1.12</f>
        <v>670999.99680000008</v>
      </c>
      <c r="W3396" s="7"/>
      <c r="X3396" s="2">
        <v>2016</v>
      </c>
      <c r="Y3396" s="2"/>
    </row>
    <row r="3397" spans="1:25" s="11" customFormat="1" ht="89.25" customHeight="1" outlineLevel="1" x14ac:dyDescent="0.25">
      <c r="A3397" s="16"/>
      <c r="B3397" s="2" t="s">
        <v>9020</v>
      </c>
      <c r="C3397" s="3" t="s">
        <v>83</v>
      </c>
      <c r="D3397" s="3" t="s">
        <v>9021</v>
      </c>
      <c r="E3397" s="3" t="s">
        <v>9022</v>
      </c>
      <c r="F3397" s="3" t="s">
        <v>9023</v>
      </c>
      <c r="G3397" s="3" t="s">
        <v>9030</v>
      </c>
      <c r="H3397" s="2" t="s">
        <v>765</v>
      </c>
      <c r="I3397" s="4">
        <v>0</v>
      </c>
      <c r="J3397" s="5">
        <v>710000000</v>
      </c>
      <c r="K3397" s="5" t="s">
        <v>89</v>
      </c>
      <c r="L3397" s="2" t="s">
        <v>1738</v>
      </c>
      <c r="M3397" s="6" t="s">
        <v>1481</v>
      </c>
      <c r="N3397" s="7" t="s">
        <v>92</v>
      </c>
      <c r="O3397" s="7" t="s">
        <v>93</v>
      </c>
      <c r="P3397" s="3" t="s">
        <v>673</v>
      </c>
      <c r="Q3397" s="8" t="s">
        <v>117</v>
      </c>
      <c r="R3397" s="7" t="s">
        <v>118</v>
      </c>
      <c r="S3397" s="9">
        <v>1</v>
      </c>
      <c r="T3397" s="9">
        <v>457678.57</v>
      </c>
      <c r="U3397" s="9">
        <f t="shared" si="2401"/>
        <v>457678.57</v>
      </c>
      <c r="V3397" s="9">
        <f t="shared" si="2402"/>
        <v>512599.99840000004</v>
      </c>
      <c r="W3397" s="7"/>
      <c r="X3397" s="2">
        <v>2016</v>
      </c>
      <c r="Y3397" s="2"/>
    </row>
    <row r="3398" spans="1:25" s="11" customFormat="1" ht="89.25" customHeight="1" outlineLevel="1" x14ac:dyDescent="0.25">
      <c r="A3398" s="16"/>
      <c r="B3398" s="2" t="s">
        <v>9025</v>
      </c>
      <c r="C3398" s="3" t="s">
        <v>83</v>
      </c>
      <c r="D3398" s="3" t="s">
        <v>9027</v>
      </c>
      <c r="E3398" s="3" t="s">
        <v>9028</v>
      </c>
      <c r="F3398" s="3" t="s">
        <v>9029</v>
      </c>
      <c r="G3398" s="3" t="s">
        <v>9033</v>
      </c>
      <c r="H3398" s="2" t="s">
        <v>765</v>
      </c>
      <c r="I3398" s="4">
        <v>0</v>
      </c>
      <c r="J3398" s="5">
        <v>710000000</v>
      </c>
      <c r="K3398" s="5" t="s">
        <v>89</v>
      </c>
      <c r="L3398" s="2" t="s">
        <v>1738</v>
      </c>
      <c r="M3398" s="6" t="s">
        <v>1481</v>
      </c>
      <c r="N3398" s="7" t="s">
        <v>92</v>
      </c>
      <c r="O3398" s="7" t="s">
        <v>93</v>
      </c>
      <c r="P3398" s="3" t="s">
        <v>673</v>
      </c>
      <c r="Q3398" s="8" t="s">
        <v>117</v>
      </c>
      <c r="R3398" s="7" t="s">
        <v>118</v>
      </c>
      <c r="S3398" s="9">
        <v>1</v>
      </c>
      <c r="T3398" s="9">
        <v>372857.14</v>
      </c>
      <c r="U3398" s="9">
        <f t="shared" ref="U3398" si="2403">T3398*S3398</f>
        <v>372857.14</v>
      </c>
      <c r="V3398" s="9">
        <f t="shared" ref="V3398" si="2404">U3398*1.12</f>
        <v>417599.99680000008</v>
      </c>
      <c r="W3398" s="7"/>
      <c r="X3398" s="2">
        <v>2016</v>
      </c>
      <c r="Y3398" s="2"/>
    </row>
    <row r="3399" spans="1:25" s="11" customFormat="1" ht="89.25" customHeight="1" outlineLevel="1" x14ac:dyDescent="0.25">
      <c r="A3399" s="16"/>
      <c r="B3399" s="2" t="s">
        <v>9026</v>
      </c>
      <c r="C3399" s="3" t="s">
        <v>83</v>
      </c>
      <c r="D3399" s="3" t="s">
        <v>9027</v>
      </c>
      <c r="E3399" s="3" t="s">
        <v>9028</v>
      </c>
      <c r="F3399" s="3" t="s">
        <v>9029</v>
      </c>
      <c r="G3399" s="3" t="s">
        <v>9034</v>
      </c>
      <c r="H3399" s="2" t="s">
        <v>765</v>
      </c>
      <c r="I3399" s="4">
        <v>0</v>
      </c>
      <c r="J3399" s="5">
        <v>710000000</v>
      </c>
      <c r="K3399" s="5" t="s">
        <v>89</v>
      </c>
      <c r="L3399" s="2" t="s">
        <v>1738</v>
      </c>
      <c r="M3399" s="6" t="s">
        <v>1481</v>
      </c>
      <c r="N3399" s="7" t="s">
        <v>92</v>
      </c>
      <c r="O3399" s="7" t="s">
        <v>93</v>
      </c>
      <c r="P3399" s="3" t="s">
        <v>673</v>
      </c>
      <c r="Q3399" s="8" t="s">
        <v>117</v>
      </c>
      <c r="R3399" s="7" t="s">
        <v>118</v>
      </c>
      <c r="S3399" s="9">
        <v>1</v>
      </c>
      <c r="T3399" s="9">
        <v>138660.71</v>
      </c>
      <c r="U3399" s="9">
        <f t="shared" ref="U3399" si="2405">T3399*S3399</f>
        <v>138660.71</v>
      </c>
      <c r="V3399" s="9">
        <f t="shared" ref="V3399" si="2406">U3399*1.12</f>
        <v>155299.9952</v>
      </c>
      <c r="W3399" s="7"/>
      <c r="X3399" s="2">
        <v>2016</v>
      </c>
      <c r="Y3399" s="2"/>
    </row>
    <row r="3400" spans="1:25" s="11" customFormat="1" ht="89.25" customHeight="1" outlineLevel="1" x14ac:dyDescent="0.25">
      <c r="A3400" s="16"/>
      <c r="B3400" s="2" t="s">
        <v>9031</v>
      </c>
      <c r="C3400" s="3" t="s">
        <v>83</v>
      </c>
      <c r="D3400" s="3" t="s">
        <v>9027</v>
      </c>
      <c r="E3400" s="3" t="s">
        <v>9028</v>
      </c>
      <c r="F3400" s="3" t="s">
        <v>9029</v>
      </c>
      <c r="G3400" s="3" t="s">
        <v>9035</v>
      </c>
      <c r="H3400" s="2" t="s">
        <v>765</v>
      </c>
      <c r="I3400" s="4">
        <v>0</v>
      </c>
      <c r="J3400" s="5">
        <v>710000000</v>
      </c>
      <c r="K3400" s="5" t="s">
        <v>89</v>
      </c>
      <c r="L3400" s="2" t="s">
        <v>1738</v>
      </c>
      <c r="M3400" s="6" t="s">
        <v>1481</v>
      </c>
      <c r="N3400" s="7" t="s">
        <v>92</v>
      </c>
      <c r="O3400" s="7" t="s">
        <v>93</v>
      </c>
      <c r="P3400" s="3" t="s">
        <v>673</v>
      </c>
      <c r="Q3400" s="8" t="s">
        <v>117</v>
      </c>
      <c r="R3400" s="7" t="s">
        <v>118</v>
      </c>
      <c r="S3400" s="9">
        <v>1</v>
      </c>
      <c r="T3400" s="9">
        <v>138660.71</v>
      </c>
      <c r="U3400" s="9">
        <f t="shared" ref="U3400" si="2407">T3400*S3400</f>
        <v>138660.71</v>
      </c>
      <c r="V3400" s="9">
        <f t="shared" ref="V3400" si="2408">U3400*1.12</f>
        <v>155299.9952</v>
      </c>
      <c r="W3400" s="7"/>
      <c r="X3400" s="2">
        <v>2016</v>
      </c>
      <c r="Y3400" s="2"/>
    </row>
    <row r="3401" spans="1:25" s="11" customFormat="1" ht="89.25" customHeight="1" outlineLevel="1" x14ac:dyDescent="0.25">
      <c r="A3401" s="16"/>
      <c r="B3401" s="2" t="s">
        <v>9032</v>
      </c>
      <c r="C3401" s="3" t="s">
        <v>83</v>
      </c>
      <c r="D3401" s="3" t="s">
        <v>9027</v>
      </c>
      <c r="E3401" s="3" t="s">
        <v>9028</v>
      </c>
      <c r="F3401" s="3" t="s">
        <v>9029</v>
      </c>
      <c r="G3401" s="3" t="s">
        <v>9037</v>
      </c>
      <c r="H3401" s="2" t="s">
        <v>765</v>
      </c>
      <c r="I3401" s="4">
        <v>0</v>
      </c>
      <c r="J3401" s="5">
        <v>710000000</v>
      </c>
      <c r="K3401" s="5" t="s">
        <v>89</v>
      </c>
      <c r="L3401" s="2" t="s">
        <v>1738</v>
      </c>
      <c r="M3401" s="6" t="s">
        <v>1481</v>
      </c>
      <c r="N3401" s="7" t="s">
        <v>92</v>
      </c>
      <c r="O3401" s="7" t="s">
        <v>93</v>
      </c>
      <c r="P3401" s="3" t="s">
        <v>673</v>
      </c>
      <c r="Q3401" s="8" t="s">
        <v>117</v>
      </c>
      <c r="R3401" s="7" t="s">
        <v>118</v>
      </c>
      <c r="S3401" s="9">
        <v>1</v>
      </c>
      <c r="T3401" s="9">
        <v>746875</v>
      </c>
      <c r="U3401" s="9">
        <f t="shared" ref="U3401" si="2409">T3401*S3401</f>
        <v>746875</v>
      </c>
      <c r="V3401" s="9">
        <f t="shared" ref="V3401" si="2410">U3401*1.12</f>
        <v>836500.00000000012</v>
      </c>
      <c r="W3401" s="7"/>
      <c r="X3401" s="2">
        <v>2016</v>
      </c>
      <c r="Y3401" s="2"/>
    </row>
    <row r="3402" spans="1:25" s="11" customFormat="1" ht="89.25" customHeight="1" outlineLevel="1" x14ac:dyDescent="0.25">
      <c r="A3402" s="16"/>
      <c r="B3402" s="2" t="s">
        <v>9036</v>
      </c>
      <c r="C3402" s="3" t="s">
        <v>83</v>
      </c>
      <c r="D3402" s="3" t="s">
        <v>9027</v>
      </c>
      <c r="E3402" s="3" t="s">
        <v>9028</v>
      </c>
      <c r="F3402" s="3" t="s">
        <v>9029</v>
      </c>
      <c r="G3402" s="3" t="s">
        <v>9038</v>
      </c>
      <c r="H3402" s="2" t="s">
        <v>765</v>
      </c>
      <c r="I3402" s="4">
        <v>0</v>
      </c>
      <c r="J3402" s="5">
        <v>710000000</v>
      </c>
      <c r="K3402" s="5" t="s">
        <v>89</v>
      </c>
      <c r="L3402" s="2" t="s">
        <v>1738</v>
      </c>
      <c r="M3402" s="6" t="s">
        <v>1481</v>
      </c>
      <c r="N3402" s="7" t="s">
        <v>92</v>
      </c>
      <c r="O3402" s="7" t="s">
        <v>93</v>
      </c>
      <c r="P3402" s="3" t="s">
        <v>673</v>
      </c>
      <c r="Q3402" s="8" t="s">
        <v>117</v>
      </c>
      <c r="R3402" s="7" t="s">
        <v>118</v>
      </c>
      <c r="S3402" s="9">
        <v>1</v>
      </c>
      <c r="T3402" s="9">
        <v>631071.43000000005</v>
      </c>
      <c r="U3402" s="9">
        <f t="shared" ref="U3402" si="2411">T3402*S3402</f>
        <v>631071.43000000005</v>
      </c>
      <c r="V3402" s="9">
        <f t="shared" ref="V3402" si="2412">U3402*1.12</f>
        <v>706800.00160000008</v>
      </c>
      <c r="W3402" s="7"/>
      <c r="X3402" s="2">
        <v>2016</v>
      </c>
      <c r="Y3402" s="2"/>
    </row>
    <row r="3403" spans="1:25" s="11" customFormat="1" ht="89.25" customHeight="1" outlineLevel="1" x14ac:dyDescent="0.25">
      <c r="A3403" s="16"/>
      <c r="B3403" s="2" t="s">
        <v>9039</v>
      </c>
      <c r="C3403" s="3" t="s">
        <v>83</v>
      </c>
      <c r="D3403" s="3" t="s">
        <v>9042</v>
      </c>
      <c r="E3403" s="3" t="s">
        <v>9043</v>
      </c>
      <c r="F3403" s="3" t="s">
        <v>9044</v>
      </c>
      <c r="G3403" s="3" t="s">
        <v>9045</v>
      </c>
      <c r="H3403" s="2" t="s">
        <v>765</v>
      </c>
      <c r="I3403" s="4">
        <v>0</v>
      </c>
      <c r="J3403" s="5">
        <v>710000000</v>
      </c>
      <c r="K3403" s="5" t="s">
        <v>89</v>
      </c>
      <c r="L3403" s="2" t="s">
        <v>1738</v>
      </c>
      <c r="M3403" s="6" t="s">
        <v>1481</v>
      </c>
      <c r="N3403" s="7" t="s">
        <v>92</v>
      </c>
      <c r="O3403" s="7" t="s">
        <v>93</v>
      </c>
      <c r="P3403" s="3" t="s">
        <v>673</v>
      </c>
      <c r="Q3403" s="8" t="s">
        <v>117</v>
      </c>
      <c r="R3403" s="7" t="s">
        <v>118</v>
      </c>
      <c r="S3403" s="9">
        <v>1</v>
      </c>
      <c r="T3403" s="9">
        <v>209821.42800000001</v>
      </c>
      <c r="U3403" s="9">
        <f t="shared" ref="U3403" si="2413">T3403*S3403</f>
        <v>209821.42800000001</v>
      </c>
      <c r="V3403" s="9">
        <f t="shared" ref="V3403" si="2414">U3403*1.12</f>
        <v>234999.99936000005</v>
      </c>
      <c r="W3403" s="7"/>
      <c r="X3403" s="2">
        <v>2016</v>
      </c>
      <c r="Y3403" s="2"/>
    </row>
    <row r="3404" spans="1:25" s="11" customFormat="1" ht="89.25" customHeight="1" outlineLevel="1" x14ac:dyDescent="0.25">
      <c r="A3404" s="16"/>
      <c r="B3404" s="2" t="s">
        <v>9040</v>
      </c>
      <c r="C3404" s="3" t="s">
        <v>83</v>
      </c>
      <c r="D3404" s="3" t="s">
        <v>9042</v>
      </c>
      <c r="E3404" s="3" t="s">
        <v>9043</v>
      </c>
      <c r="F3404" s="3" t="s">
        <v>9044</v>
      </c>
      <c r="G3404" s="3" t="s">
        <v>9047</v>
      </c>
      <c r="H3404" s="2" t="s">
        <v>765</v>
      </c>
      <c r="I3404" s="4">
        <v>0</v>
      </c>
      <c r="J3404" s="5">
        <v>710000000</v>
      </c>
      <c r="K3404" s="5" t="s">
        <v>89</v>
      </c>
      <c r="L3404" s="2" t="s">
        <v>1738</v>
      </c>
      <c r="M3404" s="6" t="s">
        <v>1481</v>
      </c>
      <c r="N3404" s="7" t="s">
        <v>92</v>
      </c>
      <c r="O3404" s="7" t="s">
        <v>93</v>
      </c>
      <c r="P3404" s="3" t="s">
        <v>673</v>
      </c>
      <c r="Q3404" s="8" t="s">
        <v>117</v>
      </c>
      <c r="R3404" s="7" t="s">
        <v>118</v>
      </c>
      <c r="S3404" s="9">
        <v>1</v>
      </c>
      <c r="T3404" s="9">
        <v>198482.14</v>
      </c>
      <c r="U3404" s="9">
        <f t="shared" ref="U3404" si="2415">T3404*S3404</f>
        <v>198482.14</v>
      </c>
      <c r="V3404" s="9">
        <f t="shared" ref="V3404" si="2416">U3404*1.12</f>
        <v>222299.99680000002</v>
      </c>
      <c r="W3404" s="7"/>
      <c r="X3404" s="2">
        <v>2016</v>
      </c>
      <c r="Y3404" s="2"/>
    </row>
    <row r="3405" spans="1:25" s="11" customFormat="1" ht="89.25" customHeight="1" outlineLevel="1" x14ac:dyDescent="0.25">
      <c r="A3405" s="16"/>
      <c r="B3405" s="2" t="s">
        <v>9041</v>
      </c>
      <c r="C3405" s="3" t="s">
        <v>83</v>
      </c>
      <c r="D3405" s="3" t="s">
        <v>9049</v>
      </c>
      <c r="E3405" s="3" t="s">
        <v>9050</v>
      </c>
      <c r="F3405" s="3" t="s">
        <v>9051</v>
      </c>
      <c r="G3405" s="3" t="s">
        <v>9052</v>
      </c>
      <c r="H3405" s="2" t="s">
        <v>765</v>
      </c>
      <c r="I3405" s="4">
        <v>0</v>
      </c>
      <c r="J3405" s="5">
        <v>710000000</v>
      </c>
      <c r="K3405" s="5" t="s">
        <v>89</v>
      </c>
      <c r="L3405" s="2" t="s">
        <v>1738</v>
      </c>
      <c r="M3405" s="6" t="s">
        <v>1481</v>
      </c>
      <c r="N3405" s="7" t="s">
        <v>92</v>
      </c>
      <c r="O3405" s="7" t="s">
        <v>93</v>
      </c>
      <c r="P3405" s="3" t="s">
        <v>673</v>
      </c>
      <c r="Q3405" s="8" t="s">
        <v>117</v>
      </c>
      <c r="R3405" s="7" t="s">
        <v>118</v>
      </c>
      <c r="S3405" s="9">
        <v>2</v>
      </c>
      <c r="T3405" s="9">
        <v>78125</v>
      </c>
      <c r="U3405" s="9">
        <f t="shared" ref="U3405" si="2417">T3405*S3405</f>
        <v>156250</v>
      </c>
      <c r="V3405" s="9">
        <f t="shared" ref="V3405" si="2418">U3405*1.12</f>
        <v>175000.00000000003</v>
      </c>
      <c r="W3405" s="7"/>
      <c r="X3405" s="2">
        <v>2016</v>
      </c>
      <c r="Y3405" s="2"/>
    </row>
    <row r="3406" spans="1:25" s="11" customFormat="1" ht="89.25" customHeight="1" outlineLevel="1" x14ac:dyDescent="0.25">
      <c r="A3406" s="16"/>
      <c r="B3406" s="2" t="s">
        <v>9046</v>
      </c>
      <c r="C3406" s="3" t="s">
        <v>83</v>
      </c>
      <c r="D3406" s="3" t="s">
        <v>9053</v>
      </c>
      <c r="E3406" s="3" t="s">
        <v>9054</v>
      </c>
      <c r="F3406" s="3" t="s">
        <v>9055</v>
      </c>
      <c r="G3406" s="3" t="s">
        <v>9056</v>
      </c>
      <c r="H3406" s="2" t="s">
        <v>765</v>
      </c>
      <c r="I3406" s="4">
        <v>0</v>
      </c>
      <c r="J3406" s="5">
        <v>710000000</v>
      </c>
      <c r="K3406" s="5" t="s">
        <v>89</v>
      </c>
      <c r="L3406" s="2" t="s">
        <v>1738</v>
      </c>
      <c r="M3406" s="6" t="s">
        <v>1481</v>
      </c>
      <c r="N3406" s="7" t="s">
        <v>92</v>
      </c>
      <c r="O3406" s="7" t="s">
        <v>93</v>
      </c>
      <c r="P3406" s="3" t="s">
        <v>673</v>
      </c>
      <c r="Q3406" s="8" t="s">
        <v>117</v>
      </c>
      <c r="R3406" s="7" t="s">
        <v>118</v>
      </c>
      <c r="S3406" s="9">
        <v>1</v>
      </c>
      <c r="T3406" s="9">
        <v>150267.85999999999</v>
      </c>
      <c r="U3406" s="9">
        <f t="shared" ref="U3406" si="2419">T3406*S3406</f>
        <v>150267.85999999999</v>
      </c>
      <c r="V3406" s="9">
        <f t="shared" ref="V3406" si="2420">U3406*1.12</f>
        <v>168300.00320000001</v>
      </c>
      <c r="W3406" s="7"/>
      <c r="X3406" s="2">
        <v>2016</v>
      </c>
      <c r="Y3406" s="2"/>
    </row>
    <row r="3407" spans="1:25" s="11" customFormat="1" ht="89.25" customHeight="1" outlineLevel="1" x14ac:dyDescent="0.25">
      <c r="A3407" s="16"/>
      <c r="B3407" s="2" t="s">
        <v>9048</v>
      </c>
      <c r="C3407" s="3" t="s">
        <v>83</v>
      </c>
      <c r="D3407" s="3" t="s">
        <v>3220</v>
      </c>
      <c r="E3407" s="3" t="s">
        <v>3221</v>
      </c>
      <c r="F3407" s="3" t="s">
        <v>3222</v>
      </c>
      <c r="G3407" s="3" t="s">
        <v>9112</v>
      </c>
      <c r="H3407" s="2" t="s">
        <v>694</v>
      </c>
      <c r="I3407" s="4">
        <v>0</v>
      </c>
      <c r="J3407" s="5">
        <v>710000000</v>
      </c>
      <c r="K3407" s="5" t="s">
        <v>89</v>
      </c>
      <c r="L3407" s="5" t="s">
        <v>1738</v>
      </c>
      <c r="M3407" s="6" t="s">
        <v>1481</v>
      </c>
      <c r="N3407" s="7" t="s">
        <v>92</v>
      </c>
      <c r="O3407" s="7" t="s">
        <v>93</v>
      </c>
      <c r="P3407" s="3" t="s">
        <v>673</v>
      </c>
      <c r="Q3407" s="8" t="s">
        <v>3085</v>
      </c>
      <c r="R3407" s="7" t="s">
        <v>3086</v>
      </c>
      <c r="S3407" s="9">
        <v>65.67</v>
      </c>
      <c r="T3407" s="9">
        <v>17770</v>
      </c>
      <c r="U3407" s="9">
        <v>0</v>
      </c>
      <c r="V3407" s="9">
        <f t="shared" ref="V3407" si="2421">U3407*1.12</f>
        <v>0</v>
      </c>
      <c r="W3407" s="7"/>
      <c r="X3407" s="2">
        <v>2016</v>
      </c>
      <c r="Y3407" s="2">
        <v>7.11</v>
      </c>
    </row>
    <row r="3408" spans="1:25" s="11" customFormat="1" ht="89.25" customHeight="1" outlineLevel="1" x14ac:dyDescent="0.25">
      <c r="A3408" s="16"/>
      <c r="B3408" s="2" t="s">
        <v>9307</v>
      </c>
      <c r="C3408" s="3" t="s">
        <v>83</v>
      </c>
      <c r="D3408" s="3" t="s">
        <v>3220</v>
      </c>
      <c r="E3408" s="3" t="s">
        <v>3221</v>
      </c>
      <c r="F3408" s="3" t="s">
        <v>3222</v>
      </c>
      <c r="G3408" s="3" t="s">
        <v>9112</v>
      </c>
      <c r="H3408" s="2" t="s">
        <v>765</v>
      </c>
      <c r="I3408" s="4">
        <v>0</v>
      </c>
      <c r="J3408" s="5">
        <v>710000000</v>
      </c>
      <c r="K3408" s="5" t="s">
        <v>89</v>
      </c>
      <c r="L3408" s="5" t="s">
        <v>1872</v>
      </c>
      <c r="M3408" s="6" t="s">
        <v>1481</v>
      </c>
      <c r="N3408" s="7" t="s">
        <v>92</v>
      </c>
      <c r="O3408" s="7" t="s">
        <v>93</v>
      </c>
      <c r="P3408" s="3" t="s">
        <v>673</v>
      </c>
      <c r="Q3408" s="8" t="s">
        <v>3085</v>
      </c>
      <c r="R3408" s="7" t="s">
        <v>3086</v>
      </c>
      <c r="S3408" s="9">
        <v>65.67</v>
      </c>
      <c r="T3408" s="9">
        <v>17770</v>
      </c>
      <c r="U3408" s="9">
        <f t="shared" ref="U3408" si="2422">T3408*S3408</f>
        <v>1166955.9000000001</v>
      </c>
      <c r="V3408" s="9">
        <f t="shared" ref="V3408" si="2423">U3408*1.12</f>
        <v>1306990.6080000002</v>
      </c>
      <c r="W3408" s="7"/>
      <c r="X3408" s="2">
        <v>2016</v>
      </c>
      <c r="Y3408" s="2"/>
    </row>
    <row r="3409" spans="1:25" s="11" customFormat="1" ht="89.25" customHeight="1" outlineLevel="1" x14ac:dyDescent="0.25">
      <c r="A3409" s="16"/>
      <c r="B3409" s="2" t="s">
        <v>9057</v>
      </c>
      <c r="C3409" s="3" t="s">
        <v>83</v>
      </c>
      <c r="D3409" s="3" t="s">
        <v>2312</v>
      </c>
      <c r="E3409" s="3" t="s">
        <v>2300</v>
      </c>
      <c r="F3409" s="3" t="s">
        <v>2313</v>
      </c>
      <c r="G3409" s="3" t="s">
        <v>9063</v>
      </c>
      <c r="H3409" s="2" t="s">
        <v>694</v>
      </c>
      <c r="I3409" s="4">
        <v>0</v>
      </c>
      <c r="J3409" s="5">
        <v>710000000</v>
      </c>
      <c r="K3409" s="5" t="s">
        <v>89</v>
      </c>
      <c r="L3409" s="5" t="s">
        <v>1738</v>
      </c>
      <c r="M3409" s="6" t="s">
        <v>1481</v>
      </c>
      <c r="N3409" s="7" t="s">
        <v>92</v>
      </c>
      <c r="O3409" s="7" t="s">
        <v>93</v>
      </c>
      <c r="P3409" s="3" t="s">
        <v>673</v>
      </c>
      <c r="Q3409" s="8" t="s">
        <v>117</v>
      </c>
      <c r="R3409" s="7" t="s">
        <v>118</v>
      </c>
      <c r="S3409" s="9">
        <v>2</v>
      </c>
      <c r="T3409" s="9">
        <v>2946.43</v>
      </c>
      <c r="U3409" s="9">
        <f t="shared" ref="U3409" si="2424">T3409*S3409</f>
        <v>5892.86</v>
      </c>
      <c r="V3409" s="9">
        <f t="shared" ref="V3409" si="2425">U3409*1.12</f>
        <v>6600.0032000000001</v>
      </c>
      <c r="W3409" s="7"/>
      <c r="X3409" s="2">
        <v>2016</v>
      </c>
      <c r="Y3409" s="2"/>
    </row>
    <row r="3410" spans="1:25" s="11" customFormat="1" ht="89.25" customHeight="1" outlineLevel="1" x14ac:dyDescent="0.25">
      <c r="A3410" s="16"/>
      <c r="B3410" s="2" t="s">
        <v>9059</v>
      </c>
      <c r="C3410" s="3" t="s">
        <v>83</v>
      </c>
      <c r="D3410" s="3" t="s">
        <v>2312</v>
      </c>
      <c r="E3410" s="3" t="s">
        <v>2300</v>
      </c>
      <c r="F3410" s="3" t="s">
        <v>2313</v>
      </c>
      <c r="G3410" s="3" t="s">
        <v>9062</v>
      </c>
      <c r="H3410" s="2" t="s">
        <v>694</v>
      </c>
      <c r="I3410" s="4">
        <v>0</v>
      </c>
      <c r="J3410" s="5">
        <v>710000000</v>
      </c>
      <c r="K3410" s="5" t="s">
        <v>89</v>
      </c>
      <c r="L3410" s="5" t="s">
        <v>1738</v>
      </c>
      <c r="M3410" s="6" t="s">
        <v>1481</v>
      </c>
      <c r="N3410" s="7" t="s">
        <v>92</v>
      </c>
      <c r="O3410" s="7" t="s">
        <v>93</v>
      </c>
      <c r="P3410" s="3" t="s">
        <v>673</v>
      </c>
      <c r="Q3410" s="8" t="s">
        <v>117</v>
      </c>
      <c r="R3410" s="7" t="s">
        <v>118</v>
      </c>
      <c r="S3410" s="9">
        <v>14</v>
      </c>
      <c r="T3410" s="9">
        <v>2500</v>
      </c>
      <c r="U3410" s="9">
        <f t="shared" ref="U3410" si="2426">T3410*S3410</f>
        <v>35000</v>
      </c>
      <c r="V3410" s="9">
        <f t="shared" ref="V3410" si="2427">U3410*1.12</f>
        <v>39200.000000000007</v>
      </c>
      <c r="W3410" s="7"/>
      <c r="X3410" s="2">
        <v>2016</v>
      </c>
      <c r="Y3410" s="2"/>
    </row>
    <row r="3411" spans="1:25" s="11" customFormat="1" ht="89.25" customHeight="1" outlineLevel="1" x14ac:dyDescent="0.25">
      <c r="A3411" s="16"/>
      <c r="B3411" s="2" t="s">
        <v>9060</v>
      </c>
      <c r="C3411" s="3" t="s">
        <v>83</v>
      </c>
      <c r="D3411" s="3" t="s">
        <v>2312</v>
      </c>
      <c r="E3411" s="3" t="s">
        <v>2300</v>
      </c>
      <c r="F3411" s="3" t="s">
        <v>2313</v>
      </c>
      <c r="G3411" s="3" t="s">
        <v>9065</v>
      </c>
      <c r="H3411" s="2" t="s">
        <v>694</v>
      </c>
      <c r="I3411" s="4">
        <v>0</v>
      </c>
      <c r="J3411" s="5">
        <v>710000000</v>
      </c>
      <c r="K3411" s="5" t="s">
        <v>89</v>
      </c>
      <c r="L3411" s="5" t="s">
        <v>1738</v>
      </c>
      <c r="M3411" s="6" t="s">
        <v>1481</v>
      </c>
      <c r="N3411" s="7" t="s">
        <v>92</v>
      </c>
      <c r="O3411" s="7" t="s">
        <v>93</v>
      </c>
      <c r="P3411" s="3" t="s">
        <v>673</v>
      </c>
      <c r="Q3411" s="8" t="s">
        <v>117</v>
      </c>
      <c r="R3411" s="7" t="s">
        <v>118</v>
      </c>
      <c r="S3411" s="9">
        <v>6</v>
      </c>
      <c r="T3411" s="9">
        <v>8750</v>
      </c>
      <c r="U3411" s="9">
        <f t="shared" ref="U3411" si="2428">T3411*S3411</f>
        <v>52500</v>
      </c>
      <c r="V3411" s="9">
        <f t="shared" ref="V3411" si="2429">U3411*1.12</f>
        <v>58800.000000000007</v>
      </c>
      <c r="W3411" s="7"/>
      <c r="X3411" s="2">
        <v>2016</v>
      </c>
      <c r="Y3411" s="2"/>
    </row>
    <row r="3412" spans="1:25" s="11" customFormat="1" ht="89.25" customHeight="1" outlineLevel="1" x14ac:dyDescent="0.25">
      <c r="A3412" s="16"/>
      <c r="B3412" s="2" t="s">
        <v>9061</v>
      </c>
      <c r="C3412" s="3" t="s">
        <v>83</v>
      </c>
      <c r="D3412" s="3" t="s">
        <v>9069</v>
      </c>
      <c r="E3412" s="3" t="s">
        <v>9070</v>
      </c>
      <c r="F3412" s="3" t="s">
        <v>9071</v>
      </c>
      <c r="G3412" s="3" t="s">
        <v>9083</v>
      </c>
      <c r="H3412" s="2" t="s">
        <v>694</v>
      </c>
      <c r="I3412" s="4">
        <v>0</v>
      </c>
      <c r="J3412" s="5">
        <v>710000000</v>
      </c>
      <c r="K3412" s="5" t="s">
        <v>89</v>
      </c>
      <c r="L3412" s="5" t="s">
        <v>1738</v>
      </c>
      <c r="M3412" s="6" t="s">
        <v>1481</v>
      </c>
      <c r="N3412" s="7" t="s">
        <v>92</v>
      </c>
      <c r="O3412" s="7" t="s">
        <v>93</v>
      </c>
      <c r="P3412" s="3" t="s">
        <v>673</v>
      </c>
      <c r="Q3412" s="8" t="s">
        <v>117</v>
      </c>
      <c r="R3412" s="7" t="s">
        <v>118</v>
      </c>
      <c r="S3412" s="9">
        <v>20</v>
      </c>
      <c r="T3412" s="9">
        <v>12115.19</v>
      </c>
      <c r="U3412" s="9">
        <v>0</v>
      </c>
      <c r="V3412" s="9">
        <f t="shared" ref="V3412:V3415" si="2430">U3412*1.12</f>
        <v>0</v>
      </c>
      <c r="W3412" s="7"/>
      <c r="X3412" s="2">
        <v>2016</v>
      </c>
      <c r="Y3412" s="2" t="s">
        <v>2338</v>
      </c>
    </row>
    <row r="3413" spans="1:25" s="11" customFormat="1" ht="89.25" customHeight="1" outlineLevel="1" x14ac:dyDescent="0.25">
      <c r="A3413" s="16"/>
      <c r="B3413" s="2" t="s">
        <v>9302</v>
      </c>
      <c r="C3413" s="3" t="s">
        <v>83</v>
      </c>
      <c r="D3413" s="3" t="s">
        <v>9069</v>
      </c>
      <c r="E3413" s="3" t="s">
        <v>9070</v>
      </c>
      <c r="F3413" s="3" t="s">
        <v>9071</v>
      </c>
      <c r="G3413" s="3" t="s">
        <v>9083</v>
      </c>
      <c r="H3413" s="2" t="s">
        <v>694</v>
      </c>
      <c r="I3413" s="4">
        <v>0</v>
      </c>
      <c r="J3413" s="5">
        <v>710000000</v>
      </c>
      <c r="K3413" s="5" t="s">
        <v>89</v>
      </c>
      <c r="L3413" s="5" t="s">
        <v>1738</v>
      </c>
      <c r="M3413" s="6" t="s">
        <v>1481</v>
      </c>
      <c r="N3413" s="7" t="s">
        <v>92</v>
      </c>
      <c r="O3413" s="7" t="s">
        <v>93</v>
      </c>
      <c r="P3413" s="3" t="s">
        <v>673</v>
      </c>
      <c r="Q3413" s="8" t="s">
        <v>117</v>
      </c>
      <c r="R3413" s="7" t="s">
        <v>118</v>
      </c>
      <c r="S3413" s="9">
        <f>20+20</f>
        <v>40</v>
      </c>
      <c r="T3413" s="9">
        <v>12115.19</v>
      </c>
      <c r="U3413" s="9">
        <v>0</v>
      </c>
      <c r="V3413" s="9">
        <f>U3413*1.12</f>
        <v>0</v>
      </c>
      <c r="W3413" s="7"/>
      <c r="X3413" s="2">
        <v>2016</v>
      </c>
      <c r="Y3413" s="2" t="s">
        <v>2338</v>
      </c>
    </row>
    <row r="3414" spans="1:25" s="11" customFormat="1" ht="89.25" customHeight="1" outlineLevel="1" x14ac:dyDescent="0.25">
      <c r="A3414" s="16"/>
      <c r="B3414" s="2" t="s">
        <v>9589</v>
      </c>
      <c r="C3414" s="3" t="s">
        <v>83</v>
      </c>
      <c r="D3414" s="3" t="s">
        <v>9069</v>
      </c>
      <c r="E3414" s="3" t="s">
        <v>9070</v>
      </c>
      <c r="F3414" s="3" t="s">
        <v>9071</v>
      </c>
      <c r="G3414" s="3" t="s">
        <v>9083</v>
      </c>
      <c r="H3414" s="2" t="s">
        <v>694</v>
      </c>
      <c r="I3414" s="4">
        <v>0</v>
      </c>
      <c r="J3414" s="5">
        <v>710000000</v>
      </c>
      <c r="K3414" s="5" t="s">
        <v>89</v>
      </c>
      <c r="L3414" s="5" t="s">
        <v>1738</v>
      </c>
      <c r="M3414" s="6" t="s">
        <v>1481</v>
      </c>
      <c r="N3414" s="7" t="s">
        <v>92</v>
      </c>
      <c r="O3414" s="7" t="s">
        <v>93</v>
      </c>
      <c r="P3414" s="3" t="s">
        <v>673</v>
      </c>
      <c r="Q3414" s="8" t="s">
        <v>117</v>
      </c>
      <c r="R3414" s="7" t="s">
        <v>118</v>
      </c>
      <c r="S3414" s="9">
        <v>20</v>
      </c>
      <c r="T3414" s="9">
        <v>12115.19</v>
      </c>
      <c r="U3414" s="9">
        <f t="shared" ref="U3414" si="2431">T3414*S3414</f>
        <v>242303.80000000002</v>
      </c>
      <c r="V3414" s="9">
        <f t="shared" ref="V3414" si="2432">U3414*1.12</f>
        <v>271380.25600000005</v>
      </c>
      <c r="W3414" s="7"/>
      <c r="X3414" s="2">
        <v>2016</v>
      </c>
      <c r="Y3414" s="10"/>
    </row>
    <row r="3415" spans="1:25" s="11" customFormat="1" ht="89.25" customHeight="1" outlineLevel="1" x14ac:dyDescent="0.25">
      <c r="A3415" s="16"/>
      <c r="B3415" s="2" t="s">
        <v>9064</v>
      </c>
      <c r="C3415" s="3" t="s">
        <v>83</v>
      </c>
      <c r="D3415" s="3" t="s">
        <v>9072</v>
      </c>
      <c r="E3415" s="3" t="s">
        <v>4190</v>
      </c>
      <c r="F3415" s="3" t="s">
        <v>9073</v>
      </c>
      <c r="G3415" s="3" t="s">
        <v>9082</v>
      </c>
      <c r="H3415" s="2" t="s">
        <v>694</v>
      </c>
      <c r="I3415" s="4">
        <v>0</v>
      </c>
      <c r="J3415" s="5">
        <v>710000000</v>
      </c>
      <c r="K3415" s="5" t="s">
        <v>89</v>
      </c>
      <c r="L3415" s="5" t="s">
        <v>1738</v>
      </c>
      <c r="M3415" s="6" t="s">
        <v>1481</v>
      </c>
      <c r="N3415" s="7" t="s">
        <v>92</v>
      </c>
      <c r="O3415" s="7" t="s">
        <v>93</v>
      </c>
      <c r="P3415" s="3" t="s">
        <v>673</v>
      </c>
      <c r="Q3415" s="8" t="s">
        <v>117</v>
      </c>
      <c r="R3415" s="7" t="s">
        <v>118</v>
      </c>
      <c r="S3415" s="9">
        <v>1</v>
      </c>
      <c r="T3415" s="9">
        <v>32312.5</v>
      </c>
      <c r="U3415" s="9">
        <f t="shared" ref="U3415" si="2433">T3415*S3415</f>
        <v>32312.5</v>
      </c>
      <c r="V3415" s="9">
        <f t="shared" si="2430"/>
        <v>36190</v>
      </c>
      <c r="W3415" s="7"/>
      <c r="X3415" s="2">
        <v>2016</v>
      </c>
      <c r="Y3415" s="2"/>
    </row>
    <row r="3416" spans="1:25" s="11" customFormat="1" ht="89.25" customHeight="1" outlineLevel="1" x14ac:dyDescent="0.25">
      <c r="A3416" s="16"/>
      <c r="B3416" s="2" t="s">
        <v>9066</v>
      </c>
      <c r="C3416" s="3" t="s">
        <v>83</v>
      </c>
      <c r="D3416" s="3" t="s">
        <v>9072</v>
      </c>
      <c r="E3416" s="3" t="s">
        <v>4190</v>
      </c>
      <c r="F3416" s="3" t="s">
        <v>9074</v>
      </c>
      <c r="G3416" s="3" t="s">
        <v>9081</v>
      </c>
      <c r="H3416" s="2" t="s">
        <v>694</v>
      </c>
      <c r="I3416" s="4">
        <v>0</v>
      </c>
      <c r="J3416" s="5">
        <v>710000000</v>
      </c>
      <c r="K3416" s="5" t="s">
        <v>89</v>
      </c>
      <c r="L3416" s="5" t="s">
        <v>1738</v>
      </c>
      <c r="M3416" s="6" t="s">
        <v>1481</v>
      </c>
      <c r="N3416" s="7" t="s">
        <v>92</v>
      </c>
      <c r="O3416" s="7" t="s">
        <v>93</v>
      </c>
      <c r="P3416" s="3" t="s">
        <v>673</v>
      </c>
      <c r="Q3416" s="8" t="s">
        <v>117</v>
      </c>
      <c r="R3416" s="7" t="s">
        <v>118</v>
      </c>
      <c r="S3416" s="9">
        <v>1</v>
      </c>
      <c r="T3416" s="9">
        <v>51061.61</v>
      </c>
      <c r="U3416" s="9">
        <f t="shared" ref="U3416" si="2434">T3416*S3416</f>
        <v>51061.61</v>
      </c>
      <c r="V3416" s="9">
        <f t="shared" ref="V3416" si="2435">U3416*1.12</f>
        <v>57189.003200000006</v>
      </c>
      <c r="W3416" s="7"/>
      <c r="X3416" s="2">
        <v>2016</v>
      </c>
      <c r="Y3416" s="2"/>
    </row>
    <row r="3417" spans="1:25" s="11" customFormat="1" ht="89.25" customHeight="1" outlineLevel="1" x14ac:dyDescent="0.25">
      <c r="A3417" s="16"/>
      <c r="B3417" s="2" t="s">
        <v>9067</v>
      </c>
      <c r="C3417" s="3" t="s">
        <v>83</v>
      </c>
      <c r="D3417" s="3" t="s">
        <v>9075</v>
      </c>
      <c r="E3417" s="3" t="s">
        <v>9076</v>
      </c>
      <c r="F3417" s="3" t="s">
        <v>9077</v>
      </c>
      <c r="G3417" s="3" t="s">
        <v>9094</v>
      </c>
      <c r="H3417" s="2" t="s">
        <v>694</v>
      </c>
      <c r="I3417" s="4">
        <v>0</v>
      </c>
      <c r="J3417" s="5">
        <v>710000000</v>
      </c>
      <c r="K3417" s="5" t="s">
        <v>89</v>
      </c>
      <c r="L3417" s="5" t="s">
        <v>1738</v>
      </c>
      <c r="M3417" s="6" t="s">
        <v>1481</v>
      </c>
      <c r="N3417" s="7" t="s">
        <v>92</v>
      </c>
      <c r="O3417" s="7" t="s">
        <v>93</v>
      </c>
      <c r="P3417" s="3" t="s">
        <v>673</v>
      </c>
      <c r="Q3417" s="8" t="s">
        <v>117</v>
      </c>
      <c r="R3417" s="7" t="s">
        <v>118</v>
      </c>
      <c r="S3417" s="9">
        <v>1</v>
      </c>
      <c r="T3417" s="9">
        <v>132898.21</v>
      </c>
      <c r="U3417" s="9">
        <f t="shared" ref="U3417" si="2436">T3417*S3417</f>
        <v>132898.21</v>
      </c>
      <c r="V3417" s="9">
        <f t="shared" ref="V3417" si="2437">U3417*1.12</f>
        <v>148845.9952</v>
      </c>
      <c r="W3417" s="7"/>
      <c r="X3417" s="2">
        <v>2016</v>
      </c>
      <c r="Y3417" s="2"/>
    </row>
    <row r="3418" spans="1:25" s="11" customFormat="1" ht="89.25" customHeight="1" outlineLevel="1" x14ac:dyDescent="0.25">
      <c r="A3418" s="16"/>
      <c r="B3418" s="2" t="s">
        <v>9068</v>
      </c>
      <c r="C3418" s="3" t="s">
        <v>83</v>
      </c>
      <c r="D3418" s="3" t="s">
        <v>9079</v>
      </c>
      <c r="E3418" s="3" t="s">
        <v>9058</v>
      </c>
      <c r="F3418" s="3" t="s">
        <v>9080</v>
      </c>
      <c r="G3418" s="3" t="s">
        <v>9106</v>
      </c>
      <c r="H3418" s="2" t="s">
        <v>694</v>
      </c>
      <c r="I3418" s="4">
        <v>0</v>
      </c>
      <c r="J3418" s="5">
        <v>710000000</v>
      </c>
      <c r="K3418" s="5" t="s">
        <v>89</v>
      </c>
      <c r="L3418" s="5" t="s">
        <v>1738</v>
      </c>
      <c r="M3418" s="6" t="s">
        <v>1481</v>
      </c>
      <c r="N3418" s="7" t="s">
        <v>92</v>
      </c>
      <c r="O3418" s="7" t="s">
        <v>93</v>
      </c>
      <c r="P3418" s="3" t="s">
        <v>673</v>
      </c>
      <c r="Q3418" s="8" t="s">
        <v>3085</v>
      </c>
      <c r="R3418" s="7" t="s">
        <v>3086</v>
      </c>
      <c r="S3418" s="9">
        <v>10.37</v>
      </c>
      <c r="T3418" s="9">
        <v>88404</v>
      </c>
      <c r="U3418" s="9">
        <v>0</v>
      </c>
      <c r="V3418" s="9">
        <f t="shared" ref="V3418" si="2438">U3418*1.12</f>
        <v>0</v>
      </c>
      <c r="W3418" s="7"/>
      <c r="X3418" s="2">
        <v>2016</v>
      </c>
      <c r="Y3418" s="2">
        <v>7.11</v>
      </c>
    </row>
    <row r="3419" spans="1:25" s="11" customFormat="1" ht="89.25" customHeight="1" outlineLevel="1" x14ac:dyDescent="0.25">
      <c r="A3419" s="16"/>
      <c r="B3419" s="2" t="s">
        <v>9308</v>
      </c>
      <c r="C3419" s="3" t="s">
        <v>83</v>
      </c>
      <c r="D3419" s="3" t="s">
        <v>9079</v>
      </c>
      <c r="E3419" s="3" t="s">
        <v>9058</v>
      </c>
      <c r="F3419" s="3" t="s">
        <v>9080</v>
      </c>
      <c r="G3419" s="3" t="s">
        <v>9106</v>
      </c>
      <c r="H3419" s="2" t="s">
        <v>765</v>
      </c>
      <c r="I3419" s="4">
        <v>0</v>
      </c>
      <c r="J3419" s="5">
        <v>710000000</v>
      </c>
      <c r="K3419" s="5" t="s">
        <v>89</v>
      </c>
      <c r="L3419" s="5" t="s">
        <v>1872</v>
      </c>
      <c r="M3419" s="6" t="s">
        <v>1481</v>
      </c>
      <c r="N3419" s="7" t="s">
        <v>92</v>
      </c>
      <c r="O3419" s="7" t="s">
        <v>93</v>
      </c>
      <c r="P3419" s="3" t="s">
        <v>673</v>
      </c>
      <c r="Q3419" s="8" t="s">
        <v>3085</v>
      </c>
      <c r="R3419" s="7" t="s">
        <v>3086</v>
      </c>
      <c r="S3419" s="9">
        <v>10.37</v>
      </c>
      <c r="T3419" s="9">
        <v>88404</v>
      </c>
      <c r="U3419" s="9">
        <f t="shared" ref="U3419" si="2439">T3419*S3419</f>
        <v>916749.48</v>
      </c>
      <c r="V3419" s="9">
        <f t="shared" ref="V3419" si="2440">U3419*1.12</f>
        <v>1026759.4176</v>
      </c>
      <c r="W3419" s="7"/>
      <c r="X3419" s="2">
        <v>2016</v>
      </c>
      <c r="Y3419" s="2"/>
    </row>
    <row r="3420" spans="1:25" s="11" customFormat="1" ht="89.25" customHeight="1" outlineLevel="1" x14ac:dyDescent="0.25">
      <c r="A3420" s="16"/>
      <c r="B3420" s="2" t="s">
        <v>9084</v>
      </c>
      <c r="C3420" s="3" t="s">
        <v>83</v>
      </c>
      <c r="D3420" s="3" t="s">
        <v>9085</v>
      </c>
      <c r="E3420" s="3" t="s">
        <v>8858</v>
      </c>
      <c r="F3420" s="3" t="s">
        <v>9086</v>
      </c>
      <c r="G3420" s="3" t="s">
        <v>9093</v>
      </c>
      <c r="H3420" s="2" t="s">
        <v>694</v>
      </c>
      <c r="I3420" s="4">
        <v>0</v>
      </c>
      <c r="J3420" s="5">
        <v>710000000</v>
      </c>
      <c r="K3420" s="5" t="s">
        <v>89</v>
      </c>
      <c r="L3420" s="5" t="s">
        <v>1738</v>
      </c>
      <c r="M3420" s="6" t="s">
        <v>682</v>
      </c>
      <c r="N3420" s="7" t="s">
        <v>92</v>
      </c>
      <c r="O3420" s="7" t="s">
        <v>93</v>
      </c>
      <c r="P3420" s="3" t="s">
        <v>673</v>
      </c>
      <c r="Q3420" s="8" t="s">
        <v>861</v>
      </c>
      <c r="R3420" s="7" t="s">
        <v>812</v>
      </c>
      <c r="S3420" s="9">
        <v>1</v>
      </c>
      <c r="T3420" s="9">
        <v>880000</v>
      </c>
      <c r="U3420" s="9">
        <f t="shared" ref="U3420" si="2441">T3420*S3420</f>
        <v>880000</v>
      </c>
      <c r="V3420" s="9">
        <f t="shared" ref="V3420" si="2442">U3420*1.12</f>
        <v>985600.00000000012</v>
      </c>
      <c r="W3420" s="7"/>
      <c r="X3420" s="2">
        <v>2016</v>
      </c>
      <c r="Y3420" s="2"/>
    </row>
    <row r="3421" spans="1:25" s="11" customFormat="1" ht="89.25" customHeight="1" outlineLevel="1" x14ac:dyDescent="0.25">
      <c r="A3421" s="16"/>
      <c r="B3421" s="2" t="s">
        <v>9089</v>
      </c>
      <c r="C3421" s="3" t="s">
        <v>83</v>
      </c>
      <c r="D3421" s="3" t="s">
        <v>7776</v>
      </c>
      <c r="E3421" s="3" t="s">
        <v>7777</v>
      </c>
      <c r="F3421" s="3" t="s">
        <v>7778</v>
      </c>
      <c r="G3421" s="3" t="s">
        <v>9090</v>
      </c>
      <c r="H3421" s="2" t="s">
        <v>694</v>
      </c>
      <c r="I3421" s="4">
        <v>0</v>
      </c>
      <c r="J3421" s="5">
        <v>710000000</v>
      </c>
      <c r="K3421" s="5" t="s">
        <v>89</v>
      </c>
      <c r="L3421" s="5" t="s">
        <v>1738</v>
      </c>
      <c r="M3421" s="6" t="s">
        <v>1494</v>
      </c>
      <c r="N3421" s="7" t="s">
        <v>92</v>
      </c>
      <c r="O3421" s="7" t="s">
        <v>93</v>
      </c>
      <c r="P3421" s="3" t="s">
        <v>673</v>
      </c>
      <c r="Q3421" s="8" t="s">
        <v>117</v>
      </c>
      <c r="R3421" s="7" t="s">
        <v>118</v>
      </c>
      <c r="S3421" s="9">
        <v>5</v>
      </c>
      <c r="T3421" s="9">
        <v>9821.43</v>
      </c>
      <c r="U3421" s="9">
        <f t="shared" ref="U3421" si="2443">T3421*S3421</f>
        <v>49107.15</v>
      </c>
      <c r="V3421" s="9">
        <f t="shared" ref="V3421" si="2444">U3421*1.12</f>
        <v>55000.008000000009</v>
      </c>
      <c r="W3421" s="7"/>
      <c r="X3421" s="2">
        <v>2016</v>
      </c>
      <c r="Y3421" s="2"/>
    </row>
    <row r="3422" spans="1:25" s="11" customFormat="1" ht="89.25" customHeight="1" outlineLevel="1" x14ac:dyDescent="0.25">
      <c r="A3422" s="16"/>
      <c r="B3422" s="2" t="s">
        <v>9218</v>
      </c>
      <c r="C3422" s="3" t="s">
        <v>83</v>
      </c>
      <c r="D3422" s="3" t="s">
        <v>3821</v>
      </c>
      <c r="E3422" s="3" t="s">
        <v>3791</v>
      </c>
      <c r="F3422" s="3" t="s">
        <v>3822</v>
      </c>
      <c r="G3422" s="3" t="s">
        <v>9219</v>
      </c>
      <c r="H3422" s="2" t="s">
        <v>694</v>
      </c>
      <c r="I3422" s="4">
        <v>0</v>
      </c>
      <c r="J3422" s="5">
        <v>710000000</v>
      </c>
      <c r="K3422" s="5" t="s">
        <v>89</v>
      </c>
      <c r="L3422" s="5" t="s">
        <v>1738</v>
      </c>
      <c r="M3422" s="6" t="s">
        <v>1481</v>
      </c>
      <c r="N3422" s="7" t="s">
        <v>92</v>
      </c>
      <c r="O3422" s="7" t="s">
        <v>93</v>
      </c>
      <c r="P3422" s="3" t="s">
        <v>673</v>
      </c>
      <c r="Q3422" s="8" t="s">
        <v>117</v>
      </c>
      <c r="R3422" s="7" t="s">
        <v>118</v>
      </c>
      <c r="S3422" s="9">
        <v>20</v>
      </c>
      <c r="T3422" s="9">
        <v>7589.29</v>
      </c>
      <c r="U3422" s="9">
        <f t="shared" ref="U3422:U3423" si="2445">T3422*S3422</f>
        <v>151785.79999999999</v>
      </c>
      <c r="V3422" s="9">
        <f t="shared" ref="V3422:V3423" si="2446">U3422*1.12</f>
        <v>170000.09599999999</v>
      </c>
      <c r="W3422" s="7"/>
      <c r="X3422" s="2">
        <v>2016</v>
      </c>
      <c r="Y3422" s="2"/>
    </row>
    <row r="3423" spans="1:25" s="11" customFormat="1" ht="89.25" customHeight="1" outlineLevel="1" x14ac:dyDescent="0.25">
      <c r="A3423" s="16"/>
      <c r="B3423" s="2" t="s">
        <v>9249</v>
      </c>
      <c r="C3423" s="3" t="s">
        <v>83</v>
      </c>
      <c r="D3423" s="19" t="s">
        <v>2405</v>
      </c>
      <c r="E3423" s="19" t="s">
        <v>2402</v>
      </c>
      <c r="F3423" s="19" t="s">
        <v>2406</v>
      </c>
      <c r="G3423" s="19" t="s">
        <v>9250</v>
      </c>
      <c r="H3423" s="2" t="s">
        <v>88</v>
      </c>
      <c r="I3423" s="4">
        <v>0.4</v>
      </c>
      <c r="J3423" s="5">
        <v>710000000</v>
      </c>
      <c r="K3423" s="5" t="s">
        <v>89</v>
      </c>
      <c r="L3423" s="5" t="s">
        <v>1738</v>
      </c>
      <c r="M3423" s="6" t="s">
        <v>787</v>
      </c>
      <c r="N3423" s="7" t="s">
        <v>92</v>
      </c>
      <c r="O3423" s="7" t="s">
        <v>93</v>
      </c>
      <c r="P3423" s="3" t="s">
        <v>673</v>
      </c>
      <c r="Q3423" s="8">
        <v>796</v>
      </c>
      <c r="R3423" s="7" t="s">
        <v>118</v>
      </c>
      <c r="S3423" s="9">
        <v>90</v>
      </c>
      <c r="T3423" s="9">
        <v>9822</v>
      </c>
      <c r="U3423" s="9">
        <f t="shared" si="2445"/>
        <v>883980</v>
      </c>
      <c r="V3423" s="9">
        <f t="shared" si="2446"/>
        <v>990057.60000000009</v>
      </c>
      <c r="W3423" s="7"/>
      <c r="X3423" s="2">
        <v>2016</v>
      </c>
      <c r="Y3423" s="2"/>
    </row>
    <row r="3424" spans="1:25" s="11" customFormat="1" ht="89.25" customHeight="1" outlineLevel="1" x14ac:dyDescent="0.25">
      <c r="A3424" s="16"/>
      <c r="B3424" s="2" t="s">
        <v>9263</v>
      </c>
      <c r="C3424" s="3" t="s">
        <v>83</v>
      </c>
      <c r="D3424" s="19" t="s">
        <v>9259</v>
      </c>
      <c r="E3424" s="19" t="s">
        <v>9260</v>
      </c>
      <c r="F3424" s="19" t="s">
        <v>9261</v>
      </c>
      <c r="G3424" s="19" t="s">
        <v>9262</v>
      </c>
      <c r="H3424" s="2" t="s">
        <v>694</v>
      </c>
      <c r="I3424" s="4">
        <v>0</v>
      </c>
      <c r="J3424" s="5">
        <v>710000000</v>
      </c>
      <c r="K3424" s="5" t="s">
        <v>89</v>
      </c>
      <c r="L3424" s="5" t="s">
        <v>1738</v>
      </c>
      <c r="M3424" s="6" t="s">
        <v>1481</v>
      </c>
      <c r="N3424" s="7" t="s">
        <v>92</v>
      </c>
      <c r="O3424" s="7" t="s">
        <v>93</v>
      </c>
      <c r="P3424" s="3" t="s">
        <v>673</v>
      </c>
      <c r="Q3424" s="8">
        <v>796</v>
      </c>
      <c r="R3424" s="7" t="s">
        <v>118</v>
      </c>
      <c r="S3424" s="9">
        <v>1</v>
      </c>
      <c r="T3424" s="9">
        <v>1406246.43</v>
      </c>
      <c r="U3424" s="9">
        <f t="shared" ref="U3424" si="2447">T3424*S3424</f>
        <v>1406246.43</v>
      </c>
      <c r="V3424" s="9">
        <f t="shared" ref="V3424" si="2448">U3424*1.12</f>
        <v>1574996.0016000001</v>
      </c>
      <c r="W3424" s="7"/>
      <c r="X3424" s="2">
        <v>2016</v>
      </c>
      <c r="Y3424" s="2"/>
    </row>
    <row r="3425" spans="1:25" s="11" customFormat="1" ht="89.25" customHeight="1" outlineLevel="1" x14ac:dyDescent="0.25">
      <c r="A3425" s="16"/>
      <c r="B3425" s="2" t="s">
        <v>9264</v>
      </c>
      <c r="C3425" s="3" t="s">
        <v>83</v>
      </c>
      <c r="D3425" s="19" t="s">
        <v>9265</v>
      </c>
      <c r="E3425" s="19" t="s">
        <v>4846</v>
      </c>
      <c r="F3425" s="19" t="s">
        <v>9266</v>
      </c>
      <c r="G3425" s="19" t="s">
        <v>9267</v>
      </c>
      <c r="H3425" s="2" t="s">
        <v>694</v>
      </c>
      <c r="I3425" s="4">
        <v>0</v>
      </c>
      <c r="J3425" s="5">
        <v>710000000</v>
      </c>
      <c r="K3425" s="5" t="s">
        <v>89</v>
      </c>
      <c r="L3425" s="5" t="s">
        <v>1738</v>
      </c>
      <c r="M3425" s="6" t="s">
        <v>766</v>
      </c>
      <c r="N3425" s="7" t="s">
        <v>92</v>
      </c>
      <c r="O3425" s="7" t="s">
        <v>93</v>
      </c>
      <c r="P3425" s="3" t="s">
        <v>673</v>
      </c>
      <c r="Q3425" s="8">
        <v>796</v>
      </c>
      <c r="R3425" s="7" t="s">
        <v>118</v>
      </c>
      <c r="S3425" s="9">
        <v>1</v>
      </c>
      <c r="T3425" s="9">
        <v>49790.18</v>
      </c>
      <c r="U3425" s="9">
        <f t="shared" ref="U3425:U3446" si="2449">T3425*S3425</f>
        <v>49790.18</v>
      </c>
      <c r="V3425" s="9">
        <f t="shared" ref="V3425:V3446" si="2450">U3425*1.12</f>
        <v>55765.001600000003</v>
      </c>
      <c r="W3425" s="7"/>
      <c r="X3425" s="2">
        <v>2016</v>
      </c>
      <c r="Y3425" s="2"/>
    </row>
    <row r="3426" spans="1:25" s="11" customFormat="1" ht="89.25" customHeight="1" outlineLevel="1" x14ac:dyDescent="0.25">
      <c r="A3426" s="16"/>
      <c r="B3426" s="2" t="s">
        <v>9290</v>
      </c>
      <c r="C3426" s="3" t="s">
        <v>83</v>
      </c>
      <c r="D3426" s="19" t="s">
        <v>9283</v>
      </c>
      <c r="E3426" s="19" t="s">
        <v>9284</v>
      </c>
      <c r="F3426" s="19" t="s">
        <v>9285</v>
      </c>
      <c r="G3426" s="19"/>
      <c r="H3426" s="2" t="s">
        <v>765</v>
      </c>
      <c r="I3426" s="4">
        <v>0</v>
      </c>
      <c r="J3426" s="5">
        <v>710000000</v>
      </c>
      <c r="K3426" s="5" t="s">
        <v>89</v>
      </c>
      <c r="L3426" s="5" t="s">
        <v>1738</v>
      </c>
      <c r="M3426" s="6" t="s">
        <v>1481</v>
      </c>
      <c r="N3426" s="7" t="s">
        <v>92</v>
      </c>
      <c r="O3426" s="7" t="s">
        <v>93</v>
      </c>
      <c r="P3426" s="3" t="s">
        <v>673</v>
      </c>
      <c r="Q3426" s="8">
        <v>796</v>
      </c>
      <c r="R3426" s="7" t="s">
        <v>118</v>
      </c>
      <c r="S3426" s="9">
        <v>1</v>
      </c>
      <c r="T3426" s="9">
        <v>2367857.14</v>
      </c>
      <c r="U3426" s="9">
        <v>0</v>
      </c>
      <c r="V3426" s="9">
        <f t="shared" si="2450"/>
        <v>0</v>
      </c>
      <c r="W3426" s="7"/>
      <c r="X3426" s="2">
        <v>2016</v>
      </c>
      <c r="Y3426" s="2" t="s">
        <v>8493</v>
      </c>
    </row>
    <row r="3427" spans="1:25" s="11" customFormat="1" ht="89.25" customHeight="1" outlineLevel="1" x14ac:dyDescent="0.25">
      <c r="A3427" s="16"/>
      <c r="B3427" s="2" t="s">
        <v>9436</v>
      </c>
      <c r="C3427" s="3" t="s">
        <v>83</v>
      </c>
      <c r="D3427" s="19" t="s">
        <v>9283</v>
      </c>
      <c r="E3427" s="19" t="s">
        <v>9284</v>
      </c>
      <c r="F3427" s="19" t="s">
        <v>9285</v>
      </c>
      <c r="G3427" s="19"/>
      <c r="H3427" s="2" t="s">
        <v>765</v>
      </c>
      <c r="I3427" s="4">
        <v>0</v>
      </c>
      <c r="J3427" s="5">
        <v>710000000</v>
      </c>
      <c r="K3427" s="5" t="s">
        <v>89</v>
      </c>
      <c r="L3427" s="5" t="s">
        <v>1741</v>
      </c>
      <c r="M3427" s="6" t="s">
        <v>1481</v>
      </c>
      <c r="N3427" s="7" t="s">
        <v>92</v>
      </c>
      <c r="O3427" s="7" t="s">
        <v>93</v>
      </c>
      <c r="P3427" s="3" t="s">
        <v>673</v>
      </c>
      <c r="Q3427" s="8">
        <v>796</v>
      </c>
      <c r="R3427" s="7" t="s">
        <v>118</v>
      </c>
      <c r="S3427" s="9">
        <v>1</v>
      </c>
      <c r="T3427" s="9">
        <v>4446428.57</v>
      </c>
      <c r="U3427" s="9">
        <v>0</v>
      </c>
      <c r="V3427" s="9">
        <f t="shared" si="2450"/>
        <v>0</v>
      </c>
      <c r="W3427" s="7"/>
      <c r="X3427" s="2">
        <v>2016</v>
      </c>
      <c r="Y3427" s="2">
        <v>6</v>
      </c>
    </row>
    <row r="3428" spans="1:25" s="11" customFormat="1" ht="89.25" customHeight="1" outlineLevel="1" x14ac:dyDescent="0.25">
      <c r="A3428" s="16"/>
      <c r="B3428" s="2" t="s">
        <v>9633</v>
      </c>
      <c r="C3428" s="3" t="s">
        <v>83</v>
      </c>
      <c r="D3428" s="19" t="s">
        <v>9283</v>
      </c>
      <c r="E3428" s="19" t="s">
        <v>9284</v>
      </c>
      <c r="F3428" s="19" t="s">
        <v>9285</v>
      </c>
      <c r="G3428" s="19" t="s">
        <v>9634</v>
      </c>
      <c r="H3428" s="2" t="s">
        <v>765</v>
      </c>
      <c r="I3428" s="4">
        <v>0</v>
      </c>
      <c r="J3428" s="5">
        <v>710000000</v>
      </c>
      <c r="K3428" s="5" t="s">
        <v>89</v>
      </c>
      <c r="L3428" s="5" t="s">
        <v>1741</v>
      </c>
      <c r="M3428" s="6" t="s">
        <v>1481</v>
      </c>
      <c r="N3428" s="7" t="s">
        <v>92</v>
      </c>
      <c r="O3428" s="7" t="s">
        <v>93</v>
      </c>
      <c r="P3428" s="3" t="s">
        <v>673</v>
      </c>
      <c r="Q3428" s="8">
        <v>796</v>
      </c>
      <c r="R3428" s="7" t="s">
        <v>118</v>
      </c>
      <c r="S3428" s="9">
        <v>1</v>
      </c>
      <c r="T3428" s="9">
        <v>4446428.57</v>
      </c>
      <c r="U3428" s="9">
        <f t="shared" ref="U3428" si="2451">T3428*S3428</f>
        <v>4446428.57</v>
      </c>
      <c r="V3428" s="9">
        <f t="shared" ref="V3428" si="2452">U3428*1.12</f>
        <v>4979999.9984000009</v>
      </c>
      <c r="W3428" s="7"/>
      <c r="X3428" s="2">
        <v>2016</v>
      </c>
      <c r="Y3428" s="2"/>
    </row>
    <row r="3429" spans="1:25" s="11" customFormat="1" ht="89.25" customHeight="1" outlineLevel="1" x14ac:dyDescent="0.25">
      <c r="A3429" s="16"/>
      <c r="B3429" s="2" t="s">
        <v>9319</v>
      </c>
      <c r="C3429" s="3" t="s">
        <v>83</v>
      </c>
      <c r="D3429" s="19" t="s">
        <v>9309</v>
      </c>
      <c r="E3429" s="19" t="s">
        <v>9310</v>
      </c>
      <c r="F3429" s="19" t="s">
        <v>9311</v>
      </c>
      <c r="G3429" s="19" t="s">
        <v>9312</v>
      </c>
      <c r="H3429" s="2" t="s">
        <v>694</v>
      </c>
      <c r="I3429" s="4">
        <v>0</v>
      </c>
      <c r="J3429" s="5">
        <v>710000000</v>
      </c>
      <c r="K3429" s="5" t="s">
        <v>89</v>
      </c>
      <c r="L3429" s="5" t="s">
        <v>1872</v>
      </c>
      <c r="M3429" s="6" t="s">
        <v>1481</v>
      </c>
      <c r="N3429" s="7" t="s">
        <v>92</v>
      </c>
      <c r="O3429" s="7" t="s">
        <v>93</v>
      </c>
      <c r="P3429" s="3" t="s">
        <v>673</v>
      </c>
      <c r="Q3429" s="8">
        <v>796</v>
      </c>
      <c r="R3429" s="7" t="s">
        <v>118</v>
      </c>
      <c r="S3429" s="9">
        <v>4</v>
      </c>
      <c r="T3429" s="9">
        <v>26437.5</v>
      </c>
      <c r="U3429" s="9">
        <v>0</v>
      </c>
      <c r="V3429" s="9">
        <f t="shared" si="2450"/>
        <v>0</v>
      </c>
      <c r="W3429" s="7"/>
      <c r="X3429" s="2">
        <v>2016</v>
      </c>
      <c r="Y3429" s="2" t="s">
        <v>9709</v>
      </c>
    </row>
    <row r="3430" spans="1:25" s="11" customFormat="1" ht="89.25" customHeight="1" outlineLevel="1" x14ac:dyDescent="0.25">
      <c r="A3430" s="16"/>
      <c r="B3430" s="2" t="s">
        <v>9706</v>
      </c>
      <c r="C3430" s="3" t="s">
        <v>83</v>
      </c>
      <c r="D3430" s="19" t="s">
        <v>9309</v>
      </c>
      <c r="E3430" s="19" t="s">
        <v>9310</v>
      </c>
      <c r="F3430" s="19" t="s">
        <v>9311</v>
      </c>
      <c r="G3430" s="19" t="s">
        <v>9312</v>
      </c>
      <c r="H3430" s="2" t="s">
        <v>694</v>
      </c>
      <c r="I3430" s="4">
        <v>0</v>
      </c>
      <c r="J3430" s="5">
        <v>710000000</v>
      </c>
      <c r="K3430" s="5" t="s">
        <v>89</v>
      </c>
      <c r="L3430" s="5" t="s">
        <v>9707</v>
      </c>
      <c r="M3430" s="6" t="s">
        <v>9708</v>
      </c>
      <c r="N3430" s="7" t="s">
        <v>92</v>
      </c>
      <c r="O3430" s="7" t="s">
        <v>93</v>
      </c>
      <c r="P3430" s="3" t="s">
        <v>673</v>
      </c>
      <c r="Q3430" s="8">
        <v>796</v>
      </c>
      <c r="R3430" s="7" t="s">
        <v>118</v>
      </c>
      <c r="S3430" s="9">
        <f>4+2</f>
        <v>6</v>
      </c>
      <c r="T3430" s="9">
        <v>26437.5</v>
      </c>
      <c r="U3430" s="9">
        <f t="shared" ref="U3430" si="2453">T3430*S3430</f>
        <v>158625</v>
      </c>
      <c r="V3430" s="9">
        <f t="shared" ref="V3430" si="2454">U3430*1.12</f>
        <v>177660.00000000003</v>
      </c>
      <c r="W3430" s="7"/>
      <c r="X3430" s="2">
        <v>2016</v>
      </c>
      <c r="Y3430" s="2"/>
    </row>
    <row r="3431" spans="1:25" s="11" customFormat="1" ht="89.25" customHeight="1" outlineLevel="1" x14ac:dyDescent="0.25">
      <c r="A3431" s="16"/>
      <c r="B3431" s="2" t="s">
        <v>9320</v>
      </c>
      <c r="C3431" s="3" t="s">
        <v>83</v>
      </c>
      <c r="D3431" s="19" t="s">
        <v>9314</v>
      </c>
      <c r="E3431" s="19" t="s">
        <v>9315</v>
      </c>
      <c r="F3431" s="19" t="s">
        <v>9316</v>
      </c>
      <c r="G3431" s="19" t="s">
        <v>9313</v>
      </c>
      <c r="H3431" s="2" t="s">
        <v>694</v>
      </c>
      <c r="I3431" s="4">
        <v>0</v>
      </c>
      <c r="J3431" s="5">
        <v>710000000</v>
      </c>
      <c r="K3431" s="5" t="s">
        <v>89</v>
      </c>
      <c r="L3431" s="5" t="s">
        <v>1872</v>
      </c>
      <c r="M3431" s="6" t="s">
        <v>1481</v>
      </c>
      <c r="N3431" s="7" t="s">
        <v>92</v>
      </c>
      <c r="O3431" s="7" t="s">
        <v>93</v>
      </c>
      <c r="P3431" s="3" t="s">
        <v>673</v>
      </c>
      <c r="Q3431" s="8">
        <v>796</v>
      </c>
      <c r="R3431" s="7" t="s">
        <v>118</v>
      </c>
      <c r="S3431" s="9">
        <v>4</v>
      </c>
      <c r="T3431" s="9">
        <v>34821.428</v>
      </c>
      <c r="U3431" s="9">
        <f t="shared" si="2449"/>
        <v>139285.712</v>
      </c>
      <c r="V3431" s="9">
        <f t="shared" si="2450"/>
        <v>155999.99744000001</v>
      </c>
      <c r="W3431" s="7"/>
      <c r="X3431" s="2">
        <v>2016</v>
      </c>
      <c r="Y3431" s="2"/>
    </row>
    <row r="3432" spans="1:25" s="11" customFormat="1" ht="89.25" customHeight="1" outlineLevel="1" x14ac:dyDescent="0.25">
      <c r="A3432" s="16"/>
      <c r="B3432" s="2" t="s">
        <v>9329</v>
      </c>
      <c r="C3432" s="3" t="s">
        <v>83</v>
      </c>
      <c r="D3432" s="3" t="s">
        <v>9394</v>
      </c>
      <c r="E3432" s="3" t="s">
        <v>3119</v>
      </c>
      <c r="F3432" s="3" t="s">
        <v>9395</v>
      </c>
      <c r="G3432" s="3" t="s">
        <v>9396</v>
      </c>
      <c r="H3432" s="2" t="s">
        <v>88</v>
      </c>
      <c r="I3432" s="4">
        <v>0</v>
      </c>
      <c r="J3432" s="5">
        <v>710000000</v>
      </c>
      <c r="K3432" s="5" t="s">
        <v>89</v>
      </c>
      <c r="L3432" s="5" t="s">
        <v>1730</v>
      </c>
      <c r="M3432" s="6" t="s">
        <v>1494</v>
      </c>
      <c r="N3432" s="7" t="s">
        <v>92</v>
      </c>
      <c r="O3432" s="7" t="s">
        <v>93</v>
      </c>
      <c r="P3432" s="3" t="s">
        <v>673</v>
      </c>
      <c r="Q3432" s="8" t="s">
        <v>544</v>
      </c>
      <c r="R3432" s="7" t="s">
        <v>111</v>
      </c>
      <c r="S3432" s="9">
        <v>820</v>
      </c>
      <c r="T3432" s="9">
        <v>450</v>
      </c>
      <c r="U3432" s="9">
        <f t="shared" si="2449"/>
        <v>369000</v>
      </c>
      <c r="V3432" s="9">
        <f t="shared" si="2450"/>
        <v>413280.00000000006</v>
      </c>
      <c r="W3432" s="7"/>
      <c r="X3432" s="2">
        <v>2016</v>
      </c>
      <c r="Y3432" s="2"/>
    </row>
    <row r="3433" spans="1:25" s="11" customFormat="1" ht="89.25" customHeight="1" outlineLevel="1" x14ac:dyDescent="0.25">
      <c r="A3433" s="16"/>
      <c r="B3433" s="2" t="s">
        <v>9330</v>
      </c>
      <c r="C3433" s="3" t="s">
        <v>83</v>
      </c>
      <c r="D3433" s="3" t="s">
        <v>9381</v>
      </c>
      <c r="E3433" s="3" t="s">
        <v>3194</v>
      </c>
      <c r="F3433" s="3" t="s">
        <v>9382</v>
      </c>
      <c r="G3433" s="3" t="s">
        <v>9383</v>
      </c>
      <c r="H3433" s="2" t="s">
        <v>88</v>
      </c>
      <c r="I3433" s="4">
        <v>0</v>
      </c>
      <c r="J3433" s="5">
        <v>710000000</v>
      </c>
      <c r="K3433" s="5" t="s">
        <v>89</v>
      </c>
      <c r="L3433" s="5" t="s">
        <v>1730</v>
      </c>
      <c r="M3433" s="6" t="s">
        <v>1494</v>
      </c>
      <c r="N3433" s="7" t="s">
        <v>92</v>
      </c>
      <c r="O3433" s="7" t="s">
        <v>93</v>
      </c>
      <c r="P3433" s="3" t="s">
        <v>673</v>
      </c>
      <c r="Q3433" s="8" t="s">
        <v>3085</v>
      </c>
      <c r="R3433" s="7" t="s">
        <v>3086</v>
      </c>
      <c r="S3433" s="9">
        <v>26</v>
      </c>
      <c r="T3433" s="9">
        <v>2270</v>
      </c>
      <c r="U3433" s="9">
        <f t="shared" si="2449"/>
        <v>59020</v>
      </c>
      <c r="V3433" s="9">
        <f t="shared" si="2450"/>
        <v>66102.400000000009</v>
      </c>
      <c r="W3433" s="7"/>
      <c r="X3433" s="2">
        <v>2016</v>
      </c>
      <c r="Y3433" s="2"/>
    </row>
    <row r="3434" spans="1:25" s="11" customFormat="1" ht="89.25" customHeight="1" outlineLevel="1" x14ac:dyDescent="0.25">
      <c r="A3434" s="16"/>
      <c r="B3434" s="2" t="s">
        <v>9359</v>
      </c>
      <c r="C3434" s="3" t="s">
        <v>83</v>
      </c>
      <c r="D3434" s="3" t="s">
        <v>3251</v>
      </c>
      <c r="E3434" s="3" t="s">
        <v>3248</v>
      </c>
      <c r="F3434" s="3" t="s">
        <v>3252</v>
      </c>
      <c r="G3434" s="3" t="s">
        <v>9393</v>
      </c>
      <c r="H3434" s="2" t="s">
        <v>88</v>
      </c>
      <c r="I3434" s="4">
        <v>0</v>
      </c>
      <c r="J3434" s="5">
        <v>710000000</v>
      </c>
      <c r="K3434" s="5" t="s">
        <v>89</v>
      </c>
      <c r="L3434" s="5" t="s">
        <v>1730</v>
      </c>
      <c r="M3434" s="6" t="s">
        <v>1494</v>
      </c>
      <c r="N3434" s="7" t="s">
        <v>92</v>
      </c>
      <c r="O3434" s="7" t="s">
        <v>93</v>
      </c>
      <c r="P3434" s="3" t="s">
        <v>673</v>
      </c>
      <c r="Q3434" s="8" t="s">
        <v>3085</v>
      </c>
      <c r="R3434" s="7" t="s">
        <v>3086</v>
      </c>
      <c r="S3434" s="9">
        <v>173</v>
      </c>
      <c r="T3434" s="9">
        <v>3050</v>
      </c>
      <c r="U3434" s="9">
        <f t="shared" si="2449"/>
        <v>527650</v>
      </c>
      <c r="V3434" s="9">
        <f t="shared" si="2450"/>
        <v>590968</v>
      </c>
      <c r="W3434" s="7"/>
      <c r="X3434" s="2">
        <v>2016</v>
      </c>
      <c r="Y3434" s="2"/>
    </row>
    <row r="3435" spans="1:25" s="11" customFormat="1" ht="89.25" customHeight="1" outlineLevel="1" x14ac:dyDescent="0.25">
      <c r="A3435" s="16"/>
      <c r="B3435" s="2" t="s">
        <v>9360</v>
      </c>
      <c r="C3435" s="3" t="s">
        <v>83</v>
      </c>
      <c r="D3435" s="3" t="s">
        <v>9378</v>
      </c>
      <c r="E3435" s="3" t="s">
        <v>3248</v>
      </c>
      <c r="F3435" s="3" t="s">
        <v>9379</v>
      </c>
      <c r="G3435" s="3" t="s">
        <v>9380</v>
      </c>
      <c r="H3435" s="2" t="s">
        <v>88</v>
      </c>
      <c r="I3435" s="4">
        <v>0</v>
      </c>
      <c r="J3435" s="5">
        <v>710000000</v>
      </c>
      <c r="K3435" s="5" t="s">
        <v>89</v>
      </c>
      <c r="L3435" s="5" t="s">
        <v>1730</v>
      </c>
      <c r="M3435" s="6" t="s">
        <v>1494</v>
      </c>
      <c r="N3435" s="7" t="s">
        <v>92</v>
      </c>
      <c r="O3435" s="7" t="s">
        <v>93</v>
      </c>
      <c r="P3435" s="3" t="s">
        <v>673</v>
      </c>
      <c r="Q3435" s="8" t="s">
        <v>3085</v>
      </c>
      <c r="R3435" s="7" t="s">
        <v>3086</v>
      </c>
      <c r="S3435" s="9">
        <v>173</v>
      </c>
      <c r="T3435" s="9">
        <v>3050</v>
      </c>
      <c r="U3435" s="9">
        <f t="shared" ref="U3435" si="2455">T3435*S3435</f>
        <v>527650</v>
      </c>
      <c r="V3435" s="9">
        <f t="shared" ref="V3435" si="2456">U3435*1.12</f>
        <v>590968</v>
      </c>
      <c r="W3435" s="7"/>
      <c r="X3435" s="2">
        <v>2016</v>
      </c>
      <c r="Y3435" s="2"/>
    </row>
    <row r="3436" spans="1:25" s="11" customFormat="1" ht="89.25" customHeight="1" outlineLevel="1" x14ac:dyDescent="0.25">
      <c r="A3436" s="16"/>
      <c r="B3436" s="2" t="s">
        <v>9361</v>
      </c>
      <c r="C3436" s="3" t="s">
        <v>83</v>
      </c>
      <c r="D3436" s="3" t="s">
        <v>9400</v>
      </c>
      <c r="E3436" s="3" t="s">
        <v>3248</v>
      </c>
      <c r="F3436" s="3" t="s">
        <v>9401</v>
      </c>
      <c r="G3436" s="3" t="s">
        <v>9358</v>
      </c>
      <c r="H3436" s="2" t="s">
        <v>88</v>
      </c>
      <c r="I3436" s="4">
        <v>0</v>
      </c>
      <c r="J3436" s="5">
        <v>710000000</v>
      </c>
      <c r="K3436" s="5" t="s">
        <v>89</v>
      </c>
      <c r="L3436" s="5" t="s">
        <v>1730</v>
      </c>
      <c r="M3436" s="6" t="s">
        <v>1494</v>
      </c>
      <c r="N3436" s="7" t="s">
        <v>92</v>
      </c>
      <c r="O3436" s="7" t="s">
        <v>93</v>
      </c>
      <c r="P3436" s="3" t="s">
        <v>673</v>
      </c>
      <c r="Q3436" s="8" t="s">
        <v>3085</v>
      </c>
      <c r="R3436" s="7" t="s">
        <v>3086</v>
      </c>
      <c r="S3436" s="9">
        <v>54.06</v>
      </c>
      <c r="T3436" s="9">
        <v>3050</v>
      </c>
      <c r="U3436" s="9">
        <f t="shared" ref="U3436:U3438" si="2457">T3436*S3436</f>
        <v>164883</v>
      </c>
      <c r="V3436" s="9">
        <f t="shared" ref="V3436:V3438" si="2458">U3436*1.12</f>
        <v>184668.96000000002</v>
      </c>
      <c r="W3436" s="7"/>
      <c r="X3436" s="2">
        <v>2016</v>
      </c>
      <c r="Y3436" s="2"/>
    </row>
    <row r="3437" spans="1:25" s="11" customFormat="1" ht="89.25" customHeight="1" outlineLevel="1" x14ac:dyDescent="0.25">
      <c r="A3437" s="16"/>
      <c r="B3437" s="2" t="s">
        <v>9362</v>
      </c>
      <c r="C3437" s="3" t="s">
        <v>83</v>
      </c>
      <c r="D3437" s="3" t="s">
        <v>9398</v>
      </c>
      <c r="E3437" s="3" t="s">
        <v>3248</v>
      </c>
      <c r="F3437" s="3" t="s">
        <v>9399</v>
      </c>
      <c r="G3437" s="3" t="s">
        <v>9384</v>
      </c>
      <c r="H3437" s="2" t="s">
        <v>88</v>
      </c>
      <c r="I3437" s="4">
        <v>0</v>
      </c>
      <c r="J3437" s="5">
        <v>710000000</v>
      </c>
      <c r="K3437" s="5" t="s">
        <v>89</v>
      </c>
      <c r="L3437" s="5" t="s">
        <v>1730</v>
      </c>
      <c r="M3437" s="6" t="s">
        <v>1494</v>
      </c>
      <c r="N3437" s="7" t="s">
        <v>92</v>
      </c>
      <c r="O3437" s="7" t="s">
        <v>93</v>
      </c>
      <c r="P3437" s="3" t="s">
        <v>673</v>
      </c>
      <c r="Q3437" s="8" t="s">
        <v>3085</v>
      </c>
      <c r="R3437" s="7" t="s">
        <v>3086</v>
      </c>
      <c r="S3437" s="9">
        <v>7.75</v>
      </c>
      <c r="T3437" s="9">
        <v>50000</v>
      </c>
      <c r="U3437" s="9">
        <f t="shared" si="2457"/>
        <v>387500</v>
      </c>
      <c r="V3437" s="9">
        <f t="shared" si="2458"/>
        <v>434000.00000000006</v>
      </c>
      <c r="W3437" s="7"/>
      <c r="X3437" s="2">
        <v>2016</v>
      </c>
      <c r="Y3437" s="2"/>
    </row>
    <row r="3438" spans="1:25" s="11" customFormat="1" ht="89.25" customHeight="1" outlineLevel="1" x14ac:dyDescent="0.25">
      <c r="A3438" s="16"/>
      <c r="B3438" s="2" t="s">
        <v>9363</v>
      </c>
      <c r="C3438" s="3" t="s">
        <v>83</v>
      </c>
      <c r="D3438" s="3" t="s">
        <v>9398</v>
      </c>
      <c r="E3438" s="3" t="s">
        <v>3248</v>
      </c>
      <c r="F3438" s="3" t="s">
        <v>9399</v>
      </c>
      <c r="G3438" s="3" t="s">
        <v>9377</v>
      </c>
      <c r="H3438" s="2" t="s">
        <v>88</v>
      </c>
      <c r="I3438" s="4">
        <v>0</v>
      </c>
      <c r="J3438" s="5">
        <v>710000000</v>
      </c>
      <c r="K3438" s="5" t="s">
        <v>89</v>
      </c>
      <c r="L3438" s="5" t="s">
        <v>1730</v>
      </c>
      <c r="M3438" s="6" t="s">
        <v>1494</v>
      </c>
      <c r="N3438" s="7" t="s">
        <v>92</v>
      </c>
      <c r="O3438" s="7" t="s">
        <v>93</v>
      </c>
      <c r="P3438" s="3" t="s">
        <v>673</v>
      </c>
      <c r="Q3438" s="8" t="s">
        <v>3085</v>
      </c>
      <c r="R3438" s="7" t="s">
        <v>3086</v>
      </c>
      <c r="S3438" s="9">
        <v>2.33</v>
      </c>
      <c r="T3438" s="9">
        <v>117081.55</v>
      </c>
      <c r="U3438" s="9">
        <f t="shared" si="2457"/>
        <v>272800.01150000002</v>
      </c>
      <c r="V3438" s="9">
        <f t="shared" si="2458"/>
        <v>305536.01288000005</v>
      </c>
      <c r="W3438" s="7"/>
      <c r="X3438" s="2">
        <v>2016</v>
      </c>
      <c r="Y3438" s="2"/>
    </row>
    <row r="3439" spans="1:25" s="11" customFormat="1" ht="89.25" customHeight="1" outlineLevel="1" x14ac:dyDescent="0.25">
      <c r="A3439" s="16"/>
      <c r="B3439" s="2" t="s">
        <v>9364</v>
      </c>
      <c r="C3439" s="3" t="s">
        <v>83</v>
      </c>
      <c r="D3439" s="3" t="s">
        <v>9373</v>
      </c>
      <c r="E3439" s="3" t="s">
        <v>9374</v>
      </c>
      <c r="F3439" s="3" t="s">
        <v>9375</v>
      </c>
      <c r="G3439" s="3" t="s">
        <v>9372</v>
      </c>
      <c r="H3439" s="2" t="s">
        <v>88</v>
      </c>
      <c r="I3439" s="4">
        <v>0</v>
      </c>
      <c r="J3439" s="5">
        <v>710000000</v>
      </c>
      <c r="K3439" s="5" t="s">
        <v>89</v>
      </c>
      <c r="L3439" s="5" t="s">
        <v>1730</v>
      </c>
      <c r="M3439" s="6" t="s">
        <v>1494</v>
      </c>
      <c r="N3439" s="7" t="s">
        <v>92</v>
      </c>
      <c r="O3439" s="7" t="s">
        <v>93</v>
      </c>
      <c r="P3439" s="3" t="s">
        <v>673</v>
      </c>
      <c r="Q3439" s="8" t="s">
        <v>9376</v>
      </c>
      <c r="R3439" s="7" t="s">
        <v>118</v>
      </c>
      <c r="S3439" s="9">
        <v>2</v>
      </c>
      <c r="T3439" s="9">
        <v>13300</v>
      </c>
      <c r="U3439" s="9">
        <f t="shared" si="2449"/>
        <v>26600</v>
      </c>
      <c r="V3439" s="9">
        <f t="shared" si="2450"/>
        <v>29792.000000000004</v>
      </c>
      <c r="W3439" s="7"/>
      <c r="X3439" s="2">
        <v>2016</v>
      </c>
      <c r="Y3439" s="2"/>
    </row>
    <row r="3440" spans="1:25" s="11" customFormat="1" ht="89.25" customHeight="1" outlineLevel="1" x14ac:dyDescent="0.25">
      <c r="A3440" s="16"/>
      <c r="B3440" s="2" t="s">
        <v>9365</v>
      </c>
      <c r="C3440" s="3" t="s">
        <v>83</v>
      </c>
      <c r="D3440" s="3" t="s">
        <v>9369</v>
      </c>
      <c r="E3440" s="3" t="s">
        <v>4395</v>
      </c>
      <c r="F3440" s="3" t="s">
        <v>9370</v>
      </c>
      <c r="G3440" s="3" t="s">
        <v>9371</v>
      </c>
      <c r="H3440" s="2" t="s">
        <v>88</v>
      </c>
      <c r="I3440" s="4">
        <v>0</v>
      </c>
      <c r="J3440" s="5">
        <v>710000000</v>
      </c>
      <c r="K3440" s="5" t="s">
        <v>89</v>
      </c>
      <c r="L3440" s="5" t="s">
        <v>1730</v>
      </c>
      <c r="M3440" s="6" t="s">
        <v>1494</v>
      </c>
      <c r="N3440" s="7" t="s">
        <v>92</v>
      </c>
      <c r="O3440" s="7" t="s">
        <v>93</v>
      </c>
      <c r="P3440" s="3" t="s">
        <v>673</v>
      </c>
      <c r="Q3440" s="8" t="s">
        <v>9376</v>
      </c>
      <c r="R3440" s="7" t="s">
        <v>118</v>
      </c>
      <c r="S3440" s="9">
        <v>2</v>
      </c>
      <c r="T3440" s="9">
        <v>650</v>
      </c>
      <c r="U3440" s="9">
        <f t="shared" ref="U3440" si="2459">T3440*S3440</f>
        <v>1300</v>
      </c>
      <c r="V3440" s="9">
        <f t="shared" ref="V3440" si="2460">U3440*1.12</f>
        <v>1456.0000000000002</v>
      </c>
      <c r="W3440" s="7"/>
      <c r="X3440" s="2">
        <v>2016</v>
      </c>
      <c r="Y3440" s="2"/>
    </row>
    <row r="3441" spans="1:31" s="11" customFormat="1" ht="89.25" customHeight="1" outlineLevel="1" x14ac:dyDescent="0.25">
      <c r="A3441" s="16"/>
      <c r="B3441" s="2" t="s">
        <v>9366</v>
      </c>
      <c r="C3441" s="3" t="s">
        <v>83</v>
      </c>
      <c r="D3441" s="3" t="s">
        <v>9385</v>
      </c>
      <c r="E3441" s="3" t="s">
        <v>2800</v>
      </c>
      <c r="F3441" s="3" t="s">
        <v>9386</v>
      </c>
      <c r="G3441" s="3" t="s">
        <v>9357</v>
      </c>
      <c r="H3441" s="2" t="s">
        <v>88</v>
      </c>
      <c r="I3441" s="4">
        <v>0</v>
      </c>
      <c r="J3441" s="5">
        <v>710000000</v>
      </c>
      <c r="K3441" s="5" t="s">
        <v>89</v>
      </c>
      <c r="L3441" s="5" t="s">
        <v>1730</v>
      </c>
      <c r="M3441" s="6" t="s">
        <v>1494</v>
      </c>
      <c r="N3441" s="7" t="s">
        <v>92</v>
      </c>
      <c r="O3441" s="7" t="s">
        <v>93</v>
      </c>
      <c r="P3441" s="3" t="s">
        <v>673</v>
      </c>
      <c r="Q3441" s="8" t="s">
        <v>9376</v>
      </c>
      <c r="R3441" s="7" t="s">
        <v>118</v>
      </c>
      <c r="S3441" s="9">
        <v>2</v>
      </c>
      <c r="T3441" s="9">
        <v>3650</v>
      </c>
      <c r="U3441" s="9">
        <f t="shared" si="2449"/>
        <v>7300</v>
      </c>
      <c r="V3441" s="9">
        <f t="shared" si="2450"/>
        <v>8176.0000000000009</v>
      </c>
      <c r="W3441" s="7"/>
      <c r="X3441" s="2">
        <v>2016</v>
      </c>
      <c r="Y3441" s="2"/>
    </row>
    <row r="3442" spans="1:31" s="28" customFormat="1" ht="165.75" customHeight="1" outlineLevel="1" x14ac:dyDescent="0.25">
      <c r="B3442" s="2" t="s">
        <v>9367</v>
      </c>
      <c r="C3442" s="19" t="s">
        <v>83</v>
      </c>
      <c r="D3442" s="19" t="s">
        <v>9388</v>
      </c>
      <c r="E3442" s="19" t="s">
        <v>9389</v>
      </c>
      <c r="F3442" s="19" t="s">
        <v>9390</v>
      </c>
      <c r="G3442" s="19" t="s">
        <v>9397</v>
      </c>
      <c r="H3442" s="19" t="s">
        <v>694</v>
      </c>
      <c r="I3442" s="4">
        <v>0</v>
      </c>
      <c r="J3442" s="5">
        <v>710000000</v>
      </c>
      <c r="K3442" s="19" t="s">
        <v>89</v>
      </c>
      <c r="L3442" s="19" t="s">
        <v>1730</v>
      </c>
      <c r="M3442" s="5" t="s">
        <v>766</v>
      </c>
      <c r="N3442" s="7" t="s">
        <v>92</v>
      </c>
      <c r="O3442" s="7" t="s">
        <v>93</v>
      </c>
      <c r="P3442" s="3" t="s">
        <v>673</v>
      </c>
      <c r="Q3442" s="37" t="s">
        <v>861</v>
      </c>
      <c r="R3442" s="19" t="s">
        <v>812</v>
      </c>
      <c r="S3442" s="9">
        <v>1</v>
      </c>
      <c r="T3442" s="9">
        <v>1829072.32</v>
      </c>
      <c r="U3442" s="9">
        <f t="shared" ref="U3442" si="2461">T3442*S3442</f>
        <v>1829072.32</v>
      </c>
      <c r="V3442" s="9">
        <f t="shared" ref="V3442" si="2462">U3442*1.12</f>
        <v>2048560.9984000002</v>
      </c>
      <c r="W3442" s="7"/>
      <c r="X3442" s="2">
        <v>2016</v>
      </c>
      <c r="Y3442" s="19"/>
    </row>
    <row r="3443" spans="1:31" s="28" customFormat="1" ht="51" customHeight="1" outlineLevel="1" x14ac:dyDescent="0.2">
      <c r="A3443" s="26"/>
      <c r="B3443" s="2" t="s">
        <v>9368</v>
      </c>
      <c r="C3443" s="19" t="s">
        <v>83</v>
      </c>
      <c r="D3443" s="19" t="s">
        <v>737</v>
      </c>
      <c r="E3443" s="19" t="s">
        <v>738</v>
      </c>
      <c r="F3443" s="19" t="s">
        <v>739</v>
      </c>
      <c r="G3443" s="19" t="s">
        <v>744</v>
      </c>
      <c r="H3443" s="19" t="s">
        <v>694</v>
      </c>
      <c r="I3443" s="19" t="s">
        <v>723</v>
      </c>
      <c r="J3443" s="5">
        <v>710000000</v>
      </c>
      <c r="K3443" s="19" t="s">
        <v>89</v>
      </c>
      <c r="L3443" s="19" t="s">
        <v>1730</v>
      </c>
      <c r="M3443" s="19" t="s">
        <v>696</v>
      </c>
      <c r="N3443" s="7" t="s">
        <v>92</v>
      </c>
      <c r="O3443" s="7" t="s">
        <v>697</v>
      </c>
      <c r="P3443" s="19" t="s">
        <v>715</v>
      </c>
      <c r="Q3443" s="37">
        <v>112</v>
      </c>
      <c r="R3443" s="19" t="s">
        <v>96</v>
      </c>
      <c r="S3443" s="9">
        <v>53180</v>
      </c>
      <c r="T3443" s="9">
        <f>121/1.12</f>
        <v>108.03571428571428</v>
      </c>
      <c r="U3443" s="9">
        <v>0</v>
      </c>
      <c r="V3443" s="9">
        <f t="shared" si="2450"/>
        <v>0</v>
      </c>
      <c r="W3443" s="7"/>
      <c r="X3443" s="2">
        <v>2016</v>
      </c>
      <c r="Y3443" s="19" t="s">
        <v>2339</v>
      </c>
    </row>
    <row r="3444" spans="1:31" s="28" customFormat="1" ht="51" customHeight="1" outlineLevel="1" x14ac:dyDescent="0.2">
      <c r="A3444" s="26"/>
      <c r="B3444" s="2" t="s">
        <v>9621</v>
      </c>
      <c r="C3444" s="19" t="s">
        <v>83</v>
      </c>
      <c r="D3444" s="19" t="s">
        <v>737</v>
      </c>
      <c r="E3444" s="19" t="s">
        <v>738</v>
      </c>
      <c r="F3444" s="19" t="s">
        <v>739</v>
      </c>
      <c r="G3444" s="19" t="s">
        <v>744</v>
      </c>
      <c r="H3444" s="19" t="s">
        <v>694</v>
      </c>
      <c r="I3444" s="19" t="s">
        <v>723</v>
      </c>
      <c r="J3444" s="5">
        <v>710000000</v>
      </c>
      <c r="K3444" s="19" t="s">
        <v>89</v>
      </c>
      <c r="L3444" s="19" t="s">
        <v>1741</v>
      </c>
      <c r="M3444" s="19" t="s">
        <v>696</v>
      </c>
      <c r="N3444" s="7" t="s">
        <v>92</v>
      </c>
      <c r="O3444" s="7" t="s">
        <v>697</v>
      </c>
      <c r="P3444" s="19" t="s">
        <v>715</v>
      </c>
      <c r="Q3444" s="37">
        <v>112</v>
      </c>
      <c r="R3444" s="19" t="s">
        <v>96</v>
      </c>
      <c r="S3444" s="9">
        <v>49500</v>
      </c>
      <c r="T3444" s="9">
        <f>130/1.12</f>
        <v>116.07142857142856</v>
      </c>
      <c r="U3444" s="9">
        <v>0</v>
      </c>
      <c r="V3444" s="9">
        <f t="shared" ref="V3444" si="2463">U3444*1.12</f>
        <v>0</v>
      </c>
      <c r="W3444" s="7"/>
      <c r="X3444" s="2">
        <v>2016</v>
      </c>
      <c r="Y3444" s="19" t="s">
        <v>7791</v>
      </c>
    </row>
    <row r="3445" spans="1:31" s="28" customFormat="1" ht="51" customHeight="1" outlineLevel="1" x14ac:dyDescent="0.25">
      <c r="B3445" s="2" t="s">
        <v>9678</v>
      </c>
      <c r="C3445" s="19" t="s">
        <v>83</v>
      </c>
      <c r="D3445" s="19" t="s">
        <v>737</v>
      </c>
      <c r="E3445" s="19" t="s">
        <v>738</v>
      </c>
      <c r="F3445" s="19" t="s">
        <v>739</v>
      </c>
      <c r="G3445" s="19" t="s">
        <v>744</v>
      </c>
      <c r="H3445" s="19" t="s">
        <v>694</v>
      </c>
      <c r="I3445" s="19" t="s">
        <v>723</v>
      </c>
      <c r="J3445" s="5">
        <v>710000000</v>
      </c>
      <c r="K3445" s="19" t="s">
        <v>89</v>
      </c>
      <c r="L3445" s="19" t="s">
        <v>1741</v>
      </c>
      <c r="M3445" s="19" t="s">
        <v>696</v>
      </c>
      <c r="N3445" s="7" t="s">
        <v>92</v>
      </c>
      <c r="O3445" s="7" t="s">
        <v>697</v>
      </c>
      <c r="P3445" s="19" t="s">
        <v>715</v>
      </c>
      <c r="Q3445" s="37">
        <v>112</v>
      </c>
      <c r="R3445" s="19" t="s">
        <v>96</v>
      </c>
      <c r="S3445" s="9">
        <v>50273</v>
      </c>
      <c r="T3445" s="9">
        <f>128/1.12</f>
        <v>114.28571428571428</v>
      </c>
      <c r="U3445" s="9">
        <f t="shared" ref="U3445" si="2464">T3445*S3445</f>
        <v>5745485.7142857136</v>
      </c>
      <c r="V3445" s="9">
        <f t="shared" ref="V3445" si="2465">U3445*1.12</f>
        <v>6434944</v>
      </c>
      <c r="W3445" s="7"/>
      <c r="X3445" s="2">
        <v>2016</v>
      </c>
      <c r="Y3445" s="19"/>
    </row>
    <row r="3446" spans="1:31" s="11" customFormat="1" ht="89.25" customHeight="1" outlineLevel="1" x14ac:dyDescent="0.25">
      <c r="A3446" s="16"/>
      <c r="B3446" s="2" t="s">
        <v>9391</v>
      </c>
      <c r="C3446" s="3" t="s">
        <v>83</v>
      </c>
      <c r="D3446" s="19" t="s">
        <v>9331</v>
      </c>
      <c r="E3446" s="19" t="s">
        <v>2888</v>
      </c>
      <c r="F3446" s="19" t="s">
        <v>9332</v>
      </c>
      <c r="G3446" s="19" t="s">
        <v>9335</v>
      </c>
      <c r="H3446" s="2" t="s">
        <v>694</v>
      </c>
      <c r="I3446" s="4">
        <v>0</v>
      </c>
      <c r="J3446" s="5">
        <v>710000000</v>
      </c>
      <c r="K3446" s="5" t="s">
        <v>89</v>
      </c>
      <c r="L3446" s="5" t="s">
        <v>1730</v>
      </c>
      <c r="M3446" s="5" t="s">
        <v>766</v>
      </c>
      <c r="N3446" s="7" t="s">
        <v>92</v>
      </c>
      <c r="O3446" s="7" t="s">
        <v>93</v>
      </c>
      <c r="P3446" s="3" t="s">
        <v>673</v>
      </c>
      <c r="Q3446" s="8">
        <v>796</v>
      </c>
      <c r="R3446" s="7" t="s">
        <v>118</v>
      </c>
      <c r="S3446" s="9">
        <v>4</v>
      </c>
      <c r="T3446" s="9">
        <v>73214.289999999994</v>
      </c>
      <c r="U3446" s="9">
        <f t="shared" si="2449"/>
        <v>292857.15999999997</v>
      </c>
      <c r="V3446" s="9">
        <f t="shared" si="2450"/>
        <v>328000.01919999998</v>
      </c>
      <c r="W3446" s="7"/>
      <c r="X3446" s="2">
        <v>2016</v>
      </c>
      <c r="Y3446" s="2"/>
    </row>
    <row r="3447" spans="1:31" s="11" customFormat="1" ht="89.25" customHeight="1" outlineLevel="1" x14ac:dyDescent="0.25">
      <c r="A3447" s="16"/>
      <c r="B3447" s="2" t="s">
        <v>9392</v>
      </c>
      <c r="C3447" s="3" t="s">
        <v>83</v>
      </c>
      <c r="D3447" s="19" t="s">
        <v>9333</v>
      </c>
      <c r="E3447" s="19" t="s">
        <v>2888</v>
      </c>
      <c r="F3447" s="19" t="s">
        <v>9334</v>
      </c>
      <c r="G3447" s="19" t="s">
        <v>9336</v>
      </c>
      <c r="H3447" s="2" t="s">
        <v>694</v>
      </c>
      <c r="I3447" s="4">
        <v>0</v>
      </c>
      <c r="J3447" s="5">
        <v>710000000</v>
      </c>
      <c r="K3447" s="5" t="s">
        <v>89</v>
      </c>
      <c r="L3447" s="5" t="s">
        <v>1730</v>
      </c>
      <c r="M3447" s="6" t="s">
        <v>1481</v>
      </c>
      <c r="N3447" s="7" t="s">
        <v>92</v>
      </c>
      <c r="O3447" s="7" t="s">
        <v>93</v>
      </c>
      <c r="P3447" s="3" t="s">
        <v>673</v>
      </c>
      <c r="Q3447" s="8">
        <v>796</v>
      </c>
      <c r="R3447" s="7" t="s">
        <v>118</v>
      </c>
      <c r="S3447" s="9">
        <v>4</v>
      </c>
      <c r="T3447" s="9">
        <v>38392.86</v>
      </c>
      <c r="U3447" s="9">
        <f t="shared" ref="U3447" si="2466">T3447*S3447</f>
        <v>153571.44</v>
      </c>
      <c r="V3447" s="9">
        <f t="shared" ref="V3447" si="2467">U3447*1.12</f>
        <v>172000.01280000003</v>
      </c>
      <c r="W3447" s="7"/>
      <c r="X3447" s="2">
        <v>2016</v>
      </c>
      <c r="Y3447" s="2"/>
    </row>
    <row r="3448" spans="1:31" s="11" customFormat="1" ht="89.25" customHeight="1" outlineLevel="1" x14ac:dyDescent="0.25">
      <c r="A3448" s="1"/>
      <c r="B3448" s="2" t="s">
        <v>9415</v>
      </c>
      <c r="C3448" s="3" t="s">
        <v>83</v>
      </c>
      <c r="D3448" s="3" t="s">
        <v>5060</v>
      </c>
      <c r="E3448" s="3" t="s">
        <v>5061</v>
      </c>
      <c r="F3448" s="3" t="s">
        <v>5062</v>
      </c>
      <c r="G3448" s="19" t="s">
        <v>9418</v>
      </c>
      <c r="H3448" s="2" t="s">
        <v>694</v>
      </c>
      <c r="I3448" s="4">
        <v>0</v>
      </c>
      <c r="J3448" s="5">
        <v>710000000</v>
      </c>
      <c r="K3448" s="5" t="s">
        <v>89</v>
      </c>
      <c r="L3448" s="5" t="s">
        <v>1730</v>
      </c>
      <c r="M3448" s="6" t="s">
        <v>1481</v>
      </c>
      <c r="N3448" s="7" t="s">
        <v>92</v>
      </c>
      <c r="O3448" s="7" t="s">
        <v>93</v>
      </c>
      <c r="P3448" s="3" t="s">
        <v>673</v>
      </c>
      <c r="Q3448" s="8">
        <v>796</v>
      </c>
      <c r="R3448" s="7" t="s">
        <v>118</v>
      </c>
      <c r="S3448" s="9">
        <v>60</v>
      </c>
      <c r="T3448" s="9">
        <v>1550</v>
      </c>
      <c r="U3448" s="9">
        <f>T3448*S3448</f>
        <v>93000</v>
      </c>
      <c r="V3448" s="9">
        <f t="shared" ref="V3448:V3455" si="2468">U3448*1.12</f>
        <v>104160.00000000001</v>
      </c>
      <c r="W3448" s="7"/>
      <c r="X3448" s="2">
        <v>2016</v>
      </c>
      <c r="Y3448" s="2"/>
    </row>
    <row r="3449" spans="1:31" ht="178.5" customHeight="1" outlineLevel="1" x14ac:dyDescent="0.25">
      <c r="B3449" s="2" t="s">
        <v>9423</v>
      </c>
      <c r="C3449" s="3" t="s">
        <v>83</v>
      </c>
      <c r="D3449" s="3" t="s">
        <v>9424</v>
      </c>
      <c r="E3449" s="2" t="s">
        <v>9425</v>
      </c>
      <c r="F3449" s="3" t="s">
        <v>9426</v>
      </c>
      <c r="G3449" s="19" t="s">
        <v>9427</v>
      </c>
      <c r="H3449" s="2" t="s">
        <v>694</v>
      </c>
      <c r="I3449" s="4">
        <v>0</v>
      </c>
      <c r="J3449" s="5">
        <v>710000000</v>
      </c>
      <c r="K3449" s="5" t="s">
        <v>89</v>
      </c>
      <c r="L3449" s="5" t="s">
        <v>1741</v>
      </c>
      <c r="M3449" s="6" t="s">
        <v>1481</v>
      </c>
      <c r="N3449" s="7" t="s">
        <v>92</v>
      </c>
      <c r="O3449" s="7" t="s">
        <v>93</v>
      </c>
      <c r="P3449" s="3" t="s">
        <v>673</v>
      </c>
      <c r="Q3449" s="8">
        <v>796</v>
      </c>
      <c r="R3449" s="7" t="s">
        <v>118</v>
      </c>
      <c r="S3449" s="9">
        <v>2</v>
      </c>
      <c r="T3449" s="9">
        <v>535625</v>
      </c>
      <c r="U3449" s="9">
        <f>T3449*S3449</f>
        <v>1071250</v>
      </c>
      <c r="V3449" s="9">
        <f t="shared" si="2468"/>
        <v>1199800</v>
      </c>
      <c r="W3449" s="96"/>
      <c r="X3449" s="2">
        <v>2016</v>
      </c>
      <c r="Y3449" s="96"/>
    </row>
    <row r="3450" spans="1:31" ht="165.75" customHeight="1" outlineLevel="1" x14ac:dyDescent="0.25">
      <c r="B3450" s="2" t="s">
        <v>9428</v>
      </c>
      <c r="C3450" s="3" t="s">
        <v>83</v>
      </c>
      <c r="D3450" s="3" t="s">
        <v>9424</v>
      </c>
      <c r="E3450" s="2" t="s">
        <v>9425</v>
      </c>
      <c r="F3450" s="3" t="s">
        <v>9426</v>
      </c>
      <c r="G3450" s="19" t="s">
        <v>9429</v>
      </c>
      <c r="H3450" s="2" t="s">
        <v>694</v>
      </c>
      <c r="I3450" s="4">
        <v>0</v>
      </c>
      <c r="J3450" s="5">
        <v>710000000</v>
      </c>
      <c r="K3450" s="5" t="s">
        <v>89</v>
      </c>
      <c r="L3450" s="5" t="s">
        <v>1741</v>
      </c>
      <c r="M3450" s="6" t="s">
        <v>1481</v>
      </c>
      <c r="N3450" s="7" t="s">
        <v>92</v>
      </c>
      <c r="O3450" s="7" t="s">
        <v>93</v>
      </c>
      <c r="P3450" s="3" t="s">
        <v>673</v>
      </c>
      <c r="Q3450" s="8">
        <v>796</v>
      </c>
      <c r="R3450" s="7" t="s">
        <v>118</v>
      </c>
      <c r="S3450" s="9">
        <v>3</v>
      </c>
      <c r="T3450" s="9">
        <v>249910.71400000001</v>
      </c>
      <c r="U3450" s="9">
        <f>T3450*S3450</f>
        <v>749732.14199999999</v>
      </c>
      <c r="V3450" s="9">
        <f t="shared" ref="V3450" si="2469">U3450*1.12</f>
        <v>839699.99904000002</v>
      </c>
      <c r="W3450" s="96"/>
      <c r="X3450" s="2">
        <v>2016</v>
      </c>
      <c r="Y3450" s="96"/>
    </row>
    <row r="3451" spans="1:31" s="98" customFormat="1" ht="89.25" customHeight="1" outlineLevel="1" x14ac:dyDescent="0.25">
      <c r="A3451" s="16"/>
      <c r="B3451" s="2" t="s">
        <v>9430</v>
      </c>
      <c r="C3451" s="41" t="s">
        <v>83</v>
      </c>
      <c r="D3451" s="41" t="s">
        <v>9431</v>
      </c>
      <c r="E3451" s="47" t="s">
        <v>9432</v>
      </c>
      <c r="F3451" s="41" t="s">
        <v>9433</v>
      </c>
      <c r="G3451" s="70" t="s">
        <v>9434</v>
      </c>
      <c r="H3451" s="47" t="s">
        <v>694</v>
      </c>
      <c r="I3451" s="4">
        <v>0</v>
      </c>
      <c r="J3451" s="43">
        <v>710000000</v>
      </c>
      <c r="K3451" s="43" t="s">
        <v>89</v>
      </c>
      <c r="L3451" s="43" t="s">
        <v>1741</v>
      </c>
      <c r="M3451" s="42" t="s">
        <v>1481</v>
      </c>
      <c r="N3451" s="44" t="s">
        <v>92</v>
      </c>
      <c r="O3451" s="44" t="s">
        <v>93</v>
      </c>
      <c r="P3451" s="41" t="s">
        <v>673</v>
      </c>
      <c r="Q3451" s="45">
        <v>796</v>
      </c>
      <c r="R3451" s="44" t="s">
        <v>118</v>
      </c>
      <c r="S3451" s="46">
        <v>5</v>
      </c>
      <c r="T3451" s="46">
        <v>6241.0709999999999</v>
      </c>
      <c r="U3451" s="9">
        <f>T3451*S3451</f>
        <v>31205.355</v>
      </c>
      <c r="V3451" s="9">
        <f t="shared" ref="V3451" si="2470">U3451*1.12</f>
        <v>34949.997600000002</v>
      </c>
      <c r="W3451" s="97"/>
      <c r="X3451" s="47">
        <v>2016</v>
      </c>
      <c r="Y3451" s="97"/>
      <c r="Z3451" s="1"/>
      <c r="AA3451" s="1"/>
      <c r="AB3451" s="1"/>
      <c r="AC3451" s="1"/>
      <c r="AD3451" s="1"/>
      <c r="AE3451" s="1"/>
    </row>
    <row r="3452" spans="1:31" s="20" customFormat="1" ht="242.25" customHeight="1" outlineLevel="1" x14ac:dyDescent="0.25">
      <c r="B3452" s="3" t="s">
        <v>9438</v>
      </c>
      <c r="C3452" s="3" t="s">
        <v>83</v>
      </c>
      <c r="D3452" s="3" t="s">
        <v>7754</v>
      </c>
      <c r="E3452" s="3" t="s">
        <v>7755</v>
      </c>
      <c r="F3452" s="3" t="s">
        <v>7756</v>
      </c>
      <c r="G3452" s="3" t="s">
        <v>9439</v>
      </c>
      <c r="H3452" s="3" t="s">
        <v>694</v>
      </c>
      <c r="I3452" s="4">
        <v>0</v>
      </c>
      <c r="J3452" s="5">
        <v>710000000</v>
      </c>
      <c r="K3452" s="3" t="s">
        <v>89</v>
      </c>
      <c r="L3452" s="3" t="s">
        <v>1741</v>
      </c>
      <c r="M3452" s="3" t="s">
        <v>1481</v>
      </c>
      <c r="N3452" s="3" t="s">
        <v>92</v>
      </c>
      <c r="O3452" s="3" t="s">
        <v>93</v>
      </c>
      <c r="P3452" s="3" t="s">
        <v>673</v>
      </c>
      <c r="Q3452" s="3">
        <v>839</v>
      </c>
      <c r="R3452" s="3" t="s">
        <v>3667</v>
      </c>
      <c r="S3452" s="9">
        <v>30</v>
      </c>
      <c r="T3452" s="9">
        <v>1057005.4761999999</v>
      </c>
      <c r="U3452" s="9">
        <f t="shared" ref="U3452" si="2471">T3452*S3452</f>
        <v>31710164.285999998</v>
      </c>
      <c r="V3452" s="9">
        <f t="shared" ref="V3452" si="2472">U3452*1.12</f>
        <v>35515384.000320002</v>
      </c>
      <c r="W3452" s="3"/>
      <c r="X3452" s="47">
        <v>2016</v>
      </c>
      <c r="Y3452" s="3"/>
    </row>
    <row r="3453" spans="1:31" s="20" customFormat="1" ht="89.25" customHeight="1" outlineLevel="1" x14ac:dyDescent="0.25">
      <c r="B3453" s="3" t="s">
        <v>9441</v>
      </c>
      <c r="C3453" s="3" t="s">
        <v>83</v>
      </c>
      <c r="D3453" s="3" t="s">
        <v>2476</v>
      </c>
      <c r="E3453" s="3" t="s">
        <v>2473</v>
      </c>
      <c r="F3453" s="3" t="s">
        <v>2477</v>
      </c>
      <c r="G3453" s="3" t="s">
        <v>9440</v>
      </c>
      <c r="H3453" s="3" t="s">
        <v>88</v>
      </c>
      <c r="I3453" s="4">
        <v>0</v>
      </c>
      <c r="J3453" s="5">
        <v>710000000</v>
      </c>
      <c r="K3453" s="3" t="s">
        <v>89</v>
      </c>
      <c r="L3453" s="3" t="s">
        <v>1741</v>
      </c>
      <c r="M3453" s="3" t="s">
        <v>2699</v>
      </c>
      <c r="N3453" s="3" t="s">
        <v>92</v>
      </c>
      <c r="O3453" s="3" t="s">
        <v>93</v>
      </c>
      <c r="P3453" s="3" t="s">
        <v>673</v>
      </c>
      <c r="Q3453" s="3">
        <v>796</v>
      </c>
      <c r="R3453" s="3" t="s">
        <v>118</v>
      </c>
      <c r="S3453" s="9">
        <v>11</v>
      </c>
      <c r="T3453" s="9">
        <v>714.29</v>
      </c>
      <c r="U3453" s="9">
        <f>S3453*T3453</f>
        <v>7857.19</v>
      </c>
      <c r="V3453" s="9">
        <f t="shared" si="2468"/>
        <v>8800.0528000000013</v>
      </c>
      <c r="W3453" s="3"/>
      <c r="X3453" s="47">
        <v>2016</v>
      </c>
      <c r="Y3453" s="3"/>
    </row>
    <row r="3454" spans="1:31" s="20" customFormat="1" ht="89.25" customHeight="1" outlineLevel="1" x14ac:dyDescent="0.25">
      <c r="B3454" s="3" t="s">
        <v>9443</v>
      </c>
      <c r="C3454" s="3" t="s">
        <v>83</v>
      </c>
      <c r="D3454" s="3" t="s">
        <v>2472</v>
      </c>
      <c r="E3454" s="3" t="s">
        <v>2473</v>
      </c>
      <c r="F3454" s="3" t="s">
        <v>2474</v>
      </c>
      <c r="G3454" s="3" t="s">
        <v>9442</v>
      </c>
      <c r="H3454" s="3" t="s">
        <v>88</v>
      </c>
      <c r="I3454" s="4">
        <v>0</v>
      </c>
      <c r="J3454" s="5">
        <v>710000000</v>
      </c>
      <c r="K3454" s="3" t="s">
        <v>89</v>
      </c>
      <c r="L3454" s="3" t="s">
        <v>1741</v>
      </c>
      <c r="M3454" s="3" t="s">
        <v>2699</v>
      </c>
      <c r="N3454" s="3" t="s">
        <v>92</v>
      </c>
      <c r="O3454" s="3" t="s">
        <v>93</v>
      </c>
      <c r="P3454" s="3" t="s">
        <v>673</v>
      </c>
      <c r="Q3454" s="3">
        <v>796</v>
      </c>
      <c r="R3454" s="3" t="s">
        <v>118</v>
      </c>
      <c r="S3454" s="9">
        <v>11</v>
      </c>
      <c r="T3454" s="9">
        <v>803.57</v>
      </c>
      <c r="U3454" s="9">
        <f>S3454*T3454</f>
        <v>8839.27</v>
      </c>
      <c r="V3454" s="9">
        <f t="shared" si="2468"/>
        <v>9899.9824000000008</v>
      </c>
      <c r="W3454" s="3"/>
      <c r="X3454" s="47">
        <v>2016</v>
      </c>
      <c r="Y3454" s="3"/>
    </row>
    <row r="3455" spans="1:31" s="98" customFormat="1" ht="89.25" customHeight="1" outlineLevel="1" x14ac:dyDescent="0.25">
      <c r="A3455" s="16"/>
      <c r="B3455" s="2" t="s">
        <v>9445</v>
      </c>
      <c r="C3455" s="3" t="s">
        <v>83</v>
      </c>
      <c r="D3455" s="3" t="s">
        <v>2479</v>
      </c>
      <c r="E3455" s="3" t="s">
        <v>2480</v>
      </c>
      <c r="F3455" s="3" t="s">
        <v>2481</v>
      </c>
      <c r="G3455" s="3" t="s">
        <v>9444</v>
      </c>
      <c r="H3455" s="3" t="s">
        <v>88</v>
      </c>
      <c r="I3455" s="4">
        <v>0</v>
      </c>
      <c r="J3455" s="5">
        <v>710000000</v>
      </c>
      <c r="K3455" s="3" t="s">
        <v>89</v>
      </c>
      <c r="L3455" s="3" t="s">
        <v>1741</v>
      </c>
      <c r="M3455" s="3" t="s">
        <v>2699</v>
      </c>
      <c r="N3455" s="3" t="s">
        <v>92</v>
      </c>
      <c r="O3455" s="3" t="s">
        <v>93</v>
      </c>
      <c r="P3455" s="3" t="s">
        <v>673</v>
      </c>
      <c r="Q3455" s="8" t="s">
        <v>861</v>
      </c>
      <c r="R3455" s="7" t="s">
        <v>3667</v>
      </c>
      <c r="S3455" s="9">
        <v>11</v>
      </c>
      <c r="T3455" s="9">
        <v>1160.71</v>
      </c>
      <c r="U3455" s="9">
        <f>S3455*T3455</f>
        <v>12767.810000000001</v>
      </c>
      <c r="V3455" s="9">
        <f t="shared" si="2468"/>
        <v>14299.947200000002</v>
      </c>
      <c r="W3455" s="96"/>
      <c r="X3455" s="47">
        <v>2016</v>
      </c>
      <c r="Y3455" s="96"/>
      <c r="Z3455" s="1"/>
      <c r="AA3455" s="1"/>
      <c r="AB3455" s="1"/>
      <c r="AC3455" s="1"/>
      <c r="AD3455" s="1"/>
      <c r="AE3455" s="1"/>
    </row>
    <row r="3456" spans="1:31" ht="89.25" customHeight="1" outlineLevel="1" x14ac:dyDescent="0.25">
      <c r="B3456" s="3" t="s">
        <v>9446</v>
      </c>
      <c r="C3456" s="3" t="s">
        <v>83</v>
      </c>
      <c r="D3456" s="3" t="s">
        <v>2610</v>
      </c>
      <c r="E3456" s="3" t="s">
        <v>858</v>
      </c>
      <c r="F3456" s="3" t="s">
        <v>2611</v>
      </c>
      <c r="G3456" s="55" t="s">
        <v>9462</v>
      </c>
      <c r="H3456" s="3" t="s">
        <v>88</v>
      </c>
      <c r="I3456" s="4">
        <v>0</v>
      </c>
      <c r="J3456" s="5">
        <v>710000000</v>
      </c>
      <c r="K3456" s="3" t="s">
        <v>89</v>
      </c>
      <c r="L3456" s="3" t="s">
        <v>1741</v>
      </c>
      <c r="M3456" s="3" t="s">
        <v>2699</v>
      </c>
      <c r="N3456" s="3" t="s">
        <v>92</v>
      </c>
      <c r="O3456" s="3" t="s">
        <v>93</v>
      </c>
      <c r="P3456" s="3" t="s">
        <v>673</v>
      </c>
      <c r="Q3456" s="3">
        <v>796</v>
      </c>
      <c r="R3456" s="3" t="s">
        <v>118</v>
      </c>
      <c r="S3456" s="52">
        <v>2</v>
      </c>
      <c r="T3456" s="52">
        <v>9500</v>
      </c>
      <c r="U3456" s="9">
        <f t="shared" ref="U3456:U3510" si="2473">S3456*T3456</f>
        <v>19000</v>
      </c>
      <c r="V3456" s="9">
        <f t="shared" ref="V3456:V3510" si="2474">U3456*1.12</f>
        <v>21280.000000000004</v>
      </c>
      <c r="W3456" s="99"/>
      <c r="X3456" s="47">
        <v>2016</v>
      </c>
      <c r="Y3456" s="94"/>
    </row>
    <row r="3457" spans="2:25" ht="89.25" customHeight="1" outlineLevel="1" x14ac:dyDescent="0.25">
      <c r="B3457" s="3" t="s">
        <v>9447</v>
      </c>
      <c r="C3457" s="3" t="s">
        <v>83</v>
      </c>
      <c r="D3457" s="3" t="s">
        <v>2387</v>
      </c>
      <c r="E3457" s="3" t="s">
        <v>2374</v>
      </c>
      <c r="F3457" s="3" t="s">
        <v>2388</v>
      </c>
      <c r="G3457" s="19" t="s">
        <v>9463</v>
      </c>
      <c r="H3457" s="3" t="s">
        <v>88</v>
      </c>
      <c r="I3457" s="4">
        <v>0</v>
      </c>
      <c r="J3457" s="5">
        <v>710000000</v>
      </c>
      <c r="K3457" s="3" t="s">
        <v>89</v>
      </c>
      <c r="L3457" s="3" t="s">
        <v>1741</v>
      </c>
      <c r="M3457" s="3" t="s">
        <v>2699</v>
      </c>
      <c r="N3457" s="3" t="s">
        <v>92</v>
      </c>
      <c r="O3457" s="3" t="s">
        <v>93</v>
      </c>
      <c r="P3457" s="3" t="s">
        <v>673</v>
      </c>
      <c r="Q3457" s="3">
        <v>796</v>
      </c>
      <c r="R3457" s="3" t="s">
        <v>118</v>
      </c>
      <c r="S3457" s="9">
        <v>12</v>
      </c>
      <c r="T3457" s="9">
        <v>283.93</v>
      </c>
      <c r="U3457" s="9">
        <f t="shared" si="2473"/>
        <v>3407.16</v>
      </c>
      <c r="V3457" s="9">
        <f t="shared" si="2474"/>
        <v>3816.0192000000002</v>
      </c>
      <c r="W3457" s="100"/>
      <c r="X3457" s="47">
        <v>2016</v>
      </c>
      <c r="Y3457" s="96"/>
    </row>
    <row r="3458" spans="2:25" ht="178.5" customHeight="1" outlineLevel="1" x14ac:dyDescent="0.25">
      <c r="B3458" s="2" t="s">
        <v>9448</v>
      </c>
      <c r="C3458" s="3" t="s">
        <v>83</v>
      </c>
      <c r="D3458" s="3" t="s">
        <v>9465</v>
      </c>
      <c r="E3458" s="3" t="s">
        <v>2341</v>
      </c>
      <c r="F3458" s="3" t="s">
        <v>2467</v>
      </c>
      <c r="G3458" s="3" t="s">
        <v>7461</v>
      </c>
      <c r="H3458" s="3" t="s">
        <v>88</v>
      </c>
      <c r="I3458" s="4">
        <v>0</v>
      </c>
      <c r="J3458" s="3">
        <v>710000000</v>
      </c>
      <c r="K3458" s="3" t="s">
        <v>89</v>
      </c>
      <c r="L3458" s="3" t="s">
        <v>1741</v>
      </c>
      <c r="M3458" s="3" t="s">
        <v>2699</v>
      </c>
      <c r="N3458" s="3" t="s">
        <v>92</v>
      </c>
      <c r="O3458" s="3" t="s">
        <v>93</v>
      </c>
      <c r="P3458" s="3" t="s">
        <v>673</v>
      </c>
      <c r="Q3458" s="3">
        <v>868</v>
      </c>
      <c r="R3458" s="3" t="s">
        <v>585</v>
      </c>
      <c r="S3458" s="9">
        <v>22</v>
      </c>
      <c r="T3458" s="9">
        <v>333.93</v>
      </c>
      <c r="U3458" s="9">
        <f t="shared" si="2473"/>
        <v>7346.46</v>
      </c>
      <c r="V3458" s="9">
        <f t="shared" si="2474"/>
        <v>8228.0352000000003</v>
      </c>
      <c r="W3458" s="100"/>
      <c r="X3458" s="47">
        <v>2016</v>
      </c>
      <c r="Y3458" s="96"/>
    </row>
    <row r="3459" spans="2:25" ht="89.25" customHeight="1" outlineLevel="1" x14ac:dyDescent="0.25">
      <c r="B3459" s="3" t="s">
        <v>9449</v>
      </c>
      <c r="C3459" s="3" t="s">
        <v>83</v>
      </c>
      <c r="D3459" s="3" t="s">
        <v>2392</v>
      </c>
      <c r="E3459" s="3" t="s">
        <v>2341</v>
      </c>
      <c r="F3459" s="3" t="s">
        <v>2393</v>
      </c>
      <c r="G3459" s="19" t="s">
        <v>9464</v>
      </c>
      <c r="H3459" s="3" t="s">
        <v>88</v>
      </c>
      <c r="I3459" s="4">
        <v>0</v>
      </c>
      <c r="J3459" s="5">
        <v>710000000</v>
      </c>
      <c r="K3459" s="3" t="s">
        <v>89</v>
      </c>
      <c r="L3459" s="3" t="s">
        <v>1741</v>
      </c>
      <c r="M3459" s="3" t="s">
        <v>2699</v>
      </c>
      <c r="N3459" s="3" t="s">
        <v>92</v>
      </c>
      <c r="O3459" s="3" t="s">
        <v>93</v>
      </c>
      <c r="P3459" s="3" t="s">
        <v>673</v>
      </c>
      <c r="Q3459" s="3">
        <v>796</v>
      </c>
      <c r="R3459" s="3" t="s">
        <v>118</v>
      </c>
      <c r="S3459" s="9">
        <v>10</v>
      </c>
      <c r="T3459" s="9">
        <v>450</v>
      </c>
      <c r="U3459" s="9">
        <f t="shared" si="2473"/>
        <v>4500</v>
      </c>
      <c r="V3459" s="9">
        <f t="shared" si="2474"/>
        <v>5040.0000000000009</v>
      </c>
      <c r="W3459" s="100"/>
      <c r="X3459" s="47">
        <v>2016</v>
      </c>
      <c r="Y3459" s="96"/>
    </row>
    <row r="3460" spans="2:25" ht="89.25" customHeight="1" outlineLevel="1" x14ac:dyDescent="0.25">
      <c r="B3460" s="3" t="s">
        <v>9450</v>
      </c>
      <c r="C3460" s="3" t="s">
        <v>83</v>
      </c>
      <c r="D3460" s="3" t="s">
        <v>9466</v>
      </c>
      <c r="E3460" s="3" t="s">
        <v>2535</v>
      </c>
      <c r="F3460" s="3" t="s">
        <v>9467</v>
      </c>
      <c r="G3460" s="3" t="s">
        <v>9468</v>
      </c>
      <c r="H3460" s="3" t="s">
        <v>88</v>
      </c>
      <c r="I3460" s="4">
        <v>0</v>
      </c>
      <c r="J3460" s="5">
        <v>710000000</v>
      </c>
      <c r="K3460" s="3" t="s">
        <v>89</v>
      </c>
      <c r="L3460" s="3" t="s">
        <v>1741</v>
      </c>
      <c r="M3460" s="3" t="s">
        <v>2699</v>
      </c>
      <c r="N3460" s="3" t="s">
        <v>92</v>
      </c>
      <c r="O3460" s="3" t="s">
        <v>93</v>
      </c>
      <c r="P3460" s="3" t="s">
        <v>673</v>
      </c>
      <c r="Q3460" s="3">
        <v>868</v>
      </c>
      <c r="R3460" s="3" t="s">
        <v>585</v>
      </c>
      <c r="S3460" s="9">
        <v>100</v>
      </c>
      <c r="T3460" s="9">
        <v>942.5</v>
      </c>
      <c r="U3460" s="9">
        <f t="shared" si="2473"/>
        <v>94250</v>
      </c>
      <c r="V3460" s="9">
        <f t="shared" si="2474"/>
        <v>105560.00000000001</v>
      </c>
      <c r="W3460" s="100"/>
      <c r="X3460" s="47">
        <v>2016</v>
      </c>
      <c r="Y3460" s="96"/>
    </row>
    <row r="3461" spans="2:25" ht="89.25" customHeight="1" outlineLevel="1" x14ac:dyDescent="0.25">
      <c r="B3461" s="3" t="s">
        <v>9451</v>
      </c>
      <c r="C3461" s="3" t="s">
        <v>83</v>
      </c>
      <c r="D3461" s="3" t="s">
        <v>2396</v>
      </c>
      <c r="E3461" s="3" t="s">
        <v>2397</v>
      </c>
      <c r="F3461" s="3" t="s">
        <v>2398</v>
      </c>
      <c r="G3461" s="3" t="s">
        <v>9469</v>
      </c>
      <c r="H3461" s="3" t="s">
        <v>88</v>
      </c>
      <c r="I3461" s="4">
        <v>0</v>
      </c>
      <c r="J3461" s="5">
        <v>710000000</v>
      </c>
      <c r="K3461" s="3" t="s">
        <v>89</v>
      </c>
      <c r="L3461" s="3" t="s">
        <v>1741</v>
      </c>
      <c r="M3461" s="3" t="s">
        <v>2699</v>
      </c>
      <c r="N3461" s="3" t="s">
        <v>92</v>
      </c>
      <c r="O3461" s="3" t="s">
        <v>93</v>
      </c>
      <c r="P3461" s="3" t="s">
        <v>673</v>
      </c>
      <c r="Q3461" s="3">
        <v>796</v>
      </c>
      <c r="R3461" s="3" t="s">
        <v>118</v>
      </c>
      <c r="S3461" s="9">
        <v>250</v>
      </c>
      <c r="T3461" s="9">
        <v>380</v>
      </c>
      <c r="U3461" s="9">
        <f t="shared" si="2473"/>
        <v>95000</v>
      </c>
      <c r="V3461" s="9">
        <f t="shared" si="2474"/>
        <v>106400.00000000001</v>
      </c>
      <c r="W3461" s="100"/>
      <c r="X3461" s="47">
        <v>2016</v>
      </c>
      <c r="Y3461" s="96"/>
    </row>
    <row r="3462" spans="2:25" ht="89.25" customHeight="1" outlineLevel="1" x14ac:dyDescent="0.25">
      <c r="B3462" s="3" t="s">
        <v>9452</v>
      </c>
      <c r="C3462" s="3" t="s">
        <v>83</v>
      </c>
      <c r="D3462" s="3" t="s">
        <v>2496</v>
      </c>
      <c r="E3462" s="3" t="s">
        <v>2497</v>
      </c>
      <c r="F3462" s="3" t="s">
        <v>2498</v>
      </c>
      <c r="G3462" s="19" t="s">
        <v>9470</v>
      </c>
      <c r="H3462" s="3" t="s">
        <v>88</v>
      </c>
      <c r="I3462" s="4">
        <v>0</v>
      </c>
      <c r="J3462" s="5">
        <v>710000000</v>
      </c>
      <c r="K3462" s="3" t="s">
        <v>89</v>
      </c>
      <c r="L3462" s="3" t="s">
        <v>1741</v>
      </c>
      <c r="M3462" s="3" t="s">
        <v>2699</v>
      </c>
      <c r="N3462" s="3" t="s">
        <v>92</v>
      </c>
      <c r="O3462" s="3" t="s">
        <v>93</v>
      </c>
      <c r="P3462" s="3" t="s">
        <v>673</v>
      </c>
      <c r="Q3462" s="3">
        <v>796</v>
      </c>
      <c r="R3462" s="3" t="s">
        <v>118</v>
      </c>
      <c r="S3462" s="9">
        <v>96</v>
      </c>
      <c r="T3462" s="9">
        <v>1100</v>
      </c>
      <c r="U3462" s="9">
        <f t="shared" si="2473"/>
        <v>105600</v>
      </c>
      <c r="V3462" s="9">
        <f t="shared" si="2474"/>
        <v>118272.00000000001</v>
      </c>
      <c r="W3462" s="100"/>
      <c r="X3462" s="47">
        <v>2016</v>
      </c>
      <c r="Y3462" s="96"/>
    </row>
    <row r="3463" spans="2:25" ht="127.5" customHeight="1" outlineLevel="1" x14ac:dyDescent="0.25">
      <c r="B3463" s="3" t="s">
        <v>9453</v>
      </c>
      <c r="C3463" s="3" t="s">
        <v>83</v>
      </c>
      <c r="D3463" s="3" t="s">
        <v>9472</v>
      </c>
      <c r="E3463" s="3" t="s">
        <v>3859</v>
      </c>
      <c r="F3463" s="3" t="s">
        <v>3860</v>
      </c>
      <c r="G3463" s="3" t="s">
        <v>9471</v>
      </c>
      <c r="H3463" s="3" t="s">
        <v>88</v>
      </c>
      <c r="I3463" s="4">
        <v>0</v>
      </c>
      <c r="J3463" s="5">
        <v>710000000</v>
      </c>
      <c r="K3463" s="3" t="s">
        <v>89</v>
      </c>
      <c r="L3463" s="3" t="s">
        <v>1741</v>
      </c>
      <c r="M3463" s="3" t="s">
        <v>2699</v>
      </c>
      <c r="N3463" s="3" t="s">
        <v>92</v>
      </c>
      <c r="O3463" s="3" t="s">
        <v>93</v>
      </c>
      <c r="P3463" s="3" t="s">
        <v>673</v>
      </c>
      <c r="Q3463" s="3">
        <v>796</v>
      </c>
      <c r="R3463" s="3" t="s">
        <v>118</v>
      </c>
      <c r="S3463" s="9">
        <v>1</v>
      </c>
      <c r="T3463" s="9">
        <v>17200</v>
      </c>
      <c r="U3463" s="9">
        <f t="shared" si="2473"/>
        <v>17200</v>
      </c>
      <c r="V3463" s="9">
        <f t="shared" si="2474"/>
        <v>19264.000000000004</v>
      </c>
      <c r="W3463" s="100"/>
      <c r="X3463" s="47">
        <v>2016</v>
      </c>
      <c r="Y3463" s="96"/>
    </row>
    <row r="3464" spans="2:25" ht="165.75" customHeight="1" outlineLevel="1" x14ac:dyDescent="0.25">
      <c r="B3464" s="2" t="s">
        <v>9454</v>
      </c>
      <c r="C3464" s="3" t="s">
        <v>83</v>
      </c>
      <c r="D3464" s="3" t="s">
        <v>3840</v>
      </c>
      <c r="E3464" s="3" t="s">
        <v>3841</v>
      </c>
      <c r="F3464" s="3" t="s">
        <v>3842</v>
      </c>
      <c r="G3464" s="3" t="s">
        <v>9473</v>
      </c>
      <c r="H3464" s="3" t="s">
        <v>88</v>
      </c>
      <c r="I3464" s="4">
        <v>0</v>
      </c>
      <c r="J3464" s="5">
        <v>710000000</v>
      </c>
      <c r="K3464" s="3" t="s">
        <v>89</v>
      </c>
      <c r="L3464" s="3" t="s">
        <v>1741</v>
      </c>
      <c r="M3464" s="3" t="s">
        <v>2699</v>
      </c>
      <c r="N3464" s="3" t="s">
        <v>92</v>
      </c>
      <c r="O3464" s="3" t="s">
        <v>93</v>
      </c>
      <c r="P3464" s="3" t="s">
        <v>673</v>
      </c>
      <c r="Q3464" s="3">
        <v>796</v>
      </c>
      <c r="R3464" s="3" t="s">
        <v>118</v>
      </c>
      <c r="S3464" s="9">
        <v>1</v>
      </c>
      <c r="T3464" s="14">
        <v>6466.96</v>
      </c>
      <c r="U3464" s="9">
        <f t="shared" si="2473"/>
        <v>6466.96</v>
      </c>
      <c r="V3464" s="9">
        <f t="shared" si="2474"/>
        <v>7242.9952000000003</v>
      </c>
      <c r="W3464" s="100"/>
      <c r="X3464" s="47">
        <v>2016</v>
      </c>
      <c r="Y3464" s="96"/>
    </row>
    <row r="3465" spans="2:25" ht="89.25" customHeight="1" outlineLevel="1" x14ac:dyDescent="0.25">
      <c r="B3465" s="3" t="s">
        <v>9455</v>
      </c>
      <c r="C3465" s="3" t="s">
        <v>83</v>
      </c>
      <c r="D3465" s="3" t="s">
        <v>2996</v>
      </c>
      <c r="E3465" s="3" t="s">
        <v>2997</v>
      </c>
      <c r="F3465" s="3" t="s">
        <v>2998</v>
      </c>
      <c r="G3465" s="3" t="s">
        <v>9474</v>
      </c>
      <c r="H3465" s="3" t="s">
        <v>88</v>
      </c>
      <c r="I3465" s="4">
        <v>0</v>
      </c>
      <c r="J3465" s="5">
        <v>710000000</v>
      </c>
      <c r="K3465" s="3" t="s">
        <v>89</v>
      </c>
      <c r="L3465" s="3" t="s">
        <v>1741</v>
      </c>
      <c r="M3465" s="3" t="s">
        <v>2699</v>
      </c>
      <c r="N3465" s="3" t="s">
        <v>92</v>
      </c>
      <c r="O3465" s="3" t="s">
        <v>93</v>
      </c>
      <c r="P3465" s="3" t="s">
        <v>673</v>
      </c>
      <c r="Q3465" s="3">
        <v>796</v>
      </c>
      <c r="R3465" s="3" t="s">
        <v>118</v>
      </c>
      <c r="S3465" s="9">
        <v>3</v>
      </c>
      <c r="T3465" s="9">
        <v>1800</v>
      </c>
      <c r="U3465" s="9">
        <f t="shared" si="2473"/>
        <v>5400</v>
      </c>
      <c r="V3465" s="9">
        <f t="shared" si="2474"/>
        <v>6048.0000000000009</v>
      </c>
      <c r="W3465" s="100"/>
      <c r="X3465" s="47">
        <v>2016</v>
      </c>
      <c r="Y3465" s="96"/>
    </row>
    <row r="3466" spans="2:25" ht="89.25" customHeight="1" outlineLevel="1" x14ac:dyDescent="0.25">
      <c r="B3466" s="3" t="s">
        <v>9456</v>
      </c>
      <c r="C3466" s="3" t="s">
        <v>83</v>
      </c>
      <c r="D3466" s="3" t="s">
        <v>9475</v>
      </c>
      <c r="E3466" s="3" t="s">
        <v>9476</v>
      </c>
      <c r="F3466" s="3" t="s">
        <v>9477</v>
      </c>
      <c r="G3466" s="3" t="s">
        <v>9478</v>
      </c>
      <c r="H3466" s="3" t="s">
        <v>88</v>
      </c>
      <c r="I3466" s="4">
        <v>0</v>
      </c>
      <c r="J3466" s="5">
        <v>710000000</v>
      </c>
      <c r="K3466" s="3" t="s">
        <v>89</v>
      </c>
      <c r="L3466" s="3" t="s">
        <v>1741</v>
      </c>
      <c r="M3466" s="3" t="s">
        <v>2699</v>
      </c>
      <c r="N3466" s="3" t="s">
        <v>92</v>
      </c>
      <c r="O3466" s="3" t="s">
        <v>93</v>
      </c>
      <c r="P3466" s="3" t="s">
        <v>673</v>
      </c>
      <c r="Q3466" s="3">
        <v>796</v>
      </c>
      <c r="R3466" s="3" t="s">
        <v>118</v>
      </c>
      <c r="S3466" s="9">
        <v>2</v>
      </c>
      <c r="T3466" s="9">
        <v>45000</v>
      </c>
      <c r="U3466" s="9">
        <f t="shared" si="2473"/>
        <v>90000</v>
      </c>
      <c r="V3466" s="9">
        <f t="shared" si="2474"/>
        <v>100800.00000000001</v>
      </c>
      <c r="W3466" s="100"/>
      <c r="X3466" s="47">
        <v>2016</v>
      </c>
      <c r="Y3466" s="96"/>
    </row>
    <row r="3467" spans="2:25" ht="89.25" customHeight="1" outlineLevel="1" x14ac:dyDescent="0.25">
      <c r="B3467" s="2" t="s">
        <v>9457</v>
      </c>
      <c r="C3467" s="3" t="s">
        <v>83</v>
      </c>
      <c r="D3467" s="3" t="s">
        <v>3724</v>
      </c>
      <c r="E3467" s="3" t="s">
        <v>3714</v>
      </c>
      <c r="F3467" s="3" t="s">
        <v>3725</v>
      </c>
      <c r="G3467" s="3" t="s">
        <v>3726</v>
      </c>
      <c r="H3467" s="3" t="s">
        <v>88</v>
      </c>
      <c r="I3467" s="4">
        <v>0</v>
      </c>
      <c r="J3467" s="5">
        <v>710000000</v>
      </c>
      <c r="K3467" s="3" t="s">
        <v>89</v>
      </c>
      <c r="L3467" s="3" t="s">
        <v>1741</v>
      </c>
      <c r="M3467" s="3" t="s">
        <v>2699</v>
      </c>
      <c r="N3467" s="3" t="s">
        <v>92</v>
      </c>
      <c r="O3467" s="3" t="s">
        <v>93</v>
      </c>
      <c r="P3467" s="3" t="s">
        <v>673</v>
      </c>
      <c r="Q3467" s="3">
        <v>796</v>
      </c>
      <c r="R3467" s="3" t="s">
        <v>118</v>
      </c>
      <c r="S3467" s="9">
        <v>3</v>
      </c>
      <c r="T3467" s="9">
        <v>983.93</v>
      </c>
      <c r="U3467" s="9">
        <f t="shared" ref="U3467" si="2475">S3467*T3467</f>
        <v>2951.79</v>
      </c>
      <c r="V3467" s="9">
        <f t="shared" ref="V3467" si="2476">U3467*1.12</f>
        <v>3306.0048000000002</v>
      </c>
      <c r="W3467" s="100"/>
      <c r="X3467" s="47">
        <v>2016</v>
      </c>
      <c r="Y3467" s="96"/>
    </row>
    <row r="3468" spans="2:25" ht="89.25" customHeight="1" outlineLevel="1" x14ac:dyDescent="0.25">
      <c r="B3468" s="3" t="s">
        <v>9458</v>
      </c>
      <c r="C3468" s="3" t="s">
        <v>83</v>
      </c>
      <c r="D3468" s="3" t="s">
        <v>9479</v>
      </c>
      <c r="E3468" s="3" t="s">
        <v>2489</v>
      </c>
      <c r="F3468" s="3" t="s">
        <v>9480</v>
      </c>
      <c r="G3468" s="3"/>
      <c r="H3468" s="3" t="s">
        <v>88</v>
      </c>
      <c r="I3468" s="4">
        <v>0</v>
      </c>
      <c r="J3468" s="5">
        <v>710000000</v>
      </c>
      <c r="K3468" s="3" t="s">
        <v>89</v>
      </c>
      <c r="L3468" s="3" t="s">
        <v>1741</v>
      </c>
      <c r="M3468" s="3" t="s">
        <v>2699</v>
      </c>
      <c r="N3468" s="3" t="s">
        <v>92</v>
      </c>
      <c r="O3468" s="3" t="s">
        <v>93</v>
      </c>
      <c r="P3468" s="3" t="s">
        <v>673</v>
      </c>
      <c r="Q3468" s="3">
        <v>796</v>
      </c>
      <c r="R3468" s="3" t="s">
        <v>118</v>
      </c>
      <c r="S3468" s="9">
        <v>1</v>
      </c>
      <c r="T3468" s="9">
        <v>10700</v>
      </c>
      <c r="U3468" s="9">
        <f t="shared" si="2473"/>
        <v>10700</v>
      </c>
      <c r="V3468" s="9">
        <f t="shared" si="2474"/>
        <v>11984.000000000002</v>
      </c>
      <c r="W3468" s="100"/>
      <c r="X3468" s="47">
        <v>2016</v>
      </c>
      <c r="Y3468" s="96"/>
    </row>
    <row r="3469" spans="2:25" ht="89.25" customHeight="1" outlineLevel="1" x14ac:dyDescent="0.25">
      <c r="B3469" s="2" t="s">
        <v>9459</v>
      </c>
      <c r="C3469" s="3" t="s">
        <v>83</v>
      </c>
      <c r="D3469" s="3" t="s">
        <v>2716</v>
      </c>
      <c r="E3469" s="3" t="s">
        <v>2717</v>
      </c>
      <c r="F3469" s="3" t="s">
        <v>2718</v>
      </c>
      <c r="G3469" s="3" t="s">
        <v>9514</v>
      </c>
      <c r="H3469" s="3" t="s">
        <v>88</v>
      </c>
      <c r="I3469" s="4">
        <v>0</v>
      </c>
      <c r="J3469" s="5">
        <v>710000000</v>
      </c>
      <c r="K3469" s="3" t="s">
        <v>89</v>
      </c>
      <c r="L3469" s="3" t="s">
        <v>1741</v>
      </c>
      <c r="M3469" s="3" t="s">
        <v>2699</v>
      </c>
      <c r="N3469" s="3" t="s">
        <v>92</v>
      </c>
      <c r="O3469" s="3" t="s">
        <v>93</v>
      </c>
      <c r="P3469" s="3" t="s">
        <v>673</v>
      </c>
      <c r="Q3469" s="3">
        <v>796</v>
      </c>
      <c r="R3469" s="3" t="s">
        <v>118</v>
      </c>
      <c r="S3469" s="9">
        <v>300</v>
      </c>
      <c r="T3469" s="9">
        <v>675.83</v>
      </c>
      <c r="U3469" s="9">
        <f t="shared" si="2473"/>
        <v>202749</v>
      </c>
      <c r="V3469" s="9">
        <f t="shared" si="2474"/>
        <v>227078.88000000003</v>
      </c>
      <c r="W3469" s="100"/>
      <c r="X3469" s="47">
        <v>2016</v>
      </c>
      <c r="Y3469" s="96"/>
    </row>
    <row r="3470" spans="2:25" ht="89.25" customHeight="1" outlineLevel="1" x14ac:dyDescent="0.25">
      <c r="B3470" s="3" t="s">
        <v>9460</v>
      </c>
      <c r="C3470" s="3" t="s">
        <v>83</v>
      </c>
      <c r="D3470" s="3" t="s">
        <v>2723</v>
      </c>
      <c r="E3470" s="3" t="s">
        <v>2717</v>
      </c>
      <c r="F3470" s="3" t="s">
        <v>2724</v>
      </c>
      <c r="G3470" s="3" t="s">
        <v>9515</v>
      </c>
      <c r="H3470" s="3" t="s">
        <v>88</v>
      </c>
      <c r="I3470" s="4">
        <v>0</v>
      </c>
      <c r="J3470" s="5">
        <v>710000000</v>
      </c>
      <c r="K3470" s="3" t="s">
        <v>89</v>
      </c>
      <c r="L3470" s="3" t="s">
        <v>1741</v>
      </c>
      <c r="M3470" s="3" t="s">
        <v>2699</v>
      </c>
      <c r="N3470" s="3" t="s">
        <v>92</v>
      </c>
      <c r="O3470" s="3" t="s">
        <v>93</v>
      </c>
      <c r="P3470" s="3" t="s">
        <v>673</v>
      </c>
      <c r="Q3470" s="3">
        <v>796</v>
      </c>
      <c r="R3470" s="3" t="s">
        <v>118</v>
      </c>
      <c r="S3470" s="9">
        <v>325</v>
      </c>
      <c r="T3470" s="9">
        <v>700</v>
      </c>
      <c r="U3470" s="9">
        <f t="shared" si="2473"/>
        <v>227500</v>
      </c>
      <c r="V3470" s="9">
        <f t="shared" si="2474"/>
        <v>254800.00000000003</v>
      </c>
      <c r="W3470" s="100"/>
      <c r="X3470" s="47">
        <v>2016</v>
      </c>
      <c r="Y3470" s="96"/>
    </row>
    <row r="3471" spans="2:25" ht="89.25" customHeight="1" outlineLevel="1" x14ac:dyDescent="0.25">
      <c r="B3471" s="2" t="s">
        <v>9461</v>
      </c>
      <c r="C3471" s="3" t="s">
        <v>83</v>
      </c>
      <c r="D3471" s="3" t="s">
        <v>2735</v>
      </c>
      <c r="E3471" s="3" t="s">
        <v>2717</v>
      </c>
      <c r="F3471" s="3" t="s">
        <v>2736</v>
      </c>
      <c r="G3471" s="3" t="s">
        <v>9516</v>
      </c>
      <c r="H3471" s="3" t="s">
        <v>88</v>
      </c>
      <c r="I3471" s="4">
        <v>0</v>
      </c>
      <c r="J3471" s="5">
        <v>710000000</v>
      </c>
      <c r="K3471" s="3" t="s">
        <v>89</v>
      </c>
      <c r="L3471" s="3" t="s">
        <v>1741</v>
      </c>
      <c r="M3471" s="3" t="s">
        <v>2699</v>
      </c>
      <c r="N3471" s="3" t="s">
        <v>92</v>
      </c>
      <c r="O3471" s="3" t="s">
        <v>93</v>
      </c>
      <c r="P3471" s="3" t="s">
        <v>673</v>
      </c>
      <c r="Q3471" s="3">
        <v>796</v>
      </c>
      <c r="R3471" s="3" t="s">
        <v>118</v>
      </c>
      <c r="S3471" s="9">
        <v>600</v>
      </c>
      <c r="T3471" s="9">
        <v>290</v>
      </c>
      <c r="U3471" s="9">
        <f t="shared" si="2473"/>
        <v>174000</v>
      </c>
      <c r="V3471" s="9">
        <f t="shared" si="2474"/>
        <v>194880.00000000003</v>
      </c>
      <c r="W3471" s="100"/>
      <c r="X3471" s="47">
        <v>2016</v>
      </c>
      <c r="Y3471" s="96"/>
    </row>
    <row r="3472" spans="2:25" ht="89.25" customHeight="1" outlineLevel="1" x14ac:dyDescent="0.25">
      <c r="B3472" s="3" t="s">
        <v>9481</v>
      </c>
      <c r="C3472" s="3" t="s">
        <v>83</v>
      </c>
      <c r="D3472" s="3" t="s">
        <v>2729</v>
      </c>
      <c r="E3472" s="3" t="s">
        <v>2717</v>
      </c>
      <c r="F3472" s="3" t="s">
        <v>2736</v>
      </c>
      <c r="G3472" s="3" t="s">
        <v>9517</v>
      </c>
      <c r="H3472" s="3" t="s">
        <v>88</v>
      </c>
      <c r="I3472" s="4">
        <v>0</v>
      </c>
      <c r="J3472" s="5">
        <v>710000000</v>
      </c>
      <c r="K3472" s="3" t="s">
        <v>89</v>
      </c>
      <c r="L3472" s="3" t="s">
        <v>1741</v>
      </c>
      <c r="M3472" s="3" t="s">
        <v>2699</v>
      </c>
      <c r="N3472" s="3" t="s">
        <v>92</v>
      </c>
      <c r="O3472" s="3" t="s">
        <v>93</v>
      </c>
      <c r="P3472" s="3" t="s">
        <v>673</v>
      </c>
      <c r="Q3472" s="3">
        <v>796</v>
      </c>
      <c r="R3472" s="3" t="s">
        <v>118</v>
      </c>
      <c r="S3472" s="9">
        <v>100</v>
      </c>
      <c r="T3472" s="9">
        <v>300</v>
      </c>
      <c r="U3472" s="9">
        <f t="shared" si="2473"/>
        <v>30000</v>
      </c>
      <c r="V3472" s="9">
        <f t="shared" si="2474"/>
        <v>33600</v>
      </c>
      <c r="W3472" s="100"/>
      <c r="X3472" s="47">
        <v>2016</v>
      </c>
      <c r="Y3472" s="96"/>
    </row>
    <row r="3473" spans="2:25" ht="89.25" customHeight="1" outlineLevel="1" x14ac:dyDescent="0.25">
      <c r="B3473" s="2" t="s">
        <v>9482</v>
      </c>
      <c r="C3473" s="3" t="s">
        <v>83</v>
      </c>
      <c r="D3473" s="3" t="s">
        <v>2752</v>
      </c>
      <c r="E3473" s="3" t="s">
        <v>2717</v>
      </c>
      <c r="F3473" s="3" t="s">
        <v>2753</v>
      </c>
      <c r="G3473" s="3" t="s">
        <v>2753</v>
      </c>
      <c r="H3473" s="3" t="s">
        <v>88</v>
      </c>
      <c r="I3473" s="4">
        <v>0</v>
      </c>
      <c r="J3473" s="5">
        <v>710000000</v>
      </c>
      <c r="K3473" s="3" t="s">
        <v>89</v>
      </c>
      <c r="L3473" s="3" t="s">
        <v>1741</v>
      </c>
      <c r="M3473" s="3" t="s">
        <v>2699</v>
      </c>
      <c r="N3473" s="3" t="s">
        <v>92</v>
      </c>
      <c r="O3473" s="3" t="s">
        <v>93</v>
      </c>
      <c r="P3473" s="3" t="s">
        <v>673</v>
      </c>
      <c r="Q3473" s="3">
        <v>796</v>
      </c>
      <c r="R3473" s="3" t="s">
        <v>118</v>
      </c>
      <c r="S3473" s="9">
        <v>114</v>
      </c>
      <c r="T3473" s="9">
        <v>750</v>
      </c>
      <c r="U3473" s="9">
        <f t="shared" si="2473"/>
        <v>85500</v>
      </c>
      <c r="V3473" s="9">
        <f t="shared" si="2474"/>
        <v>95760.000000000015</v>
      </c>
      <c r="W3473" s="100"/>
      <c r="X3473" s="47">
        <v>2016</v>
      </c>
      <c r="Y3473" s="96"/>
    </row>
    <row r="3474" spans="2:25" ht="89.25" customHeight="1" outlineLevel="1" x14ac:dyDescent="0.25">
      <c r="B3474" s="3" t="s">
        <v>9483</v>
      </c>
      <c r="C3474" s="3" t="s">
        <v>83</v>
      </c>
      <c r="D3474" s="3" t="s">
        <v>9500</v>
      </c>
      <c r="E3474" s="3" t="s">
        <v>2717</v>
      </c>
      <c r="F3474" s="3" t="s">
        <v>9501</v>
      </c>
      <c r="G3474" s="3" t="s">
        <v>9501</v>
      </c>
      <c r="H3474" s="3" t="s">
        <v>88</v>
      </c>
      <c r="I3474" s="4">
        <v>0</v>
      </c>
      <c r="J3474" s="5">
        <v>710000000</v>
      </c>
      <c r="K3474" s="3" t="s">
        <v>89</v>
      </c>
      <c r="L3474" s="3" t="s">
        <v>1741</v>
      </c>
      <c r="M3474" s="3" t="s">
        <v>2699</v>
      </c>
      <c r="N3474" s="3" t="s">
        <v>92</v>
      </c>
      <c r="O3474" s="3" t="s">
        <v>93</v>
      </c>
      <c r="P3474" s="3" t="s">
        <v>673</v>
      </c>
      <c r="Q3474" s="3">
        <v>796</v>
      </c>
      <c r="R3474" s="3" t="s">
        <v>118</v>
      </c>
      <c r="S3474" s="9">
        <v>100</v>
      </c>
      <c r="T3474" s="9">
        <v>707.59</v>
      </c>
      <c r="U3474" s="9">
        <f t="shared" si="2473"/>
        <v>70759</v>
      </c>
      <c r="V3474" s="9">
        <f t="shared" si="2474"/>
        <v>79250.080000000002</v>
      </c>
      <c r="W3474" s="100"/>
      <c r="X3474" s="47">
        <v>2016</v>
      </c>
      <c r="Y3474" s="96"/>
    </row>
    <row r="3475" spans="2:25" ht="89.25" customHeight="1" outlineLevel="1" x14ac:dyDescent="0.25">
      <c r="B3475" s="2" t="s">
        <v>9484</v>
      </c>
      <c r="C3475" s="3" t="s">
        <v>83</v>
      </c>
      <c r="D3475" s="3" t="s">
        <v>2756</v>
      </c>
      <c r="E3475" s="3" t="s">
        <v>2757</v>
      </c>
      <c r="F3475" s="3" t="s">
        <v>2758</v>
      </c>
      <c r="G3475" s="3" t="s">
        <v>9502</v>
      </c>
      <c r="H3475" s="3" t="s">
        <v>88</v>
      </c>
      <c r="I3475" s="4">
        <v>0</v>
      </c>
      <c r="J3475" s="5">
        <v>710000000</v>
      </c>
      <c r="K3475" s="3" t="s">
        <v>89</v>
      </c>
      <c r="L3475" s="3" t="s">
        <v>1741</v>
      </c>
      <c r="M3475" s="3" t="s">
        <v>2699</v>
      </c>
      <c r="N3475" s="3" t="s">
        <v>92</v>
      </c>
      <c r="O3475" s="3" t="s">
        <v>93</v>
      </c>
      <c r="P3475" s="3" t="s">
        <v>673</v>
      </c>
      <c r="Q3475" s="3">
        <v>796</v>
      </c>
      <c r="R3475" s="3" t="s">
        <v>118</v>
      </c>
      <c r="S3475" s="9">
        <v>87</v>
      </c>
      <c r="T3475" s="9">
        <v>1350</v>
      </c>
      <c r="U3475" s="9">
        <f t="shared" si="2473"/>
        <v>117450</v>
      </c>
      <c r="V3475" s="9">
        <f t="shared" si="2474"/>
        <v>131544</v>
      </c>
      <c r="W3475" s="100"/>
      <c r="X3475" s="47">
        <v>2016</v>
      </c>
      <c r="Y3475" s="96"/>
    </row>
    <row r="3476" spans="2:25" ht="89.25" customHeight="1" outlineLevel="1" x14ac:dyDescent="0.25">
      <c r="B3476" s="3" t="s">
        <v>9485</v>
      </c>
      <c r="C3476" s="3" t="s">
        <v>83</v>
      </c>
      <c r="D3476" s="3" t="s">
        <v>2756</v>
      </c>
      <c r="E3476" s="3" t="s">
        <v>2757</v>
      </c>
      <c r="F3476" s="3" t="s">
        <v>2758</v>
      </c>
      <c r="G3476" s="3" t="s">
        <v>9503</v>
      </c>
      <c r="H3476" s="3" t="s">
        <v>88</v>
      </c>
      <c r="I3476" s="4">
        <v>0</v>
      </c>
      <c r="J3476" s="5">
        <v>710000000</v>
      </c>
      <c r="K3476" s="3" t="s">
        <v>89</v>
      </c>
      <c r="L3476" s="3" t="s">
        <v>1741</v>
      </c>
      <c r="M3476" s="3" t="s">
        <v>2699</v>
      </c>
      <c r="N3476" s="3" t="s">
        <v>92</v>
      </c>
      <c r="O3476" s="3" t="s">
        <v>93</v>
      </c>
      <c r="P3476" s="3" t="s">
        <v>673</v>
      </c>
      <c r="Q3476" s="3">
        <v>796</v>
      </c>
      <c r="R3476" s="3" t="s">
        <v>118</v>
      </c>
      <c r="S3476" s="9">
        <v>65</v>
      </c>
      <c r="T3476" s="9">
        <v>1400</v>
      </c>
      <c r="U3476" s="9">
        <f t="shared" si="2473"/>
        <v>91000</v>
      </c>
      <c r="V3476" s="9">
        <f t="shared" si="2474"/>
        <v>101920.00000000001</v>
      </c>
      <c r="W3476" s="100"/>
      <c r="X3476" s="47">
        <v>2016</v>
      </c>
      <c r="Y3476" s="96"/>
    </row>
    <row r="3477" spans="2:25" ht="89.25" customHeight="1" outlineLevel="1" x14ac:dyDescent="0.25">
      <c r="B3477" s="2" t="s">
        <v>9486</v>
      </c>
      <c r="C3477" s="3" t="s">
        <v>83</v>
      </c>
      <c r="D3477" s="3" t="s">
        <v>9504</v>
      </c>
      <c r="E3477" s="3" t="s">
        <v>2800</v>
      </c>
      <c r="F3477" s="3" t="s">
        <v>9505</v>
      </c>
      <c r="G3477" s="3" t="s">
        <v>9506</v>
      </c>
      <c r="H3477" s="3" t="s">
        <v>88</v>
      </c>
      <c r="I3477" s="4">
        <v>0</v>
      </c>
      <c r="J3477" s="5">
        <v>710000000</v>
      </c>
      <c r="K3477" s="3" t="s">
        <v>89</v>
      </c>
      <c r="L3477" s="3" t="s">
        <v>1741</v>
      </c>
      <c r="M3477" s="3" t="s">
        <v>2699</v>
      </c>
      <c r="N3477" s="3" t="s">
        <v>92</v>
      </c>
      <c r="O3477" s="3" t="s">
        <v>93</v>
      </c>
      <c r="P3477" s="3" t="s">
        <v>673</v>
      </c>
      <c r="Q3477" s="3">
        <v>796</v>
      </c>
      <c r="R3477" s="3" t="s">
        <v>118</v>
      </c>
      <c r="S3477" s="9">
        <v>10</v>
      </c>
      <c r="T3477" s="9">
        <v>450</v>
      </c>
      <c r="U3477" s="9">
        <f t="shared" si="2473"/>
        <v>4500</v>
      </c>
      <c r="V3477" s="9">
        <f t="shared" si="2474"/>
        <v>5040.0000000000009</v>
      </c>
      <c r="W3477" s="100"/>
      <c r="X3477" s="47">
        <v>2016</v>
      </c>
      <c r="Y3477" s="96"/>
    </row>
    <row r="3478" spans="2:25" ht="89.25" customHeight="1" outlineLevel="1" x14ac:dyDescent="0.25">
      <c r="B3478" s="3" t="s">
        <v>9487</v>
      </c>
      <c r="C3478" s="3" t="s">
        <v>83</v>
      </c>
      <c r="D3478" s="3" t="s">
        <v>9504</v>
      </c>
      <c r="E3478" s="3" t="s">
        <v>2800</v>
      </c>
      <c r="F3478" s="3" t="s">
        <v>9505</v>
      </c>
      <c r="G3478" s="3" t="s">
        <v>9507</v>
      </c>
      <c r="H3478" s="3" t="s">
        <v>88</v>
      </c>
      <c r="I3478" s="4">
        <v>0</v>
      </c>
      <c r="J3478" s="5">
        <v>710000000</v>
      </c>
      <c r="K3478" s="3" t="s">
        <v>89</v>
      </c>
      <c r="L3478" s="3" t="s">
        <v>1741</v>
      </c>
      <c r="M3478" s="3" t="s">
        <v>2699</v>
      </c>
      <c r="N3478" s="3" t="s">
        <v>92</v>
      </c>
      <c r="O3478" s="3" t="s">
        <v>93</v>
      </c>
      <c r="P3478" s="3" t="s">
        <v>673</v>
      </c>
      <c r="Q3478" s="3">
        <v>796</v>
      </c>
      <c r="R3478" s="3" t="s">
        <v>118</v>
      </c>
      <c r="S3478" s="9">
        <v>10</v>
      </c>
      <c r="T3478" s="9">
        <v>475</v>
      </c>
      <c r="U3478" s="9">
        <f t="shared" si="2473"/>
        <v>4750</v>
      </c>
      <c r="V3478" s="9">
        <f t="shared" si="2474"/>
        <v>5320.0000000000009</v>
      </c>
      <c r="W3478" s="100"/>
      <c r="X3478" s="47">
        <v>2016</v>
      </c>
      <c r="Y3478" s="96"/>
    </row>
    <row r="3479" spans="2:25" ht="89.25" customHeight="1" outlineLevel="1" x14ac:dyDescent="0.25">
      <c r="B3479" s="2" t="s">
        <v>9488</v>
      </c>
      <c r="C3479" s="3" t="s">
        <v>83</v>
      </c>
      <c r="D3479" s="3" t="s">
        <v>9504</v>
      </c>
      <c r="E3479" s="3" t="s">
        <v>2800</v>
      </c>
      <c r="F3479" s="3" t="s">
        <v>9505</v>
      </c>
      <c r="G3479" s="3" t="s">
        <v>9508</v>
      </c>
      <c r="H3479" s="3" t="s">
        <v>88</v>
      </c>
      <c r="I3479" s="4">
        <v>0</v>
      </c>
      <c r="J3479" s="5">
        <v>710000000</v>
      </c>
      <c r="K3479" s="3" t="s">
        <v>89</v>
      </c>
      <c r="L3479" s="3" t="s">
        <v>1741</v>
      </c>
      <c r="M3479" s="3" t="s">
        <v>2699</v>
      </c>
      <c r="N3479" s="3" t="s">
        <v>92</v>
      </c>
      <c r="O3479" s="3" t="s">
        <v>93</v>
      </c>
      <c r="P3479" s="3" t="s">
        <v>673</v>
      </c>
      <c r="Q3479" s="3">
        <v>796</v>
      </c>
      <c r="R3479" s="3" t="s">
        <v>118</v>
      </c>
      <c r="S3479" s="9">
        <v>1</v>
      </c>
      <c r="T3479" s="9">
        <v>450</v>
      </c>
      <c r="U3479" s="9">
        <f t="shared" si="2473"/>
        <v>450</v>
      </c>
      <c r="V3479" s="9">
        <f t="shared" si="2474"/>
        <v>504.00000000000006</v>
      </c>
      <c r="W3479" s="100"/>
      <c r="X3479" s="47">
        <v>2016</v>
      </c>
      <c r="Y3479" s="96"/>
    </row>
    <row r="3480" spans="2:25" ht="89.25" customHeight="1" outlineLevel="1" x14ac:dyDescent="0.25">
      <c r="B3480" s="3" t="s">
        <v>9489</v>
      </c>
      <c r="C3480" s="3" t="s">
        <v>83</v>
      </c>
      <c r="D3480" s="3" t="s">
        <v>9504</v>
      </c>
      <c r="E3480" s="3" t="s">
        <v>2800</v>
      </c>
      <c r="F3480" s="3" t="s">
        <v>9505</v>
      </c>
      <c r="G3480" s="3" t="s">
        <v>9509</v>
      </c>
      <c r="H3480" s="3" t="s">
        <v>88</v>
      </c>
      <c r="I3480" s="4">
        <v>0</v>
      </c>
      <c r="J3480" s="5">
        <v>710000000</v>
      </c>
      <c r="K3480" s="3" t="s">
        <v>89</v>
      </c>
      <c r="L3480" s="3" t="s">
        <v>1741</v>
      </c>
      <c r="M3480" s="3" t="s">
        <v>2699</v>
      </c>
      <c r="N3480" s="3" t="s">
        <v>92</v>
      </c>
      <c r="O3480" s="3" t="s">
        <v>93</v>
      </c>
      <c r="P3480" s="3" t="s">
        <v>673</v>
      </c>
      <c r="Q3480" s="3">
        <v>796</v>
      </c>
      <c r="R3480" s="3" t="s">
        <v>118</v>
      </c>
      <c r="S3480" s="9">
        <v>7</v>
      </c>
      <c r="T3480" s="9">
        <v>1500</v>
      </c>
      <c r="U3480" s="9">
        <f t="shared" si="2473"/>
        <v>10500</v>
      </c>
      <c r="V3480" s="9">
        <f t="shared" si="2474"/>
        <v>11760.000000000002</v>
      </c>
      <c r="W3480" s="100"/>
      <c r="X3480" s="47">
        <v>2016</v>
      </c>
      <c r="Y3480" s="96"/>
    </row>
    <row r="3481" spans="2:25" ht="89.25" customHeight="1" outlineLevel="1" x14ac:dyDescent="0.25">
      <c r="B3481" s="2" t="s">
        <v>9490</v>
      </c>
      <c r="C3481" s="3" t="s">
        <v>83</v>
      </c>
      <c r="D3481" s="3" t="s">
        <v>2731</v>
      </c>
      <c r="E3481" s="3" t="s">
        <v>965</v>
      </c>
      <c r="F3481" s="3" t="s">
        <v>2732</v>
      </c>
      <c r="G3481" s="3" t="s">
        <v>9510</v>
      </c>
      <c r="H3481" s="3" t="s">
        <v>88</v>
      </c>
      <c r="I3481" s="4">
        <v>0</v>
      </c>
      <c r="J3481" s="5">
        <v>710000000</v>
      </c>
      <c r="K3481" s="3" t="s">
        <v>89</v>
      </c>
      <c r="L3481" s="3" t="s">
        <v>1741</v>
      </c>
      <c r="M3481" s="3" t="s">
        <v>2699</v>
      </c>
      <c r="N3481" s="3" t="s">
        <v>92</v>
      </c>
      <c r="O3481" s="3" t="s">
        <v>93</v>
      </c>
      <c r="P3481" s="3" t="s">
        <v>673</v>
      </c>
      <c r="Q3481" s="3">
        <v>796</v>
      </c>
      <c r="R3481" s="3" t="s">
        <v>118</v>
      </c>
      <c r="S3481" s="9">
        <v>240</v>
      </c>
      <c r="T3481" s="9">
        <v>130</v>
      </c>
      <c r="U3481" s="9">
        <f t="shared" si="2473"/>
        <v>31200</v>
      </c>
      <c r="V3481" s="9">
        <f t="shared" si="2474"/>
        <v>34944</v>
      </c>
      <c r="W3481" s="100"/>
      <c r="X3481" s="47">
        <v>2016</v>
      </c>
      <c r="Y3481" s="96"/>
    </row>
    <row r="3482" spans="2:25" ht="89.25" customHeight="1" outlineLevel="1" x14ac:dyDescent="0.25">
      <c r="B3482" s="3" t="s">
        <v>9491</v>
      </c>
      <c r="C3482" s="3" t="s">
        <v>83</v>
      </c>
      <c r="D3482" s="3" t="s">
        <v>2926</v>
      </c>
      <c r="E3482" s="3" t="s">
        <v>2927</v>
      </c>
      <c r="F3482" s="3" t="s">
        <v>2928</v>
      </c>
      <c r="G3482" s="3" t="s">
        <v>9535</v>
      </c>
      <c r="H3482" s="3" t="s">
        <v>88</v>
      </c>
      <c r="I3482" s="4">
        <v>0</v>
      </c>
      <c r="J3482" s="5">
        <v>710000000</v>
      </c>
      <c r="K3482" s="3" t="s">
        <v>89</v>
      </c>
      <c r="L3482" s="3" t="s">
        <v>1741</v>
      </c>
      <c r="M3482" s="3" t="s">
        <v>2699</v>
      </c>
      <c r="N3482" s="3" t="s">
        <v>92</v>
      </c>
      <c r="O3482" s="3" t="s">
        <v>93</v>
      </c>
      <c r="P3482" s="3" t="s">
        <v>673</v>
      </c>
      <c r="Q3482" s="3">
        <v>796</v>
      </c>
      <c r="R3482" s="3" t="s">
        <v>118</v>
      </c>
      <c r="S3482" s="9">
        <v>8</v>
      </c>
      <c r="T3482" s="9">
        <v>100</v>
      </c>
      <c r="U3482" s="9">
        <f>S3482*T3482</f>
        <v>800</v>
      </c>
      <c r="V3482" s="9">
        <f>U3482*1.12</f>
        <v>896.00000000000011</v>
      </c>
      <c r="W3482" s="100"/>
      <c r="X3482" s="47">
        <v>2016</v>
      </c>
      <c r="Y3482" s="96"/>
    </row>
    <row r="3483" spans="2:25" ht="89.25" customHeight="1" outlineLevel="1" x14ac:dyDescent="0.25">
      <c r="B3483" s="2" t="s">
        <v>9492</v>
      </c>
      <c r="C3483" s="3" t="s">
        <v>83</v>
      </c>
      <c r="D3483" s="3" t="s">
        <v>2731</v>
      </c>
      <c r="E3483" s="3" t="s">
        <v>965</v>
      </c>
      <c r="F3483" s="3" t="s">
        <v>2732</v>
      </c>
      <c r="G3483" s="3" t="s">
        <v>9511</v>
      </c>
      <c r="H3483" s="3" t="s">
        <v>88</v>
      </c>
      <c r="I3483" s="4">
        <v>0</v>
      </c>
      <c r="J3483" s="5">
        <v>710000000</v>
      </c>
      <c r="K3483" s="3" t="s">
        <v>89</v>
      </c>
      <c r="L3483" s="3" t="s">
        <v>1741</v>
      </c>
      <c r="M3483" s="3" t="s">
        <v>2699</v>
      </c>
      <c r="N3483" s="3" t="s">
        <v>92</v>
      </c>
      <c r="O3483" s="3" t="s">
        <v>93</v>
      </c>
      <c r="P3483" s="3" t="s">
        <v>673</v>
      </c>
      <c r="Q3483" s="3">
        <v>796</v>
      </c>
      <c r="R3483" s="3" t="s">
        <v>118</v>
      </c>
      <c r="S3483" s="9">
        <v>112</v>
      </c>
      <c r="T3483" s="9">
        <v>130</v>
      </c>
      <c r="U3483" s="9">
        <f t="shared" si="2473"/>
        <v>14560</v>
      </c>
      <c r="V3483" s="9">
        <f t="shared" si="2474"/>
        <v>16307.2</v>
      </c>
      <c r="W3483" s="100"/>
      <c r="X3483" s="47">
        <v>2016</v>
      </c>
      <c r="Y3483" s="96"/>
    </row>
    <row r="3484" spans="2:25" ht="102" customHeight="1" outlineLevel="1" x14ac:dyDescent="0.25">
      <c r="B3484" s="3" t="s">
        <v>9493</v>
      </c>
      <c r="C3484" s="3" t="s">
        <v>83</v>
      </c>
      <c r="D3484" s="3" t="s">
        <v>2926</v>
      </c>
      <c r="E3484" s="3" t="s">
        <v>2927</v>
      </c>
      <c r="F3484" s="3" t="s">
        <v>2928</v>
      </c>
      <c r="G3484" s="3" t="s">
        <v>4780</v>
      </c>
      <c r="H3484" s="3" t="s">
        <v>88</v>
      </c>
      <c r="I3484" s="4">
        <v>0</v>
      </c>
      <c r="J3484" s="5">
        <v>710000000</v>
      </c>
      <c r="K3484" s="3" t="s">
        <v>89</v>
      </c>
      <c r="L3484" s="3" t="s">
        <v>1741</v>
      </c>
      <c r="M3484" s="3" t="s">
        <v>2699</v>
      </c>
      <c r="N3484" s="3" t="s">
        <v>92</v>
      </c>
      <c r="O3484" s="3" t="s">
        <v>93</v>
      </c>
      <c r="P3484" s="3" t="s">
        <v>673</v>
      </c>
      <c r="Q3484" s="3">
        <v>796</v>
      </c>
      <c r="R3484" s="3" t="s">
        <v>118</v>
      </c>
      <c r="S3484" s="9">
        <v>8</v>
      </c>
      <c r="T3484" s="9">
        <v>95</v>
      </c>
      <c r="U3484" s="9">
        <f t="shared" si="2473"/>
        <v>760</v>
      </c>
      <c r="V3484" s="9">
        <f t="shared" si="2474"/>
        <v>851.2</v>
      </c>
      <c r="W3484" s="100"/>
      <c r="X3484" s="47">
        <v>2016</v>
      </c>
      <c r="Y3484" s="96"/>
    </row>
    <row r="3485" spans="2:25" ht="89.25" customHeight="1" outlineLevel="1" x14ac:dyDescent="0.25">
      <c r="B3485" s="2" t="s">
        <v>9494</v>
      </c>
      <c r="C3485" s="3" t="s">
        <v>83</v>
      </c>
      <c r="D3485" s="3" t="s">
        <v>2485</v>
      </c>
      <c r="E3485" s="3" t="s">
        <v>9512</v>
      </c>
      <c r="F3485" s="3" t="s">
        <v>2486</v>
      </c>
      <c r="G3485" s="3" t="s">
        <v>9513</v>
      </c>
      <c r="H3485" s="3" t="s">
        <v>88</v>
      </c>
      <c r="I3485" s="4">
        <v>0</v>
      </c>
      <c r="J3485" s="5">
        <v>710000000</v>
      </c>
      <c r="K3485" s="3" t="s">
        <v>89</v>
      </c>
      <c r="L3485" s="3" t="s">
        <v>1741</v>
      </c>
      <c r="M3485" s="6" t="s">
        <v>2682</v>
      </c>
      <c r="N3485" s="3" t="s">
        <v>92</v>
      </c>
      <c r="O3485" s="3" t="s">
        <v>93</v>
      </c>
      <c r="P3485" s="3" t="s">
        <v>673</v>
      </c>
      <c r="Q3485" s="3">
        <v>796</v>
      </c>
      <c r="R3485" s="3" t="s">
        <v>118</v>
      </c>
      <c r="S3485" s="9">
        <v>15</v>
      </c>
      <c r="T3485" s="9">
        <v>223</v>
      </c>
      <c r="U3485" s="9">
        <f t="shared" si="2473"/>
        <v>3345</v>
      </c>
      <c r="V3485" s="9">
        <f t="shared" si="2474"/>
        <v>3746.4000000000005</v>
      </c>
      <c r="W3485" s="100"/>
      <c r="X3485" s="47">
        <v>2016</v>
      </c>
      <c r="Y3485" s="96"/>
    </row>
    <row r="3486" spans="2:25" ht="89.25" customHeight="1" outlineLevel="1" x14ac:dyDescent="0.25">
      <c r="B3486" s="3" t="s">
        <v>9495</v>
      </c>
      <c r="C3486" s="3" t="s">
        <v>83</v>
      </c>
      <c r="D3486" s="3" t="s">
        <v>2479</v>
      </c>
      <c r="E3486" s="3" t="s">
        <v>2480</v>
      </c>
      <c r="F3486" s="3" t="s">
        <v>2481</v>
      </c>
      <c r="G3486" s="3" t="s">
        <v>9444</v>
      </c>
      <c r="H3486" s="3" t="s">
        <v>88</v>
      </c>
      <c r="I3486" s="4">
        <v>0</v>
      </c>
      <c r="J3486" s="5">
        <v>710000000</v>
      </c>
      <c r="K3486" s="3" t="s">
        <v>89</v>
      </c>
      <c r="L3486" s="3" t="s">
        <v>1741</v>
      </c>
      <c r="M3486" s="6" t="s">
        <v>2682</v>
      </c>
      <c r="N3486" s="3" t="s">
        <v>92</v>
      </c>
      <c r="O3486" s="3" t="s">
        <v>93</v>
      </c>
      <c r="P3486" s="3" t="s">
        <v>673</v>
      </c>
      <c r="Q3486" s="8" t="s">
        <v>861</v>
      </c>
      <c r="R3486" s="7" t="s">
        <v>3667</v>
      </c>
      <c r="S3486" s="9">
        <v>2</v>
      </c>
      <c r="T3486" s="9">
        <v>2500</v>
      </c>
      <c r="U3486" s="9">
        <f t="shared" si="2473"/>
        <v>5000</v>
      </c>
      <c r="V3486" s="9">
        <f t="shared" si="2474"/>
        <v>5600.0000000000009</v>
      </c>
      <c r="W3486" s="100"/>
      <c r="X3486" s="47">
        <v>2016</v>
      </c>
      <c r="Y3486" s="96"/>
    </row>
    <row r="3487" spans="2:25" ht="89.25" customHeight="1" outlineLevel="1" x14ac:dyDescent="0.25">
      <c r="B3487" s="2" t="s">
        <v>9496</v>
      </c>
      <c r="C3487" s="3" t="s">
        <v>83</v>
      </c>
      <c r="D3487" s="3" t="s">
        <v>2610</v>
      </c>
      <c r="E3487" s="3" t="s">
        <v>858</v>
      </c>
      <c r="F3487" s="3" t="s">
        <v>2611</v>
      </c>
      <c r="G3487" s="3" t="s">
        <v>9462</v>
      </c>
      <c r="H3487" s="3" t="s">
        <v>88</v>
      </c>
      <c r="I3487" s="4">
        <v>0</v>
      </c>
      <c r="J3487" s="5">
        <v>710000000</v>
      </c>
      <c r="K3487" s="3" t="s">
        <v>89</v>
      </c>
      <c r="L3487" s="3" t="s">
        <v>1741</v>
      </c>
      <c r="M3487" s="6" t="s">
        <v>2682</v>
      </c>
      <c r="N3487" s="3" t="s">
        <v>92</v>
      </c>
      <c r="O3487" s="3" t="s">
        <v>93</v>
      </c>
      <c r="P3487" s="3" t="s">
        <v>673</v>
      </c>
      <c r="Q3487" s="3">
        <v>796</v>
      </c>
      <c r="R3487" s="3" t="s">
        <v>118</v>
      </c>
      <c r="S3487" s="9">
        <v>2</v>
      </c>
      <c r="T3487" s="9">
        <v>2000</v>
      </c>
      <c r="U3487" s="9">
        <f t="shared" si="2473"/>
        <v>4000</v>
      </c>
      <c r="V3487" s="9">
        <f t="shared" si="2474"/>
        <v>4480</v>
      </c>
      <c r="W3487" s="100"/>
      <c r="X3487" s="47">
        <v>2016</v>
      </c>
      <c r="Y3487" s="96"/>
    </row>
    <row r="3488" spans="2:25" ht="89.25" customHeight="1" outlineLevel="1" x14ac:dyDescent="0.25">
      <c r="B3488" s="3" t="s">
        <v>9497</v>
      </c>
      <c r="C3488" s="3" t="s">
        <v>83</v>
      </c>
      <c r="D3488" s="3" t="s">
        <v>2476</v>
      </c>
      <c r="E3488" s="3" t="s">
        <v>2473</v>
      </c>
      <c r="F3488" s="3" t="s">
        <v>2477</v>
      </c>
      <c r="G3488" s="3" t="s">
        <v>9440</v>
      </c>
      <c r="H3488" s="3" t="s">
        <v>88</v>
      </c>
      <c r="I3488" s="4">
        <v>0</v>
      </c>
      <c r="J3488" s="5">
        <v>710000000</v>
      </c>
      <c r="K3488" s="3" t="s">
        <v>89</v>
      </c>
      <c r="L3488" s="3" t="s">
        <v>1741</v>
      </c>
      <c r="M3488" s="6" t="s">
        <v>2682</v>
      </c>
      <c r="N3488" s="3" t="s">
        <v>92</v>
      </c>
      <c r="O3488" s="3" t="s">
        <v>93</v>
      </c>
      <c r="P3488" s="3" t="s">
        <v>673</v>
      </c>
      <c r="Q3488" s="3">
        <v>796</v>
      </c>
      <c r="R3488" s="3" t="s">
        <v>118</v>
      </c>
      <c r="S3488" s="9">
        <v>34</v>
      </c>
      <c r="T3488" s="9">
        <v>900</v>
      </c>
      <c r="U3488" s="9">
        <f t="shared" si="2473"/>
        <v>30600</v>
      </c>
      <c r="V3488" s="9">
        <f t="shared" si="2474"/>
        <v>34272</v>
      </c>
      <c r="W3488" s="100"/>
      <c r="X3488" s="47">
        <v>2016</v>
      </c>
      <c r="Y3488" s="96"/>
    </row>
    <row r="3489" spans="1:31" ht="89.25" customHeight="1" outlineLevel="1" x14ac:dyDescent="0.25">
      <c r="B3489" s="2" t="s">
        <v>9498</v>
      </c>
      <c r="C3489" s="3" t="s">
        <v>83</v>
      </c>
      <c r="D3489" s="3" t="s">
        <v>2472</v>
      </c>
      <c r="E3489" s="3" t="s">
        <v>2473</v>
      </c>
      <c r="F3489" s="3" t="s">
        <v>2474</v>
      </c>
      <c r="G3489" s="3" t="s">
        <v>9442</v>
      </c>
      <c r="H3489" s="3" t="s">
        <v>88</v>
      </c>
      <c r="I3489" s="4">
        <v>0</v>
      </c>
      <c r="J3489" s="5">
        <v>710000000</v>
      </c>
      <c r="K3489" s="3" t="s">
        <v>89</v>
      </c>
      <c r="L3489" s="3" t="s">
        <v>1741</v>
      </c>
      <c r="M3489" s="6" t="s">
        <v>2682</v>
      </c>
      <c r="N3489" s="3" t="s">
        <v>92</v>
      </c>
      <c r="O3489" s="3" t="s">
        <v>93</v>
      </c>
      <c r="P3489" s="3" t="s">
        <v>673</v>
      </c>
      <c r="Q3489" s="3">
        <v>796</v>
      </c>
      <c r="R3489" s="3" t="s">
        <v>118</v>
      </c>
      <c r="S3489" s="9">
        <v>34</v>
      </c>
      <c r="T3489" s="9">
        <v>900</v>
      </c>
      <c r="U3489" s="9">
        <f t="shared" si="2473"/>
        <v>30600</v>
      </c>
      <c r="V3489" s="9">
        <f t="shared" si="2474"/>
        <v>34272</v>
      </c>
      <c r="W3489" s="100"/>
      <c r="X3489" s="47">
        <v>2016</v>
      </c>
      <c r="Y3489" s="96"/>
    </row>
    <row r="3490" spans="1:31" ht="89.25" customHeight="1" outlineLevel="1" x14ac:dyDescent="0.25">
      <c r="B3490" s="3" t="s">
        <v>9499</v>
      </c>
      <c r="C3490" s="3" t="s">
        <v>83</v>
      </c>
      <c r="D3490" s="3" t="s">
        <v>3704</v>
      </c>
      <c r="E3490" s="3" t="s">
        <v>3705</v>
      </c>
      <c r="F3490" s="3" t="s">
        <v>3706</v>
      </c>
      <c r="G3490" s="3" t="s">
        <v>9519</v>
      </c>
      <c r="H3490" s="3" t="s">
        <v>88</v>
      </c>
      <c r="I3490" s="4">
        <v>0</v>
      </c>
      <c r="J3490" s="5">
        <v>710000000</v>
      </c>
      <c r="K3490" s="3" t="s">
        <v>89</v>
      </c>
      <c r="L3490" s="3" t="s">
        <v>1741</v>
      </c>
      <c r="M3490" s="6" t="s">
        <v>2682</v>
      </c>
      <c r="N3490" s="3" t="s">
        <v>92</v>
      </c>
      <c r="O3490" s="3" t="s">
        <v>93</v>
      </c>
      <c r="P3490" s="3" t="s">
        <v>673</v>
      </c>
      <c r="Q3490" s="3">
        <v>796</v>
      </c>
      <c r="R3490" s="3" t="s">
        <v>118</v>
      </c>
      <c r="S3490" s="9">
        <v>8</v>
      </c>
      <c r="T3490" s="75">
        <v>1256</v>
      </c>
      <c r="U3490" s="9">
        <f t="shared" si="2473"/>
        <v>10048</v>
      </c>
      <c r="V3490" s="9">
        <f t="shared" si="2474"/>
        <v>11253.76</v>
      </c>
      <c r="W3490" s="100"/>
      <c r="X3490" s="47">
        <v>2016</v>
      </c>
      <c r="Y3490" s="96"/>
    </row>
    <row r="3491" spans="1:31" ht="89.25" customHeight="1" outlineLevel="1" x14ac:dyDescent="0.25">
      <c r="B3491" s="2" t="s">
        <v>9518</v>
      </c>
      <c r="C3491" s="3" t="s">
        <v>83</v>
      </c>
      <c r="D3491" s="3" t="s">
        <v>3796</v>
      </c>
      <c r="E3491" s="3" t="s">
        <v>3797</v>
      </c>
      <c r="F3491" s="3" t="s">
        <v>3706</v>
      </c>
      <c r="G3491" s="3" t="s">
        <v>3798</v>
      </c>
      <c r="H3491" s="3" t="s">
        <v>88</v>
      </c>
      <c r="I3491" s="4">
        <v>0</v>
      </c>
      <c r="J3491" s="5">
        <v>710000000</v>
      </c>
      <c r="K3491" s="3" t="s">
        <v>89</v>
      </c>
      <c r="L3491" s="3" t="s">
        <v>1741</v>
      </c>
      <c r="M3491" s="6" t="s">
        <v>2682</v>
      </c>
      <c r="N3491" s="3" t="s">
        <v>92</v>
      </c>
      <c r="O3491" s="3" t="s">
        <v>93</v>
      </c>
      <c r="P3491" s="3" t="s">
        <v>673</v>
      </c>
      <c r="Q3491" s="3">
        <v>796</v>
      </c>
      <c r="R3491" s="3" t="s">
        <v>118</v>
      </c>
      <c r="S3491" s="9">
        <v>8</v>
      </c>
      <c r="T3491" s="9">
        <v>2000</v>
      </c>
      <c r="U3491" s="9">
        <f t="shared" si="2473"/>
        <v>16000</v>
      </c>
      <c r="V3491" s="9">
        <f t="shared" si="2474"/>
        <v>17920</v>
      </c>
      <c r="W3491" s="100"/>
      <c r="X3491" s="47">
        <v>2016</v>
      </c>
      <c r="Y3491" s="96"/>
    </row>
    <row r="3492" spans="1:31" ht="89.25" customHeight="1" outlineLevel="1" x14ac:dyDescent="0.25">
      <c r="B3492" s="3" t="s">
        <v>9520</v>
      </c>
      <c r="C3492" s="3" t="s">
        <v>83</v>
      </c>
      <c r="D3492" s="3" t="s">
        <v>3717</v>
      </c>
      <c r="E3492" s="3" t="s">
        <v>3714</v>
      </c>
      <c r="F3492" s="3" t="s">
        <v>3718</v>
      </c>
      <c r="G3492" s="3" t="s">
        <v>3719</v>
      </c>
      <c r="H3492" s="3" t="s">
        <v>88</v>
      </c>
      <c r="I3492" s="4">
        <v>0</v>
      </c>
      <c r="J3492" s="5">
        <v>710000000</v>
      </c>
      <c r="K3492" s="3" t="s">
        <v>89</v>
      </c>
      <c r="L3492" s="3" t="s">
        <v>1741</v>
      </c>
      <c r="M3492" s="6" t="s">
        <v>2682</v>
      </c>
      <c r="N3492" s="3" t="s">
        <v>92</v>
      </c>
      <c r="O3492" s="3" t="s">
        <v>93</v>
      </c>
      <c r="P3492" s="3" t="s">
        <v>673</v>
      </c>
      <c r="Q3492" s="3">
        <v>796</v>
      </c>
      <c r="R3492" s="3" t="s">
        <v>118</v>
      </c>
      <c r="S3492" s="9">
        <v>4</v>
      </c>
      <c r="T3492" s="75">
        <v>1600</v>
      </c>
      <c r="U3492" s="9">
        <f t="shared" si="2473"/>
        <v>6400</v>
      </c>
      <c r="V3492" s="9">
        <f t="shared" si="2474"/>
        <v>7168.0000000000009</v>
      </c>
      <c r="W3492" s="100"/>
      <c r="X3492" s="47">
        <v>2016</v>
      </c>
      <c r="Y3492" s="96"/>
    </row>
    <row r="3493" spans="1:31" ht="89.25" customHeight="1" outlineLevel="1" x14ac:dyDescent="0.25">
      <c r="B3493" s="2" t="s">
        <v>9521</v>
      </c>
      <c r="C3493" s="3" t="s">
        <v>83</v>
      </c>
      <c r="D3493" s="3" t="s">
        <v>3713</v>
      </c>
      <c r="E3493" s="3" t="s">
        <v>9536</v>
      </c>
      <c r="F3493" s="3" t="s">
        <v>3715</v>
      </c>
      <c r="G3493" s="3" t="s">
        <v>3716</v>
      </c>
      <c r="H3493" s="3" t="s">
        <v>88</v>
      </c>
      <c r="I3493" s="4">
        <v>0</v>
      </c>
      <c r="J3493" s="5">
        <v>710000000</v>
      </c>
      <c r="K3493" s="3" t="s">
        <v>89</v>
      </c>
      <c r="L3493" s="3" t="s">
        <v>1741</v>
      </c>
      <c r="M3493" s="6" t="s">
        <v>2682</v>
      </c>
      <c r="N3493" s="3" t="s">
        <v>92</v>
      </c>
      <c r="O3493" s="3" t="s">
        <v>93</v>
      </c>
      <c r="P3493" s="3" t="s">
        <v>673</v>
      </c>
      <c r="Q3493" s="3">
        <v>796</v>
      </c>
      <c r="R3493" s="3" t="s">
        <v>118</v>
      </c>
      <c r="S3493" s="9">
        <v>2</v>
      </c>
      <c r="T3493" s="9">
        <v>1600</v>
      </c>
      <c r="U3493" s="9">
        <f t="shared" si="2473"/>
        <v>3200</v>
      </c>
      <c r="V3493" s="9">
        <f t="shared" si="2474"/>
        <v>3584.0000000000005</v>
      </c>
      <c r="W3493" s="100"/>
      <c r="X3493" s="47">
        <v>2016</v>
      </c>
      <c r="Y3493" s="96"/>
    </row>
    <row r="3494" spans="1:31" ht="89.25" customHeight="1" outlineLevel="1" x14ac:dyDescent="0.25">
      <c r="B3494" s="3" t="s">
        <v>9522</v>
      </c>
      <c r="C3494" s="3" t="s">
        <v>83</v>
      </c>
      <c r="D3494" s="3" t="s">
        <v>3724</v>
      </c>
      <c r="E3494" s="3" t="s">
        <v>3714</v>
      </c>
      <c r="F3494" s="3" t="s">
        <v>3725</v>
      </c>
      <c r="G3494" s="3" t="s">
        <v>9537</v>
      </c>
      <c r="H3494" s="3" t="s">
        <v>88</v>
      </c>
      <c r="I3494" s="4">
        <v>0</v>
      </c>
      <c r="J3494" s="5">
        <v>710000000</v>
      </c>
      <c r="K3494" s="3" t="s">
        <v>89</v>
      </c>
      <c r="L3494" s="3" t="s">
        <v>1741</v>
      </c>
      <c r="M3494" s="6" t="s">
        <v>2682</v>
      </c>
      <c r="N3494" s="3" t="s">
        <v>92</v>
      </c>
      <c r="O3494" s="3" t="s">
        <v>93</v>
      </c>
      <c r="P3494" s="3" t="s">
        <v>673</v>
      </c>
      <c r="Q3494" s="3">
        <v>796</v>
      </c>
      <c r="R3494" s="3" t="s">
        <v>118</v>
      </c>
      <c r="S3494" s="9">
        <v>4</v>
      </c>
      <c r="T3494" s="9">
        <v>2500</v>
      </c>
      <c r="U3494" s="9">
        <f t="shared" si="2473"/>
        <v>10000</v>
      </c>
      <c r="V3494" s="9">
        <f t="shared" si="2474"/>
        <v>11200.000000000002</v>
      </c>
      <c r="W3494" s="100"/>
      <c r="X3494" s="47">
        <v>2016</v>
      </c>
      <c r="Y3494" s="96"/>
    </row>
    <row r="3495" spans="1:31" ht="89.25" customHeight="1" outlineLevel="1" x14ac:dyDescent="0.25">
      <c r="B3495" s="2" t="s">
        <v>9523</v>
      </c>
      <c r="C3495" s="3" t="s">
        <v>83</v>
      </c>
      <c r="D3495" s="3" t="s">
        <v>3731</v>
      </c>
      <c r="E3495" s="3" t="s">
        <v>3732</v>
      </c>
      <c r="F3495" s="3" t="s">
        <v>3733</v>
      </c>
      <c r="G3495" s="3" t="s">
        <v>3734</v>
      </c>
      <c r="H3495" s="3" t="s">
        <v>88</v>
      </c>
      <c r="I3495" s="4">
        <v>0</v>
      </c>
      <c r="J3495" s="5">
        <v>710000000</v>
      </c>
      <c r="K3495" s="3" t="s">
        <v>89</v>
      </c>
      <c r="L3495" s="3" t="s">
        <v>1741</v>
      </c>
      <c r="M3495" s="6" t="s">
        <v>2682</v>
      </c>
      <c r="N3495" s="3" t="s">
        <v>92</v>
      </c>
      <c r="O3495" s="3" t="s">
        <v>93</v>
      </c>
      <c r="P3495" s="3" t="s">
        <v>673</v>
      </c>
      <c r="Q3495" s="3">
        <v>796</v>
      </c>
      <c r="R3495" s="3" t="s">
        <v>118</v>
      </c>
      <c r="S3495" s="9">
        <v>2</v>
      </c>
      <c r="T3495" s="9">
        <v>3000</v>
      </c>
      <c r="U3495" s="9">
        <f t="shared" si="2473"/>
        <v>6000</v>
      </c>
      <c r="V3495" s="9">
        <f t="shared" si="2474"/>
        <v>6720.0000000000009</v>
      </c>
      <c r="W3495" s="100"/>
      <c r="X3495" s="47">
        <v>2016</v>
      </c>
      <c r="Y3495" s="96"/>
    </row>
    <row r="3496" spans="1:31" ht="89.25" customHeight="1" outlineLevel="1" x14ac:dyDescent="0.25">
      <c r="B3496" s="3" t="s">
        <v>9524</v>
      </c>
      <c r="C3496" s="3" t="s">
        <v>83</v>
      </c>
      <c r="D3496" s="3" t="s">
        <v>2469</v>
      </c>
      <c r="E3496" s="3" t="s">
        <v>2464</v>
      </c>
      <c r="F3496" s="3" t="s">
        <v>2470</v>
      </c>
      <c r="G3496" s="3" t="s">
        <v>2471</v>
      </c>
      <c r="H3496" s="3" t="s">
        <v>88</v>
      </c>
      <c r="I3496" s="4">
        <v>0</v>
      </c>
      <c r="J3496" s="5">
        <v>710000000</v>
      </c>
      <c r="K3496" s="3" t="s">
        <v>89</v>
      </c>
      <c r="L3496" s="3" t="s">
        <v>1741</v>
      </c>
      <c r="M3496" s="6" t="s">
        <v>2682</v>
      </c>
      <c r="N3496" s="3" t="s">
        <v>92</v>
      </c>
      <c r="O3496" s="3" t="s">
        <v>93</v>
      </c>
      <c r="P3496" s="3" t="s">
        <v>673</v>
      </c>
      <c r="Q3496" s="3">
        <v>796</v>
      </c>
      <c r="R3496" s="3" t="s">
        <v>118</v>
      </c>
      <c r="S3496" s="9">
        <v>11</v>
      </c>
      <c r="T3496" s="75">
        <v>740</v>
      </c>
      <c r="U3496" s="9">
        <f t="shared" si="2473"/>
        <v>8140</v>
      </c>
      <c r="V3496" s="9">
        <f t="shared" si="2474"/>
        <v>9116.8000000000011</v>
      </c>
      <c r="W3496" s="100"/>
      <c r="X3496" s="47">
        <v>2016</v>
      </c>
      <c r="Y3496" s="96"/>
    </row>
    <row r="3497" spans="1:31" ht="89.25" customHeight="1" outlineLevel="1" x14ac:dyDescent="0.25">
      <c r="B3497" s="2" t="s">
        <v>9525</v>
      </c>
      <c r="C3497" s="3" t="s">
        <v>83</v>
      </c>
      <c r="D3497" s="3" t="s">
        <v>9538</v>
      </c>
      <c r="E3497" s="3" t="s">
        <v>2489</v>
      </c>
      <c r="F3497" s="3" t="s">
        <v>9539</v>
      </c>
      <c r="G3497" s="3" t="s">
        <v>3827</v>
      </c>
      <c r="H3497" s="3" t="s">
        <v>88</v>
      </c>
      <c r="I3497" s="4">
        <v>0</v>
      </c>
      <c r="J3497" s="5">
        <v>710000000</v>
      </c>
      <c r="K3497" s="3" t="s">
        <v>89</v>
      </c>
      <c r="L3497" s="3" t="s">
        <v>1741</v>
      </c>
      <c r="M3497" s="6" t="s">
        <v>2682</v>
      </c>
      <c r="N3497" s="3" t="s">
        <v>92</v>
      </c>
      <c r="O3497" s="3" t="s">
        <v>93</v>
      </c>
      <c r="P3497" s="3" t="s">
        <v>673</v>
      </c>
      <c r="Q3497" s="3">
        <v>796</v>
      </c>
      <c r="R3497" s="3" t="s">
        <v>118</v>
      </c>
      <c r="S3497" s="9">
        <v>1</v>
      </c>
      <c r="T3497" s="75">
        <v>9446.4</v>
      </c>
      <c r="U3497" s="9">
        <f t="shared" si="2473"/>
        <v>9446.4</v>
      </c>
      <c r="V3497" s="9">
        <f t="shared" si="2474"/>
        <v>10579.968000000001</v>
      </c>
      <c r="W3497" s="100"/>
      <c r="X3497" s="47">
        <v>2016</v>
      </c>
      <c r="Y3497" s="96"/>
    </row>
    <row r="3498" spans="1:31" ht="89.25" customHeight="1" outlineLevel="1" x14ac:dyDescent="0.25">
      <c r="B3498" s="3" t="s">
        <v>9526</v>
      </c>
      <c r="C3498" s="3" t="s">
        <v>83</v>
      </c>
      <c r="D3498" s="3" t="s">
        <v>9540</v>
      </c>
      <c r="E3498" s="3" t="s">
        <v>9541</v>
      </c>
      <c r="F3498" s="3" t="s">
        <v>9542</v>
      </c>
      <c r="G3498" s="3"/>
      <c r="H3498" s="3" t="s">
        <v>88</v>
      </c>
      <c r="I3498" s="4">
        <v>0</v>
      </c>
      <c r="J3498" s="5">
        <v>710000000</v>
      </c>
      <c r="K3498" s="3" t="s">
        <v>89</v>
      </c>
      <c r="L3498" s="3" t="s">
        <v>1741</v>
      </c>
      <c r="M3498" s="6" t="s">
        <v>2682</v>
      </c>
      <c r="N3498" s="3" t="s">
        <v>92</v>
      </c>
      <c r="O3498" s="3" t="s">
        <v>93</v>
      </c>
      <c r="P3498" s="3" t="s">
        <v>673</v>
      </c>
      <c r="Q3498" s="3">
        <v>796</v>
      </c>
      <c r="R3498" s="3" t="s">
        <v>118</v>
      </c>
      <c r="S3498" s="9">
        <v>2</v>
      </c>
      <c r="T3498" s="75">
        <v>998.35</v>
      </c>
      <c r="U3498" s="9">
        <f t="shared" si="2473"/>
        <v>1996.7</v>
      </c>
      <c r="V3498" s="9">
        <f t="shared" si="2474"/>
        <v>2236.3040000000001</v>
      </c>
      <c r="W3498" s="100"/>
      <c r="X3498" s="47">
        <v>2016</v>
      </c>
      <c r="Y3498" s="96"/>
    </row>
    <row r="3499" spans="1:31" ht="89.25" customHeight="1" outlineLevel="1" x14ac:dyDescent="0.25">
      <c r="B3499" s="2" t="s">
        <v>9527</v>
      </c>
      <c r="C3499" s="3" t="s">
        <v>83</v>
      </c>
      <c r="D3499" s="3" t="s">
        <v>2417</v>
      </c>
      <c r="E3499" s="3" t="s">
        <v>2418</v>
      </c>
      <c r="F3499" s="3" t="s">
        <v>2419</v>
      </c>
      <c r="G3499" s="3" t="s">
        <v>2420</v>
      </c>
      <c r="H3499" s="3" t="s">
        <v>88</v>
      </c>
      <c r="I3499" s="4">
        <v>0</v>
      </c>
      <c r="J3499" s="5">
        <v>710000000</v>
      </c>
      <c r="K3499" s="3" t="s">
        <v>89</v>
      </c>
      <c r="L3499" s="3" t="s">
        <v>1741</v>
      </c>
      <c r="M3499" s="6" t="s">
        <v>2682</v>
      </c>
      <c r="N3499" s="3" t="s">
        <v>92</v>
      </c>
      <c r="O3499" s="3" t="s">
        <v>93</v>
      </c>
      <c r="P3499" s="3" t="s">
        <v>673</v>
      </c>
      <c r="Q3499" s="3">
        <v>796</v>
      </c>
      <c r="R3499" s="3" t="s">
        <v>118</v>
      </c>
      <c r="S3499" s="9">
        <v>30</v>
      </c>
      <c r="T3499" s="9">
        <v>900</v>
      </c>
      <c r="U3499" s="9">
        <f t="shared" si="2473"/>
        <v>27000</v>
      </c>
      <c r="V3499" s="9">
        <f t="shared" si="2474"/>
        <v>30240.000000000004</v>
      </c>
      <c r="W3499" s="100"/>
      <c r="X3499" s="47">
        <v>2016</v>
      </c>
      <c r="Y3499" s="96"/>
    </row>
    <row r="3500" spans="1:31" s="23" customFormat="1" ht="140.25" customHeight="1" outlineLevel="1" x14ac:dyDescent="0.25">
      <c r="A3500" s="3"/>
      <c r="B3500" s="3" t="s">
        <v>9528</v>
      </c>
      <c r="C3500" s="3" t="s">
        <v>83</v>
      </c>
      <c r="D3500" s="3" t="s">
        <v>3517</v>
      </c>
      <c r="E3500" s="3" t="s">
        <v>3511</v>
      </c>
      <c r="F3500" s="3" t="s">
        <v>3518</v>
      </c>
      <c r="G3500" s="3" t="s">
        <v>9683</v>
      </c>
      <c r="H3500" s="3" t="s">
        <v>88</v>
      </c>
      <c r="I3500" s="4">
        <v>0</v>
      </c>
      <c r="J3500" s="5">
        <v>710000000</v>
      </c>
      <c r="K3500" s="3" t="s">
        <v>89</v>
      </c>
      <c r="L3500" s="3" t="s">
        <v>1741</v>
      </c>
      <c r="M3500" s="3" t="s">
        <v>2682</v>
      </c>
      <c r="N3500" s="3" t="s">
        <v>92</v>
      </c>
      <c r="O3500" s="3" t="s">
        <v>93</v>
      </c>
      <c r="P3500" s="3" t="s">
        <v>673</v>
      </c>
      <c r="Q3500" s="3">
        <v>839</v>
      </c>
      <c r="R3500" s="3" t="s">
        <v>812</v>
      </c>
      <c r="S3500" s="9">
        <v>34</v>
      </c>
      <c r="T3500" s="75">
        <v>5804</v>
      </c>
      <c r="U3500" s="9">
        <v>0</v>
      </c>
      <c r="V3500" s="9">
        <f t="shared" si="2474"/>
        <v>0</v>
      </c>
      <c r="W3500" s="69"/>
      <c r="X3500" s="47">
        <v>2016</v>
      </c>
      <c r="Y3500" s="47" t="s">
        <v>9704</v>
      </c>
      <c r="Z3500" s="22"/>
      <c r="AA3500" s="22"/>
      <c r="AB3500" s="22"/>
      <c r="AC3500" s="22"/>
      <c r="AD3500" s="22"/>
      <c r="AE3500" s="22"/>
    </row>
    <row r="3501" spans="1:31" ht="89.25" outlineLevel="1" x14ac:dyDescent="0.25">
      <c r="A3501" s="3"/>
      <c r="B3501" s="3" t="s">
        <v>9687</v>
      </c>
      <c r="C3501" s="3" t="s">
        <v>83</v>
      </c>
      <c r="D3501" s="3" t="s">
        <v>3517</v>
      </c>
      <c r="E3501" s="3" t="s">
        <v>3511</v>
      </c>
      <c r="F3501" s="3" t="s">
        <v>3518</v>
      </c>
      <c r="G3501" s="3" t="s">
        <v>9791</v>
      </c>
      <c r="H3501" s="3" t="s">
        <v>88</v>
      </c>
      <c r="I3501" s="4">
        <v>0</v>
      </c>
      <c r="J3501" s="5">
        <v>710000000</v>
      </c>
      <c r="K3501" s="3" t="s">
        <v>89</v>
      </c>
      <c r="L3501" s="3" t="s">
        <v>1723</v>
      </c>
      <c r="M3501" s="3" t="s">
        <v>2682</v>
      </c>
      <c r="N3501" s="3" t="s">
        <v>92</v>
      </c>
      <c r="O3501" s="3" t="s">
        <v>93</v>
      </c>
      <c r="P3501" s="3" t="s">
        <v>94</v>
      </c>
      <c r="Q3501" s="3">
        <v>839</v>
      </c>
      <c r="R3501" s="3" t="s">
        <v>812</v>
      </c>
      <c r="S3501" s="9">
        <v>34</v>
      </c>
      <c r="T3501" s="75">
        <v>5804</v>
      </c>
      <c r="U3501" s="9">
        <f t="shared" ref="U3501" si="2477">S3501*T3501</f>
        <v>197336</v>
      </c>
      <c r="V3501" s="9">
        <f t="shared" ref="V3501" si="2478">U3501*1.12</f>
        <v>221016.32000000001</v>
      </c>
      <c r="W3501" s="3" t="s">
        <v>3449</v>
      </c>
      <c r="X3501" s="47">
        <v>2016</v>
      </c>
      <c r="Y3501" s="96"/>
    </row>
    <row r="3502" spans="1:31" s="23" customFormat="1" ht="102" customHeight="1" outlineLevel="1" x14ac:dyDescent="0.25">
      <c r="A3502" s="3"/>
      <c r="B3502" s="3" t="s">
        <v>9529</v>
      </c>
      <c r="C3502" s="3" t="s">
        <v>83</v>
      </c>
      <c r="D3502" s="3" t="s">
        <v>3514</v>
      </c>
      <c r="E3502" s="3" t="s">
        <v>3511</v>
      </c>
      <c r="F3502" s="3" t="s">
        <v>3515</v>
      </c>
      <c r="G3502" s="3" t="s">
        <v>3700</v>
      </c>
      <c r="H3502" s="3" t="s">
        <v>88</v>
      </c>
      <c r="I3502" s="4">
        <v>0</v>
      </c>
      <c r="J3502" s="5">
        <v>710000000</v>
      </c>
      <c r="K3502" s="3" t="s">
        <v>89</v>
      </c>
      <c r="L3502" s="3" t="s">
        <v>1741</v>
      </c>
      <c r="M3502" s="3" t="s">
        <v>2682</v>
      </c>
      <c r="N3502" s="3" t="s">
        <v>92</v>
      </c>
      <c r="O3502" s="3" t="s">
        <v>93</v>
      </c>
      <c r="P3502" s="3" t="s">
        <v>673</v>
      </c>
      <c r="Q3502" s="3">
        <v>839</v>
      </c>
      <c r="R3502" s="3" t="s">
        <v>812</v>
      </c>
      <c r="S3502" s="9">
        <v>16</v>
      </c>
      <c r="T3502" s="75">
        <v>7054</v>
      </c>
      <c r="U3502" s="9">
        <v>0</v>
      </c>
      <c r="V3502" s="9">
        <f t="shared" si="2474"/>
        <v>0</v>
      </c>
      <c r="W3502" s="69"/>
      <c r="X3502" s="47">
        <v>2016</v>
      </c>
      <c r="Y3502" s="47" t="s">
        <v>9705</v>
      </c>
      <c r="Z3502" s="22"/>
      <c r="AA3502" s="22"/>
      <c r="AB3502" s="22"/>
      <c r="AC3502" s="22"/>
      <c r="AD3502" s="22"/>
      <c r="AE3502" s="22"/>
    </row>
    <row r="3503" spans="1:31" ht="114.75" outlineLevel="1" x14ac:dyDescent="0.25">
      <c r="A3503" s="3"/>
      <c r="B3503" s="3" t="s">
        <v>9689</v>
      </c>
      <c r="C3503" s="3" t="s">
        <v>83</v>
      </c>
      <c r="D3503" s="3" t="s">
        <v>9702</v>
      </c>
      <c r="E3503" s="3" t="s">
        <v>3511</v>
      </c>
      <c r="F3503" s="3" t="s">
        <v>9703</v>
      </c>
      <c r="G3503" s="3" t="s">
        <v>9792</v>
      </c>
      <c r="H3503" s="3" t="s">
        <v>88</v>
      </c>
      <c r="I3503" s="4">
        <v>0</v>
      </c>
      <c r="J3503" s="5">
        <v>710000000</v>
      </c>
      <c r="K3503" s="3" t="s">
        <v>89</v>
      </c>
      <c r="L3503" s="3" t="s">
        <v>1723</v>
      </c>
      <c r="M3503" s="3" t="s">
        <v>2682</v>
      </c>
      <c r="N3503" s="3" t="s">
        <v>92</v>
      </c>
      <c r="O3503" s="3" t="s">
        <v>93</v>
      </c>
      <c r="P3503" s="3" t="s">
        <v>94</v>
      </c>
      <c r="Q3503" s="3">
        <v>839</v>
      </c>
      <c r="R3503" s="3" t="s">
        <v>812</v>
      </c>
      <c r="S3503" s="9">
        <v>16</v>
      </c>
      <c r="T3503" s="75">
        <v>7054</v>
      </c>
      <c r="U3503" s="9">
        <f t="shared" ref="U3503" si="2479">S3503*T3503</f>
        <v>112864</v>
      </c>
      <c r="V3503" s="9">
        <f t="shared" ref="V3503" si="2480">U3503*1.12</f>
        <v>126407.68000000001</v>
      </c>
      <c r="W3503" s="3" t="s">
        <v>3449</v>
      </c>
      <c r="X3503" s="47">
        <v>2016</v>
      </c>
      <c r="Y3503" s="96"/>
    </row>
    <row r="3504" spans="1:31" s="23" customFormat="1" ht="242.25" customHeight="1" outlineLevel="1" x14ac:dyDescent="0.25">
      <c r="A3504" s="3"/>
      <c r="B3504" s="3" t="s">
        <v>9530</v>
      </c>
      <c r="C3504" s="3" t="s">
        <v>83</v>
      </c>
      <c r="D3504" s="3" t="s">
        <v>3701</v>
      </c>
      <c r="E3504" s="3" t="s">
        <v>3511</v>
      </c>
      <c r="F3504" s="3" t="s">
        <v>3702</v>
      </c>
      <c r="G3504" s="3" t="s">
        <v>3703</v>
      </c>
      <c r="H3504" s="3" t="s">
        <v>88</v>
      </c>
      <c r="I3504" s="4">
        <v>0</v>
      </c>
      <c r="J3504" s="5">
        <v>710000000</v>
      </c>
      <c r="K3504" s="3" t="s">
        <v>89</v>
      </c>
      <c r="L3504" s="3" t="s">
        <v>1741</v>
      </c>
      <c r="M3504" s="3" t="s">
        <v>2682</v>
      </c>
      <c r="N3504" s="3" t="s">
        <v>92</v>
      </c>
      <c r="O3504" s="3" t="s">
        <v>93</v>
      </c>
      <c r="P3504" s="3" t="s">
        <v>673</v>
      </c>
      <c r="Q3504" s="3">
        <v>839</v>
      </c>
      <c r="R3504" s="3" t="s">
        <v>812</v>
      </c>
      <c r="S3504" s="9">
        <v>4</v>
      </c>
      <c r="T3504" s="75">
        <v>10804</v>
      </c>
      <c r="U3504" s="9">
        <v>0</v>
      </c>
      <c r="V3504" s="9">
        <f t="shared" si="2474"/>
        <v>0</v>
      </c>
      <c r="W3504" s="69"/>
      <c r="X3504" s="47">
        <v>2016</v>
      </c>
      <c r="Y3504" s="47" t="s">
        <v>9704</v>
      </c>
      <c r="Z3504" s="22"/>
      <c r="AA3504" s="22"/>
      <c r="AB3504" s="22"/>
      <c r="AC3504" s="22"/>
      <c r="AD3504" s="22"/>
      <c r="AE3504" s="22"/>
    </row>
    <row r="3505" spans="1:31" ht="242.25" customHeight="1" outlineLevel="1" x14ac:dyDescent="0.25">
      <c r="A3505" s="3"/>
      <c r="B3505" s="3" t="s">
        <v>9690</v>
      </c>
      <c r="C3505" s="3" t="s">
        <v>83</v>
      </c>
      <c r="D3505" s="3" t="s">
        <v>3701</v>
      </c>
      <c r="E3505" s="3" t="s">
        <v>3511</v>
      </c>
      <c r="F3505" s="3" t="s">
        <v>3702</v>
      </c>
      <c r="G3505" s="3" t="s">
        <v>9793</v>
      </c>
      <c r="H3505" s="3" t="s">
        <v>88</v>
      </c>
      <c r="I3505" s="4">
        <v>0</v>
      </c>
      <c r="J3505" s="5">
        <v>710000000</v>
      </c>
      <c r="K3505" s="3" t="s">
        <v>89</v>
      </c>
      <c r="L3505" s="3" t="s">
        <v>1723</v>
      </c>
      <c r="M3505" s="3" t="s">
        <v>2682</v>
      </c>
      <c r="N3505" s="3" t="s">
        <v>92</v>
      </c>
      <c r="O3505" s="3" t="s">
        <v>93</v>
      </c>
      <c r="P3505" s="3" t="s">
        <v>94</v>
      </c>
      <c r="Q3505" s="3">
        <v>839</v>
      </c>
      <c r="R3505" s="3" t="s">
        <v>812</v>
      </c>
      <c r="S3505" s="9">
        <v>4</v>
      </c>
      <c r="T3505" s="75">
        <v>10804</v>
      </c>
      <c r="U3505" s="9">
        <f t="shared" ref="U3505" si="2481">S3505*T3505</f>
        <v>43216</v>
      </c>
      <c r="V3505" s="9">
        <f t="shared" ref="V3505" si="2482">U3505*1.12</f>
        <v>48401.920000000006</v>
      </c>
      <c r="W3505" s="3" t="s">
        <v>3449</v>
      </c>
      <c r="X3505" s="47">
        <v>2016</v>
      </c>
      <c r="Y3505" s="96"/>
    </row>
    <row r="3506" spans="1:31" s="23" customFormat="1" ht="242.25" customHeight="1" outlineLevel="1" x14ac:dyDescent="0.25">
      <c r="A3506" s="3"/>
      <c r="B3506" s="2" t="s">
        <v>9531</v>
      </c>
      <c r="C3506" s="3" t="s">
        <v>83</v>
      </c>
      <c r="D3506" s="3" t="s">
        <v>3546</v>
      </c>
      <c r="E3506" s="3" t="s">
        <v>3543</v>
      </c>
      <c r="F3506" s="3" t="s">
        <v>3547</v>
      </c>
      <c r="G3506" s="3" t="s">
        <v>3548</v>
      </c>
      <c r="H3506" s="3" t="s">
        <v>88</v>
      </c>
      <c r="I3506" s="4">
        <v>0</v>
      </c>
      <c r="J3506" s="5">
        <v>710000000</v>
      </c>
      <c r="K3506" s="3" t="s">
        <v>89</v>
      </c>
      <c r="L3506" s="3" t="s">
        <v>1741</v>
      </c>
      <c r="M3506" s="3" t="s">
        <v>2682</v>
      </c>
      <c r="N3506" s="3" t="s">
        <v>92</v>
      </c>
      <c r="O3506" s="3" t="s">
        <v>93</v>
      </c>
      <c r="P3506" s="3" t="s">
        <v>673</v>
      </c>
      <c r="Q3506" s="3">
        <v>715</v>
      </c>
      <c r="R3506" s="3" t="s">
        <v>2459</v>
      </c>
      <c r="S3506" s="9">
        <v>14</v>
      </c>
      <c r="T3506" s="75">
        <v>4821</v>
      </c>
      <c r="U3506" s="9">
        <v>0</v>
      </c>
      <c r="V3506" s="9">
        <f t="shared" si="2474"/>
        <v>0</v>
      </c>
      <c r="W3506" s="69"/>
      <c r="X3506" s="47">
        <v>2016</v>
      </c>
      <c r="Y3506" s="47" t="s">
        <v>9704</v>
      </c>
      <c r="Z3506" s="22"/>
      <c r="AA3506" s="22"/>
      <c r="AB3506" s="22"/>
      <c r="AC3506" s="22"/>
      <c r="AD3506" s="22"/>
      <c r="AE3506" s="22"/>
    </row>
    <row r="3507" spans="1:31" ht="89.25" outlineLevel="1" x14ac:dyDescent="0.25">
      <c r="A3507" s="3"/>
      <c r="B3507" s="2" t="s">
        <v>9691</v>
      </c>
      <c r="C3507" s="3" t="s">
        <v>83</v>
      </c>
      <c r="D3507" s="3" t="s">
        <v>3546</v>
      </c>
      <c r="E3507" s="3" t="s">
        <v>3543</v>
      </c>
      <c r="F3507" s="3" t="s">
        <v>3547</v>
      </c>
      <c r="G3507" s="3" t="s">
        <v>9794</v>
      </c>
      <c r="H3507" s="3" t="s">
        <v>88</v>
      </c>
      <c r="I3507" s="4">
        <v>0</v>
      </c>
      <c r="J3507" s="5">
        <v>710000000</v>
      </c>
      <c r="K3507" s="3" t="s">
        <v>89</v>
      </c>
      <c r="L3507" s="3" t="s">
        <v>1723</v>
      </c>
      <c r="M3507" s="3" t="s">
        <v>2682</v>
      </c>
      <c r="N3507" s="3" t="s">
        <v>92</v>
      </c>
      <c r="O3507" s="3" t="s">
        <v>93</v>
      </c>
      <c r="P3507" s="3" t="s">
        <v>94</v>
      </c>
      <c r="Q3507" s="3">
        <v>715</v>
      </c>
      <c r="R3507" s="3" t="s">
        <v>2459</v>
      </c>
      <c r="S3507" s="9">
        <v>14</v>
      </c>
      <c r="T3507" s="75">
        <v>4821</v>
      </c>
      <c r="U3507" s="9">
        <f t="shared" ref="U3507" si="2483">S3507*T3507</f>
        <v>67494</v>
      </c>
      <c r="V3507" s="9">
        <f t="shared" ref="V3507" si="2484">U3507*1.12</f>
        <v>75593.280000000013</v>
      </c>
      <c r="W3507" s="3" t="s">
        <v>3449</v>
      </c>
      <c r="X3507" s="47">
        <v>2016</v>
      </c>
      <c r="Y3507" s="96"/>
    </row>
    <row r="3508" spans="1:31" ht="89.25" customHeight="1" outlineLevel="1" x14ac:dyDescent="0.25">
      <c r="A3508" s="3"/>
      <c r="B3508" s="3" t="s">
        <v>9532</v>
      </c>
      <c r="C3508" s="3" t="s">
        <v>83</v>
      </c>
      <c r="D3508" s="3" t="s">
        <v>3542</v>
      </c>
      <c r="E3508" s="3" t="s">
        <v>3543</v>
      </c>
      <c r="F3508" s="3" t="s">
        <v>3544</v>
      </c>
      <c r="G3508" s="3" t="s">
        <v>3545</v>
      </c>
      <c r="H3508" s="3" t="s">
        <v>88</v>
      </c>
      <c r="I3508" s="4">
        <v>0</v>
      </c>
      <c r="J3508" s="5">
        <v>710000000</v>
      </c>
      <c r="K3508" s="3" t="s">
        <v>89</v>
      </c>
      <c r="L3508" s="3" t="s">
        <v>1741</v>
      </c>
      <c r="M3508" s="3" t="s">
        <v>2682</v>
      </c>
      <c r="N3508" s="3" t="s">
        <v>92</v>
      </c>
      <c r="O3508" s="3" t="s">
        <v>93</v>
      </c>
      <c r="P3508" s="3" t="s">
        <v>673</v>
      </c>
      <c r="Q3508" s="3">
        <v>715</v>
      </c>
      <c r="R3508" s="3" t="s">
        <v>2459</v>
      </c>
      <c r="S3508" s="9">
        <v>23</v>
      </c>
      <c r="T3508" s="75">
        <v>4821</v>
      </c>
      <c r="U3508" s="9">
        <v>0</v>
      </c>
      <c r="V3508" s="9">
        <f t="shared" si="2474"/>
        <v>0</v>
      </c>
      <c r="W3508" s="100"/>
      <c r="X3508" s="47">
        <v>2016</v>
      </c>
      <c r="Y3508" s="47" t="s">
        <v>9704</v>
      </c>
    </row>
    <row r="3509" spans="1:31" ht="89.25" outlineLevel="1" x14ac:dyDescent="0.25">
      <c r="A3509" s="3"/>
      <c r="B3509" s="3" t="s">
        <v>9692</v>
      </c>
      <c r="C3509" s="3" t="s">
        <v>83</v>
      </c>
      <c r="D3509" s="3" t="s">
        <v>3542</v>
      </c>
      <c r="E3509" s="3" t="s">
        <v>3543</v>
      </c>
      <c r="F3509" s="3" t="s">
        <v>3544</v>
      </c>
      <c r="G3509" s="3" t="s">
        <v>9701</v>
      </c>
      <c r="H3509" s="3" t="s">
        <v>88</v>
      </c>
      <c r="I3509" s="4">
        <v>0</v>
      </c>
      <c r="J3509" s="5">
        <v>710000000</v>
      </c>
      <c r="K3509" s="3" t="s">
        <v>89</v>
      </c>
      <c r="L3509" s="3" t="s">
        <v>1723</v>
      </c>
      <c r="M3509" s="3" t="s">
        <v>2682</v>
      </c>
      <c r="N3509" s="3" t="s">
        <v>92</v>
      </c>
      <c r="O3509" s="3" t="s">
        <v>93</v>
      </c>
      <c r="P3509" s="3" t="s">
        <v>94</v>
      </c>
      <c r="Q3509" s="3">
        <v>715</v>
      </c>
      <c r="R3509" s="3" t="s">
        <v>2459</v>
      </c>
      <c r="S3509" s="9">
        <v>23</v>
      </c>
      <c r="T3509" s="75">
        <v>4821</v>
      </c>
      <c r="U3509" s="9">
        <f t="shared" ref="U3509" si="2485">S3509*T3509</f>
        <v>110883</v>
      </c>
      <c r="V3509" s="9">
        <f t="shared" ref="V3509" si="2486">U3509*1.12</f>
        <v>124188.96</v>
      </c>
      <c r="W3509" s="3" t="s">
        <v>3449</v>
      </c>
      <c r="X3509" s="47">
        <v>2016</v>
      </c>
      <c r="Y3509" s="96"/>
    </row>
    <row r="3510" spans="1:31" ht="89.25" customHeight="1" outlineLevel="1" x14ac:dyDescent="0.25">
      <c r="B3510" s="2" t="s">
        <v>9533</v>
      </c>
      <c r="C3510" s="3" t="s">
        <v>83</v>
      </c>
      <c r="D3510" s="3" t="s">
        <v>3904</v>
      </c>
      <c r="E3510" s="3" t="s">
        <v>2605</v>
      </c>
      <c r="F3510" s="3" t="s">
        <v>3906</v>
      </c>
      <c r="G3510" s="3" t="s">
        <v>3905</v>
      </c>
      <c r="H3510" s="3" t="s">
        <v>88</v>
      </c>
      <c r="I3510" s="4">
        <v>0</v>
      </c>
      <c r="J3510" s="5">
        <v>710000000</v>
      </c>
      <c r="K3510" s="3" t="s">
        <v>89</v>
      </c>
      <c r="L3510" s="3" t="s">
        <v>1741</v>
      </c>
      <c r="M3510" s="3" t="s">
        <v>2682</v>
      </c>
      <c r="N3510" s="3" t="s">
        <v>92</v>
      </c>
      <c r="O3510" s="3" t="s">
        <v>93</v>
      </c>
      <c r="P3510" s="3" t="s">
        <v>673</v>
      </c>
      <c r="Q3510" s="3">
        <v>704</v>
      </c>
      <c r="R3510" s="3" t="s">
        <v>2605</v>
      </c>
      <c r="S3510" s="75">
        <v>1</v>
      </c>
      <c r="T3510" s="75">
        <v>30000</v>
      </c>
      <c r="U3510" s="9">
        <f t="shared" si="2473"/>
        <v>30000</v>
      </c>
      <c r="V3510" s="9">
        <f t="shared" si="2474"/>
        <v>33600</v>
      </c>
      <c r="W3510" s="100"/>
      <c r="X3510" s="47">
        <v>2016</v>
      </c>
      <c r="Y3510" s="96"/>
    </row>
    <row r="3511" spans="1:31" ht="89.25" customHeight="1" outlineLevel="1" x14ac:dyDescent="0.25">
      <c r="B3511" s="3" t="s">
        <v>9534</v>
      </c>
      <c r="C3511" s="3" t="s">
        <v>83</v>
      </c>
      <c r="D3511" s="3" t="s">
        <v>3858</v>
      </c>
      <c r="E3511" s="3" t="s">
        <v>3859</v>
      </c>
      <c r="F3511" s="3" t="s">
        <v>3860</v>
      </c>
      <c r="G3511" s="3" t="s">
        <v>3860</v>
      </c>
      <c r="H3511" s="3" t="s">
        <v>88</v>
      </c>
      <c r="I3511" s="4">
        <v>0</v>
      </c>
      <c r="J3511" s="5">
        <v>710000000</v>
      </c>
      <c r="K3511" s="3" t="s">
        <v>89</v>
      </c>
      <c r="L3511" s="3" t="s">
        <v>1741</v>
      </c>
      <c r="M3511" s="3" t="s">
        <v>2682</v>
      </c>
      <c r="N3511" s="3" t="s">
        <v>92</v>
      </c>
      <c r="O3511" s="3" t="s">
        <v>93</v>
      </c>
      <c r="P3511" s="3" t="s">
        <v>673</v>
      </c>
      <c r="Q3511" s="3">
        <v>796</v>
      </c>
      <c r="R3511" s="3" t="s">
        <v>118</v>
      </c>
      <c r="S3511" s="75">
        <v>1</v>
      </c>
      <c r="T3511" s="75">
        <v>20000</v>
      </c>
      <c r="U3511" s="9">
        <f>S3511*T3511</f>
        <v>20000</v>
      </c>
      <c r="V3511" s="9">
        <f>U3511*1.12</f>
        <v>22400.000000000004</v>
      </c>
      <c r="W3511" s="100"/>
      <c r="X3511" s="47">
        <v>2016</v>
      </c>
      <c r="Y3511" s="96"/>
    </row>
    <row r="3512" spans="1:31" ht="89.25" customHeight="1" outlineLevel="1" x14ac:dyDescent="0.25">
      <c r="B3512" s="2" t="s">
        <v>9543</v>
      </c>
      <c r="C3512" s="3" t="s">
        <v>83</v>
      </c>
      <c r="D3512" s="3" t="s">
        <v>3835</v>
      </c>
      <c r="E3512" s="3" t="s">
        <v>3836</v>
      </c>
      <c r="F3512" s="3" t="s">
        <v>3837</v>
      </c>
      <c r="G3512" s="3" t="s">
        <v>3838</v>
      </c>
      <c r="H3512" s="3" t="s">
        <v>88</v>
      </c>
      <c r="I3512" s="4">
        <v>0</v>
      </c>
      <c r="J3512" s="5">
        <v>710000000</v>
      </c>
      <c r="K3512" s="3" t="s">
        <v>89</v>
      </c>
      <c r="L3512" s="3" t="s">
        <v>1741</v>
      </c>
      <c r="M3512" s="3" t="s">
        <v>2682</v>
      </c>
      <c r="N3512" s="3" t="s">
        <v>92</v>
      </c>
      <c r="O3512" s="3" t="s">
        <v>93</v>
      </c>
      <c r="P3512" s="3" t="s">
        <v>673</v>
      </c>
      <c r="Q3512" s="3">
        <v>796</v>
      </c>
      <c r="R3512" s="3" t="s">
        <v>118</v>
      </c>
      <c r="S3512" s="75">
        <v>1</v>
      </c>
      <c r="T3512" s="75">
        <v>29643</v>
      </c>
      <c r="U3512" s="9">
        <f t="shared" ref="U3512:U3526" si="2487">S3512*T3512</f>
        <v>29643</v>
      </c>
      <c r="V3512" s="9">
        <f t="shared" ref="V3512:V3530" si="2488">U3512*1.12</f>
        <v>33200.160000000003</v>
      </c>
      <c r="W3512" s="100"/>
      <c r="X3512" s="47">
        <v>2016</v>
      </c>
      <c r="Y3512" s="96"/>
    </row>
    <row r="3513" spans="1:31" s="23" customFormat="1" ht="89.25" customHeight="1" outlineLevel="1" x14ac:dyDescent="0.25">
      <c r="A3513" s="3"/>
      <c r="B3513" s="3" t="s">
        <v>9544</v>
      </c>
      <c r="C3513" s="3" t="s">
        <v>83</v>
      </c>
      <c r="D3513" s="3" t="s">
        <v>3514</v>
      </c>
      <c r="E3513" s="3" t="s">
        <v>3511</v>
      </c>
      <c r="F3513" s="3" t="s">
        <v>3515</v>
      </c>
      <c r="G3513" s="3" t="s">
        <v>3671</v>
      </c>
      <c r="H3513" s="3" t="s">
        <v>88</v>
      </c>
      <c r="I3513" s="4">
        <v>0</v>
      </c>
      <c r="J3513" s="5">
        <v>710000000</v>
      </c>
      <c r="K3513" s="3" t="s">
        <v>89</v>
      </c>
      <c r="L3513" s="3" t="s">
        <v>1741</v>
      </c>
      <c r="M3513" s="6" t="s">
        <v>9554</v>
      </c>
      <c r="N3513" s="3" t="s">
        <v>92</v>
      </c>
      <c r="O3513" s="3" t="s">
        <v>93</v>
      </c>
      <c r="P3513" s="3" t="s">
        <v>673</v>
      </c>
      <c r="Q3513" s="3">
        <v>839</v>
      </c>
      <c r="R3513" s="3" t="s">
        <v>812</v>
      </c>
      <c r="S3513" s="75">
        <v>11</v>
      </c>
      <c r="T3513" s="75">
        <v>8245</v>
      </c>
      <c r="U3513" s="9">
        <v>0</v>
      </c>
      <c r="V3513" s="9">
        <f t="shared" si="2488"/>
        <v>0</v>
      </c>
      <c r="W3513" s="69"/>
      <c r="X3513" s="47">
        <v>2016</v>
      </c>
      <c r="Y3513" s="47" t="s">
        <v>9704</v>
      </c>
      <c r="Z3513" s="22"/>
      <c r="AA3513" s="22"/>
      <c r="AB3513" s="22"/>
      <c r="AC3513" s="22"/>
      <c r="AD3513" s="22"/>
      <c r="AE3513" s="22"/>
    </row>
    <row r="3514" spans="1:31" ht="89.25" customHeight="1" outlineLevel="1" x14ac:dyDescent="0.25">
      <c r="A3514" s="3"/>
      <c r="B3514" s="3" t="s">
        <v>9693</v>
      </c>
      <c r="C3514" s="3" t="s">
        <v>83</v>
      </c>
      <c r="D3514" s="3" t="s">
        <v>3514</v>
      </c>
      <c r="E3514" s="3" t="s">
        <v>3511</v>
      </c>
      <c r="F3514" s="3" t="s">
        <v>3515</v>
      </c>
      <c r="G3514" s="3" t="s">
        <v>9795</v>
      </c>
      <c r="H3514" s="3" t="s">
        <v>88</v>
      </c>
      <c r="I3514" s="4">
        <v>0</v>
      </c>
      <c r="J3514" s="5">
        <v>710000000</v>
      </c>
      <c r="K3514" s="3" t="s">
        <v>89</v>
      </c>
      <c r="L3514" s="3" t="s">
        <v>1723</v>
      </c>
      <c r="M3514" s="6" t="s">
        <v>682</v>
      </c>
      <c r="N3514" s="3" t="s">
        <v>92</v>
      </c>
      <c r="O3514" s="3" t="s">
        <v>93</v>
      </c>
      <c r="P3514" s="3" t="s">
        <v>94</v>
      </c>
      <c r="Q3514" s="3">
        <v>839</v>
      </c>
      <c r="R3514" s="3" t="s">
        <v>812</v>
      </c>
      <c r="S3514" s="75">
        <v>11</v>
      </c>
      <c r="T3514" s="75">
        <v>8245</v>
      </c>
      <c r="U3514" s="9">
        <f t="shared" ref="U3514" si="2489">S3514*T3514</f>
        <v>90695</v>
      </c>
      <c r="V3514" s="9">
        <f t="shared" ref="V3514" si="2490">U3514*1.12</f>
        <v>101578.40000000001</v>
      </c>
      <c r="W3514" s="3" t="s">
        <v>3449</v>
      </c>
      <c r="X3514" s="47">
        <v>2016</v>
      </c>
      <c r="Y3514" s="96"/>
    </row>
    <row r="3515" spans="1:31" s="23" customFormat="1" ht="242.25" customHeight="1" outlineLevel="1" x14ac:dyDescent="0.25">
      <c r="A3515" s="3"/>
      <c r="B3515" s="2" t="s">
        <v>9545</v>
      </c>
      <c r="C3515" s="3" t="s">
        <v>83</v>
      </c>
      <c r="D3515" s="3" t="s">
        <v>3546</v>
      </c>
      <c r="E3515" s="3" t="s">
        <v>3543</v>
      </c>
      <c r="F3515" s="3" t="s">
        <v>3547</v>
      </c>
      <c r="G3515" s="3" t="s">
        <v>3548</v>
      </c>
      <c r="H3515" s="3" t="s">
        <v>88</v>
      </c>
      <c r="I3515" s="4">
        <v>0</v>
      </c>
      <c r="J3515" s="5">
        <v>710000000</v>
      </c>
      <c r="K3515" s="3" t="s">
        <v>89</v>
      </c>
      <c r="L3515" s="3" t="s">
        <v>1741</v>
      </c>
      <c r="M3515" s="6" t="s">
        <v>9554</v>
      </c>
      <c r="N3515" s="3" t="s">
        <v>92</v>
      </c>
      <c r="O3515" s="3" t="s">
        <v>93</v>
      </c>
      <c r="P3515" s="3" t="s">
        <v>673</v>
      </c>
      <c r="Q3515" s="3">
        <v>715</v>
      </c>
      <c r="R3515" s="3" t="s">
        <v>2459</v>
      </c>
      <c r="S3515" s="75">
        <v>11</v>
      </c>
      <c r="T3515" s="75">
        <v>5104</v>
      </c>
      <c r="U3515" s="9">
        <v>0</v>
      </c>
      <c r="V3515" s="9">
        <f t="shared" si="2488"/>
        <v>0</v>
      </c>
      <c r="W3515" s="69"/>
      <c r="X3515" s="47">
        <v>2016</v>
      </c>
      <c r="Y3515" s="47" t="s">
        <v>9704</v>
      </c>
      <c r="Z3515" s="22"/>
      <c r="AA3515" s="22"/>
      <c r="AB3515" s="22"/>
      <c r="AC3515" s="22"/>
      <c r="AD3515" s="22"/>
      <c r="AE3515" s="22"/>
    </row>
    <row r="3516" spans="1:31" ht="89.25" outlineLevel="1" x14ac:dyDescent="0.25">
      <c r="A3516" s="3"/>
      <c r="B3516" s="2" t="s">
        <v>9694</v>
      </c>
      <c r="C3516" s="3" t="s">
        <v>83</v>
      </c>
      <c r="D3516" s="3" t="s">
        <v>3546</v>
      </c>
      <c r="E3516" s="3" t="s">
        <v>3543</v>
      </c>
      <c r="F3516" s="3" t="s">
        <v>3547</v>
      </c>
      <c r="G3516" s="3" t="s">
        <v>9794</v>
      </c>
      <c r="H3516" s="3" t="s">
        <v>88</v>
      </c>
      <c r="I3516" s="4">
        <v>0</v>
      </c>
      <c r="J3516" s="5">
        <v>710000000</v>
      </c>
      <c r="K3516" s="3" t="s">
        <v>89</v>
      </c>
      <c r="L3516" s="3" t="s">
        <v>1723</v>
      </c>
      <c r="M3516" s="6" t="s">
        <v>682</v>
      </c>
      <c r="N3516" s="3" t="s">
        <v>92</v>
      </c>
      <c r="O3516" s="3" t="s">
        <v>93</v>
      </c>
      <c r="P3516" s="3" t="s">
        <v>94</v>
      </c>
      <c r="Q3516" s="3">
        <v>715</v>
      </c>
      <c r="R3516" s="3" t="s">
        <v>2459</v>
      </c>
      <c r="S3516" s="75">
        <v>11</v>
      </c>
      <c r="T3516" s="75">
        <v>5104</v>
      </c>
      <c r="U3516" s="9">
        <f t="shared" ref="U3516" si="2491">S3516*T3516</f>
        <v>56144</v>
      </c>
      <c r="V3516" s="9">
        <f t="shared" ref="V3516" si="2492">U3516*1.12</f>
        <v>62881.280000000006</v>
      </c>
      <c r="W3516" s="3" t="s">
        <v>3449</v>
      </c>
      <c r="X3516" s="47">
        <v>2016</v>
      </c>
      <c r="Y3516" s="96"/>
    </row>
    <row r="3517" spans="1:31" s="23" customFormat="1" ht="89.25" customHeight="1" outlineLevel="1" x14ac:dyDescent="0.25">
      <c r="A3517" s="3"/>
      <c r="B3517" s="3" t="s">
        <v>9546</v>
      </c>
      <c r="C3517" s="3" t="s">
        <v>83</v>
      </c>
      <c r="D3517" s="3" t="s">
        <v>3566</v>
      </c>
      <c r="E3517" s="3" t="s">
        <v>2455</v>
      </c>
      <c r="F3517" s="3" t="s">
        <v>3567</v>
      </c>
      <c r="G3517" s="3" t="s">
        <v>3568</v>
      </c>
      <c r="H3517" s="3" t="s">
        <v>88</v>
      </c>
      <c r="I3517" s="4">
        <v>0</v>
      </c>
      <c r="J3517" s="5">
        <v>710000000</v>
      </c>
      <c r="K3517" s="3" t="s">
        <v>89</v>
      </c>
      <c r="L3517" s="3" t="s">
        <v>1741</v>
      </c>
      <c r="M3517" s="6" t="s">
        <v>9554</v>
      </c>
      <c r="N3517" s="3" t="s">
        <v>92</v>
      </c>
      <c r="O3517" s="3" t="s">
        <v>93</v>
      </c>
      <c r="P3517" s="3" t="s">
        <v>673</v>
      </c>
      <c r="Q3517" s="3">
        <v>715</v>
      </c>
      <c r="R3517" s="3" t="s">
        <v>2459</v>
      </c>
      <c r="S3517" s="75">
        <v>20</v>
      </c>
      <c r="T3517" s="75">
        <v>105</v>
      </c>
      <c r="U3517" s="9">
        <v>0</v>
      </c>
      <c r="V3517" s="9">
        <f t="shared" si="2488"/>
        <v>0</v>
      </c>
      <c r="W3517" s="69"/>
      <c r="X3517" s="47">
        <v>2016</v>
      </c>
      <c r="Y3517" s="47" t="s">
        <v>9688</v>
      </c>
      <c r="Z3517" s="22"/>
      <c r="AA3517" s="22"/>
      <c r="AB3517" s="22"/>
      <c r="AC3517" s="22"/>
      <c r="AD3517" s="22"/>
      <c r="AE3517" s="22"/>
    </row>
    <row r="3518" spans="1:31" ht="89.25" customHeight="1" outlineLevel="1" x14ac:dyDescent="0.25">
      <c r="A3518" s="3"/>
      <c r="B3518" s="3" t="s">
        <v>9695</v>
      </c>
      <c r="C3518" s="3" t="s">
        <v>83</v>
      </c>
      <c r="D3518" s="3" t="s">
        <v>3566</v>
      </c>
      <c r="E3518" s="3" t="s">
        <v>2455</v>
      </c>
      <c r="F3518" s="3" t="s">
        <v>3567</v>
      </c>
      <c r="G3518" s="3" t="s">
        <v>3568</v>
      </c>
      <c r="H3518" s="3" t="s">
        <v>88</v>
      </c>
      <c r="I3518" s="4">
        <v>0</v>
      </c>
      <c r="J3518" s="5">
        <v>710000000</v>
      </c>
      <c r="K3518" s="3" t="s">
        <v>89</v>
      </c>
      <c r="L3518" s="3" t="s">
        <v>1723</v>
      </c>
      <c r="M3518" s="6" t="s">
        <v>682</v>
      </c>
      <c r="N3518" s="3" t="s">
        <v>92</v>
      </c>
      <c r="O3518" s="3" t="s">
        <v>93</v>
      </c>
      <c r="P3518" s="3" t="s">
        <v>94</v>
      </c>
      <c r="Q3518" s="3">
        <v>715</v>
      </c>
      <c r="R3518" s="3" t="s">
        <v>2459</v>
      </c>
      <c r="S3518" s="75">
        <v>20</v>
      </c>
      <c r="T3518" s="75">
        <v>105</v>
      </c>
      <c r="U3518" s="9">
        <f t="shared" ref="U3518" si="2493">S3518*T3518</f>
        <v>2100</v>
      </c>
      <c r="V3518" s="9">
        <f t="shared" ref="V3518" si="2494">U3518*1.12</f>
        <v>2352</v>
      </c>
      <c r="W3518" s="3" t="s">
        <v>3449</v>
      </c>
      <c r="X3518" s="47">
        <v>2016</v>
      </c>
      <c r="Y3518" s="96"/>
    </row>
    <row r="3519" spans="1:31" ht="89.25" customHeight="1" outlineLevel="1" x14ac:dyDescent="0.25">
      <c r="B3519" s="2" t="s">
        <v>9547</v>
      </c>
      <c r="C3519" s="3" t="s">
        <v>83</v>
      </c>
      <c r="D3519" s="3" t="s">
        <v>2469</v>
      </c>
      <c r="E3519" s="3" t="s">
        <v>2464</v>
      </c>
      <c r="F3519" s="3" t="s">
        <v>2470</v>
      </c>
      <c r="G3519" s="3" t="s">
        <v>2471</v>
      </c>
      <c r="H3519" s="3" t="s">
        <v>88</v>
      </c>
      <c r="I3519" s="4">
        <v>0</v>
      </c>
      <c r="J3519" s="5">
        <v>710000000</v>
      </c>
      <c r="K3519" s="3" t="s">
        <v>89</v>
      </c>
      <c r="L3519" s="3" t="s">
        <v>1741</v>
      </c>
      <c r="M3519" s="6" t="s">
        <v>682</v>
      </c>
      <c r="N3519" s="3" t="s">
        <v>92</v>
      </c>
      <c r="O3519" s="3" t="s">
        <v>93</v>
      </c>
      <c r="P3519" s="3" t="s">
        <v>673</v>
      </c>
      <c r="Q3519" s="3">
        <v>796</v>
      </c>
      <c r="R3519" s="3" t="s">
        <v>118</v>
      </c>
      <c r="S3519" s="75">
        <v>416</v>
      </c>
      <c r="T3519" s="75">
        <v>616</v>
      </c>
      <c r="U3519" s="9">
        <f t="shared" si="2487"/>
        <v>256256</v>
      </c>
      <c r="V3519" s="9">
        <f t="shared" si="2488"/>
        <v>287006.72000000003</v>
      </c>
      <c r="W3519" s="100"/>
      <c r="X3519" s="47">
        <v>2016</v>
      </c>
      <c r="Y3519" s="96"/>
    </row>
    <row r="3520" spans="1:31" ht="89.25" customHeight="1" outlineLevel="1" x14ac:dyDescent="0.25">
      <c r="B3520" s="3" t="s">
        <v>9548</v>
      </c>
      <c r="C3520" s="3" t="s">
        <v>83</v>
      </c>
      <c r="D3520" s="3" t="s">
        <v>2513</v>
      </c>
      <c r="E3520" s="3" t="s">
        <v>2464</v>
      </c>
      <c r="F3520" s="3" t="s">
        <v>2483</v>
      </c>
      <c r="G3520" s="3" t="s">
        <v>9555</v>
      </c>
      <c r="H3520" s="3" t="s">
        <v>88</v>
      </c>
      <c r="I3520" s="4">
        <v>0</v>
      </c>
      <c r="J3520" s="5">
        <v>710000000</v>
      </c>
      <c r="K3520" s="3" t="s">
        <v>89</v>
      </c>
      <c r="L3520" s="3" t="s">
        <v>1741</v>
      </c>
      <c r="M3520" s="6" t="s">
        <v>682</v>
      </c>
      <c r="N3520" s="3" t="s">
        <v>92</v>
      </c>
      <c r="O3520" s="3" t="s">
        <v>93</v>
      </c>
      <c r="P3520" s="3" t="s">
        <v>673</v>
      </c>
      <c r="Q3520" s="3">
        <v>796</v>
      </c>
      <c r="R3520" s="3" t="s">
        <v>118</v>
      </c>
      <c r="S3520" s="75">
        <v>208</v>
      </c>
      <c r="T3520" s="75">
        <v>1089</v>
      </c>
      <c r="U3520" s="9">
        <f t="shared" si="2487"/>
        <v>226512</v>
      </c>
      <c r="V3520" s="9">
        <f t="shared" si="2488"/>
        <v>253693.44000000003</v>
      </c>
      <c r="W3520" s="100"/>
      <c r="X3520" s="47">
        <v>2016</v>
      </c>
      <c r="Y3520" s="96"/>
    </row>
    <row r="3521" spans="2:25" ht="89.25" customHeight="1" outlineLevel="1" x14ac:dyDescent="0.25">
      <c r="B3521" s="2" t="s">
        <v>9549</v>
      </c>
      <c r="C3521" s="3" t="s">
        <v>83</v>
      </c>
      <c r="D3521" s="3" t="s">
        <v>3796</v>
      </c>
      <c r="E3521" s="3" t="s">
        <v>3797</v>
      </c>
      <c r="F3521" s="3" t="s">
        <v>3706</v>
      </c>
      <c r="G3521" s="3" t="s">
        <v>3798</v>
      </c>
      <c r="H3521" s="3" t="s">
        <v>88</v>
      </c>
      <c r="I3521" s="4">
        <v>0</v>
      </c>
      <c r="J3521" s="5">
        <v>710000000</v>
      </c>
      <c r="K3521" s="3" t="s">
        <v>89</v>
      </c>
      <c r="L3521" s="3" t="s">
        <v>1741</v>
      </c>
      <c r="M3521" s="6" t="s">
        <v>682</v>
      </c>
      <c r="N3521" s="3" t="s">
        <v>92</v>
      </c>
      <c r="O3521" s="3" t="s">
        <v>93</v>
      </c>
      <c r="P3521" s="3" t="s">
        <v>673</v>
      </c>
      <c r="Q3521" s="3">
        <v>796</v>
      </c>
      <c r="R3521" s="3" t="s">
        <v>118</v>
      </c>
      <c r="S3521" s="75">
        <v>520</v>
      </c>
      <c r="T3521" s="75">
        <v>982</v>
      </c>
      <c r="U3521" s="9">
        <f t="shared" si="2487"/>
        <v>510640</v>
      </c>
      <c r="V3521" s="9">
        <f t="shared" si="2488"/>
        <v>571916.80000000005</v>
      </c>
      <c r="W3521" s="100"/>
      <c r="X3521" s="47">
        <v>2016</v>
      </c>
      <c r="Y3521" s="96"/>
    </row>
    <row r="3522" spans="2:25" ht="89.25" customHeight="1" outlineLevel="1" x14ac:dyDescent="0.25">
      <c r="B3522" s="3" t="s">
        <v>9550</v>
      </c>
      <c r="C3522" s="3" t="s">
        <v>83</v>
      </c>
      <c r="D3522" s="3" t="s">
        <v>2485</v>
      </c>
      <c r="E3522" s="3" t="s">
        <v>9512</v>
      </c>
      <c r="F3522" s="3" t="s">
        <v>2486</v>
      </c>
      <c r="G3522" s="3" t="s">
        <v>3770</v>
      </c>
      <c r="H3522" s="3" t="s">
        <v>88</v>
      </c>
      <c r="I3522" s="4">
        <v>0</v>
      </c>
      <c r="J3522" s="5">
        <v>710000000</v>
      </c>
      <c r="K3522" s="3" t="s">
        <v>89</v>
      </c>
      <c r="L3522" s="3" t="s">
        <v>1741</v>
      </c>
      <c r="M3522" s="6" t="s">
        <v>682</v>
      </c>
      <c r="N3522" s="3" t="s">
        <v>92</v>
      </c>
      <c r="O3522" s="3" t="s">
        <v>93</v>
      </c>
      <c r="P3522" s="3" t="s">
        <v>673</v>
      </c>
      <c r="Q3522" s="3">
        <v>796</v>
      </c>
      <c r="R3522" s="3" t="s">
        <v>118</v>
      </c>
      <c r="S3522" s="75">
        <v>104</v>
      </c>
      <c r="T3522" s="75">
        <v>804</v>
      </c>
      <c r="U3522" s="9">
        <f t="shared" si="2487"/>
        <v>83616</v>
      </c>
      <c r="V3522" s="9">
        <f t="shared" si="2488"/>
        <v>93649.920000000013</v>
      </c>
      <c r="W3522" s="100"/>
      <c r="X3522" s="47">
        <v>2016</v>
      </c>
      <c r="Y3522" s="96"/>
    </row>
    <row r="3523" spans="2:25" ht="89.25" customHeight="1" outlineLevel="1" x14ac:dyDescent="0.25">
      <c r="B3523" s="2" t="s">
        <v>9551</v>
      </c>
      <c r="C3523" s="3" t="s">
        <v>83</v>
      </c>
      <c r="D3523" s="3" t="s">
        <v>2485</v>
      </c>
      <c r="E3523" s="3" t="s">
        <v>9512</v>
      </c>
      <c r="F3523" s="3" t="s">
        <v>2486</v>
      </c>
      <c r="G3523" s="3" t="s">
        <v>9556</v>
      </c>
      <c r="H3523" s="3" t="s">
        <v>88</v>
      </c>
      <c r="I3523" s="4">
        <v>0</v>
      </c>
      <c r="J3523" s="5">
        <v>710000000</v>
      </c>
      <c r="K3523" s="3" t="s">
        <v>89</v>
      </c>
      <c r="L3523" s="3" t="s">
        <v>1741</v>
      </c>
      <c r="M3523" s="6" t="s">
        <v>682</v>
      </c>
      <c r="N3523" s="3" t="s">
        <v>92</v>
      </c>
      <c r="O3523" s="3" t="s">
        <v>93</v>
      </c>
      <c r="P3523" s="3" t="s">
        <v>673</v>
      </c>
      <c r="Q3523" s="3">
        <v>796</v>
      </c>
      <c r="R3523" s="3" t="s">
        <v>118</v>
      </c>
      <c r="S3523" s="75">
        <v>208</v>
      </c>
      <c r="T3523" s="75">
        <v>625</v>
      </c>
      <c r="U3523" s="9">
        <f t="shared" si="2487"/>
        <v>130000</v>
      </c>
      <c r="V3523" s="9">
        <f t="shared" si="2488"/>
        <v>145600</v>
      </c>
      <c r="W3523" s="100"/>
      <c r="X3523" s="47">
        <v>2016</v>
      </c>
      <c r="Y3523" s="96"/>
    </row>
    <row r="3524" spans="2:25" ht="89.25" customHeight="1" outlineLevel="1" x14ac:dyDescent="0.25">
      <c r="B3524" s="3" t="s">
        <v>9552</v>
      </c>
      <c r="C3524" s="3" t="s">
        <v>83</v>
      </c>
      <c r="D3524" s="3" t="s">
        <v>2485</v>
      </c>
      <c r="E3524" s="3" t="s">
        <v>9512</v>
      </c>
      <c r="F3524" s="3" t="s">
        <v>2486</v>
      </c>
      <c r="G3524" s="3" t="s">
        <v>9557</v>
      </c>
      <c r="H3524" s="3" t="s">
        <v>88</v>
      </c>
      <c r="I3524" s="4">
        <v>0</v>
      </c>
      <c r="J3524" s="5">
        <v>710000000</v>
      </c>
      <c r="K3524" s="3" t="s">
        <v>89</v>
      </c>
      <c r="L3524" s="3" t="s">
        <v>1741</v>
      </c>
      <c r="M3524" s="6" t="s">
        <v>682</v>
      </c>
      <c r="N3524" s="3" t="s">
        <v>92</v>
      </c>
      <c r="O3524" s="3" t="s">
        <v>93</v>
      </c>
      <c r="P3524" s="3" t="s">
        <v>673</v>
      </c>
      <c r="Q3524" s="3">
        <v>796</v>
      </c>
      <c r="R3524" s="3" t="s">
        <v>118</v>
      </c>
      <c r="S3524" s="75">
        <v>520</v>
      </c>
      <c r="T3524" s="75">
        <v>179</v>
      </c>
      <c r="U3524" s="9">
        <f t="shared" si="2487"/>
        <v>93080</v>
      </c>
      <c r="V3524" s="9">
        <f t="shared" si="2488"/>
        <v>104249.60000000001</v>
      </c>
      <c r="W3524" s="100"/>
      <c r="X3524" s="47">
        <v>2016</v>
      </c>
      <c r="Y3524" s="96"/>
    </row>
    <row r="3525" spans="2:25" ht="89.25" customHeight="1" outlineLevel="1" x14ac:dyDescent="0.25">
      <c r="B3525" s="2" t="s">
        <v>9553</v>
      </c>
      <c r="C3525" s="3" t="s">
        <v>83</v>
      </c>
      <c r="D3525" s="3" t="s">
        <v>2476</v>
      </c>
      <c r="E3525" s="3" t="s">
        <v>2473</v>
      </c>
      <c r="F3525" s="3" t="s">
        <v>2477</v>
      </c>
      <c r="G3525" s="3" t="s">
        <v>2478</v>
      </c>
      <c r="H3525" s="3" t="s">
        <v>88</v>
      </c>
      <c r="I3525" s="4">
        <v>0</v>
      </c>
      <c r="J3525" s="5">
        <v>710000000</v>
      </c>
      <c r="K3525" s="3" t="s">
        <v>89</v>
      </c>
      <c r="L3525" s="3" t="s">
        <v>1741</v>
      </c>
      <c r="M3525" s="6" t="s">
        <v>682</v>
      </c>
      <c r="N3525" s="3" t="s">
        <v>92</v>
      </c>
      <c r="O3525" s="3" t="s">
        <v>93</v>
      </c>
      <c r="P3525" s="3" t="s">
        <v>673</v>
      </c>
      <c r="Q3525" s="3">
        <v>796</v>
      </c>
      <c r="R3525" s="3" t="s">
        <v>118</v>
      </c>
      <c r="S3525" s="75">
        <v>416</v>
      </c>
      <c r="T3525" s="75">
        <v>357</v>
      </c>
      <c r="U3525" s="9">
        <f t="shared" si="2487"/>
        <v>148512</v>
      </c>
      <c r="V3525" s="9">
        <f t="shared" si="2488"/>
        <v>166333.44</v>
      </c>
      <c r="W3525" s="100"/>
      <c r="X3525" s="47">
        <v>2016</v>
      </c>
      <c r="Y3525" s="96"/>
    </row>
    <row r="3526" spans="2:25" ht="89.25" customHeight="1" outlineLevel="1" x14ac:dyDescent="0.25">
      <c r="B3526" s="3" t="s">
        <v>9558</v>
      </c>
      <c r="C3526" s="3" t="s">
        <v>83</v>
      </c>
      <c r="D3526" s="3" t="s">
        <v>2472</v>
      </c>
      <c r="E3526" s="3" t="s">
        <v>2473</v>
      </c>
      <c r="F3526" s="3" t="s">
        <v>2474</v>
      </c>
      <c r="G3526" s="3" t="s">
        <v>2475</v>
      </c>
      <c r="H3526" s="3" t="s">
        <v>88</v>
      </c>
      <c r="I3526" s="4">
        <v>0</v>
      </c>
      <c r="J3526" s="5">
        <v>710000000</v>
      </c>
      <c r="K3526" s="3" t="s">
        <v>89</v>
      </c>
      <c r="L3526" s="3" t="s">
        <v>1741</v>
      </c>
      <c r="M3526" s="6" t="s">
        <v>682</v>
      </c>
      <c r="N3526" s="3" t="s">
        <v>92</v>
      </c>
      <c r="O3526" s="3" t="s">
        <v>93</v>
      </c>
      <c r="P3526" s="3" t="s">
        <v>673</v>
      </c>
      <c r="Q3526" s="3">
        <v>796</v>
      </c>
      <c r="R3526" s="3" t="s">
        <v>118</v>
      </c>
      <c r="S3526" s="75">
        <v>520</v>
      </c>
      <c r="T3526" s="75">
        <v>402</v>
      </c>
      <c r="U3526" s="9">
        <f t="shared" si="2487"/>
        <v>209040</v>
      </c>
      <c r="V3526" s="9">
        <f t="shared" si="2488"/>
        <v>234124.80000000002</v>
      </c>
      <c r="W3526" s="100"/>
      <c r="X3526" s="47">
        <v>2016</v>
      </c>
      <c r="Y3526" s="96"/>
    </row>
    <row r="3527" spans="2:25" ht="89.25" customHeight="1" outlineLevel="1" x14ac:dyDescent="0.25">
      <c r="B3527" s="2" t="s">
        <v>9559</v>
      </c>
      <c r="C3527" s="3" t="s">
        <v>83</v>
      </c>
      <c r="D3527" s="3" t="s">
        <v>9570</v>
      </c>
      <c r="E3527" s="3" t="s">
        <v>4098</v>
      </c>
      <c r="F3527" s="3" t="s">
        <v>9571</v>
      </c>
      <c r="G3527" s="19" t="s">
        <v>9572</v>
      </c>
      <c r="H3527" s="3" t="s">
        <v>765</v>
      </c>
      <c r="I3527" s="4">
        <v>0</v>
      </c>
      <c r="J3527" s="5">
        <v>710000000</v>
      </c>
      <c r="K3527" s="3" t="s">
        <v>89</v>
      </c>
      <c r="L3527" s="3" t="s">
        <v>1741</v>
      </c>
      <c r="M3527" s="6" t="s">
        <v>1481</v>
      </c>
      <c r="N3527" s="3" t="s">
        <v>92</v>
      </c>
      <c r="O3527" s="3" t="s">
        <v>93</v>
      </c>
      <c r="P3527" s="3" t="s">
        <v>673</v>
      </c>
      <c r="Q3527" s="3">
        <v>796</v>
      </c>
      <c r="R3527" s="3" t="s">
        <v>118</v>
      </c>
      <c r="S3527" s="75">
        <v>85</v>
      </c>
      <c r="T3527" s="75">
        <v>12875.86</v>
      </c>
      <c r="U3527" s="9">
        <f>S3527*T3527</f>
        <v>1094448.1000000001</v>
      </c>
      <c r="V3527" s="9">
        <f t="shared" si="2488"/>
        <v>1225781.8720000002</v>
      </c>
      <c r="W3527" s="100"/>
      <c r="X3527" s="47">
        <v>2016</v>
      </c>
      <c r="Y3527" s="96"/>
    </row>
    <row r="3528" spans="2:25" ht="89.25" customHeight="1" outlineLevel="1" x14ac:dyDescent="0.25">
      <c r="B3528" s="3" t="s">
        <v>9560</v>
      </c>
      <c r="C3528" s="3" t="s">
        <v>83</v>
      </c>
      <c r="D3528" s="3" t="s">
        <v>4104</v>
      </c>
      <c r="E3528" s="3" t="s">
        <v>4101</v>
      </c>
      <c r="F3528" s="3" t="s">
        <v>4105</v>
      </c>
      <c r="G3528" s="3" t="s">
        <v>9577</v>
      </c>
      <c r="H3528" s="3" t="s">
        <v>765</v>
      </c>
      <c r="I3528" s="4">
        <v>0</v>
      </c>
      <c r="J3528" s="5">
        <v>710000000</v>
      </c>
      <c r="K3528" s="3" t="s">
        <v>89</v>
      </c>
      <c r="L3528" s="3" t="s">
        <v>1741</v>
      </c>
      <c r="M3528" s="6" t="s">
        <v>1481</v>
      </c>
      <c r="N3528" s="3" t="s">
        <v>92</v>
      </c>
      <c r="O3528" s="3" t="s">
        <v>93</v>
      </c>
      <c r="P3528" s="3" t="s">
        <v>673</v>
      </c>
      <c r="Q3528" s="3">
        <v>796</v>
      </c>
      <c r="R3528" s="3" t="s">
        <v>118</v>
      </c>
      <c r="S3528" s="75">
        <v>40</v>
      </c>
      <c r="T3528" s="75">
        <v>6189.8</v>
      </c>
      <c r="U3528" s="9">
        <f t="shared" ref="U3528:U3530" si="2495">S3528*T3528</f>
        <v>247592</v>
      </c>
      <c r="V3528" s="9">
        <f t="shared" si="2488"/>
        <v>277303.04000000004</v>
      </c>
      <c r="W3528" s="100"/>
      <c r="X3528" s="47">
        <v>2016</v>
      </c>
      <c r="Y3528" s="96"/>
    </row>
    <row r="3529" spans="2:25" ht="89.25" customHeight="1" outlineLevel="1" x14ac:dyDescent="0.25">
      <c r="B3529" s="2" t="s">
        <v>9561</v>
      </c>
      <c r="C3529" s="3" t="s">
        <v>83</v>
      </c>
      <c r="D3529" s="3" t="s">
        <v>9573</v>
      </c>
      <c r="E3529" s="3" t="s">
        <v>9574</v>
      </c>
      <c r="F3529" s="3" t="s">
        <v>9575</v>
      </c>
      <c r="G3529" s="3" t="s">
        <v>9576</v>
      </c>
      <c r="H3529" s="3" t="s">
        <v>765</v>
      </c>
      <c r="I3529" s="4">
        <v>0</v>
      </c>
      <c r="J3529" s="5">
        <v>710000000</v>
      </c>
      <c r="K3529" s="3" t="s">
        <v>89</v>
      </c>
      <c r="L3529" s="3" t="s">
        <v>1741</v>
      </c>
      <c r="M3529" s="6" t="s">
        <v>1481</v>
      </c>
      <c r="N3529" s="3" t="s">
        <v>92</v>
      </c>
      <c r="O3529" s="3" t="s">
        <v>93</v>
      </c>
      <c r="P3529" s="3" t="s">
        <v>673</v>
      </c>
      <c r="Q3529" s="3">
        <v>796</v>
      </c>
      <c r="R3529" s="3" t="s">
        <v>118</v>
      </c>
      <c r="S3529" s="75">
        <v>40</v>
      </c>
      <c r="T3529" s="75">
        <v>25782.999999999993</v>
      </c>
      <c r="U3529" s="9">
        <f t="shared" si="2495"/>
        <v>1031319.9999999998</v>
      </c>
      <c r="V3529" s="9">
        <f t="shared" si="2488"/>
        <v>1155078.3999999999</v>
      </c>
      <c r="W3529" s="100"/>
      <c r="X3529" s="47">
        <v>2016</v>
      </c>
      <c r="Y3529" s="96"/>
    </row>
    <row r="3530" spans="2:25" ht="89.25" customHeight="1" outlineLevel="1" x14ac:dyDescent="0.25">
      <c r="B3530" s="3" t="s">
        <v>9562</v>
      </c>
      <c r="C3530" s="3" t="s">
        <v>83</v>
      </c>
      <c r="D3530" s="3" t="s">
        <v>4104</v>
      </c>
      <c r="E3530" s="3" t="s">
        <v>4101</v>
      </c>
      <c r="F3530" s="3" t="s">
        <v>4105</v>
      </c>
      <c r="G3530" s="3" t="s">
        <v>9578</v>
      </c>
      <c r="H3530" s="3" t="s">
        <v>765</v>
      </c>
      <c r="I3530" s="4">
        <v>0</v>
      </c>
      <c r="J3530" s="5">
        <v>710000000</v>
      </c>
      <c r="K3530" s="3" t="s">
        <v>89</v>
      </c>
      <c r="L3530" s="3" t="s">
        <v>1741</v>
      </c>
      <c r="M3530" s="6" t="s">
        <v>1481</v>
      </c>
      <c r="N3530" s="3" t="s">
        <v>92</v>
      </c>
      <c r="O3530" s="3" t="s">
        <v>93</v>
      </c>
      <c r="P3530" s="3" t="s">
        <v>673</v>
      </c>
      <c r="Q3530" s="3">
        <v>796</v>
      </c>
      <c r="R3530" s="3" t="s">
        <v>118</v>
      </c>
      <c r="S3530" s="75">
        <v>40</v>
      </c>
      <c r="T3530" s="75">
        <v>13575.35</v>
      </c>
      <c r="U3530" s="9">
        <f t="shared" si="2495"/>
        <v>543014</v>
      </c>
      <c r="V3530" s="9">
        <f t="shared" si="2488"/>
        <v>608175.68000000005</v>
      </c>
      <c r="W3530" s="100"/>
      <c r="X3530" s="47">
        <v>2016</v>
      </c>
      <c r="Y3530" s="96"/>
    </row>
    <row r="3531" spans="2:25" ht="89.25" customHeight="1" outlineLevel="1" x14ac:dyDescent="0.25">
      <c r="B3531" s="2" t="s">
        <v>9563</v>
      </c>
      <c r="C3531" s="3" t="s">
        <v>83</v>
      </c>
      <c r="D3531" s="3" t="s">
        <v>9069</v>
      </c>
      <c r="E3531" s="3" t="s">
        <v>9070</v>
      </c>
      <c r="F3531" s="3" t="s">
        <v>9071</v>
      </c>
      <c r="G3531" s="3" t="s">
        <v>9590</v>
      </c>
      <c r="H3531" s="3" t="s">
        <v>694</v>
      </c>
      <c r="I3531" s="4">
        <v>0</v>
      </c>
      <c r="J3531" s="5">
        <v>710000000</v>
      </c>
      <c r="K3531" s="3" t="s">
        <v>89</v>
      </c>
      <c r="L3531" s="3" t="s">
        <v>1741</v>
      </c>
      <c r="M3531" s="6" t="s">
        <v>1481</v>
      </c>
      <c r="N3531" s="3" t="s">
        <v>92</v>
      </c>
      <c r="O3531" s="3" t="s">
        <v>93</v>
      </c>
      <c r="P3531" s="3" t="s">
        <v>673</v>
      </c>
      <c r="Q3531" s="3">
        <v>796</v>
      </c>
      <c r="R3531" s="3" t="s">
        <v>118</v>
      </c>
      <c r="S3531" s="75">
        <v>40</v>
      </c>
      <c r="T3531" s="75">
        <v>14625</v>
      </c>
      <c r="U3531" s="9">
        <f>S3531*T3531</f>
        <v>585000</v>
      </c>
      <c r="V3531" s="9">
        <f>U3531*1.12</f>
        <v>655200.00000000012</v>
      </c>
      <c r="W3531" s="100"/>
      <c r="X3531" s="47">
        <v>2016</v>
      </c>
      <c r="Y3531" s="96"/>
    </row>
    <row r="3532" spans="2:25" ht="178.5" customHeight="1" outlineLevel="1" x14ac:dyDescent="0.25">
      <c r="B3532" s="3" t="s">
        <v>9564</v>
      </c>
      <c r="C3532" s="3" t="s">
        <v>83</v>
      </c>
      <c r="D3532" s="3" t="s">
        <v>9591</v>
      </c>
      <c r="E3532" s="3" t="s">
        <v>9592</v>
      </c>
      <c r="F3532" s="3" t="s">
        <v>9593</v>
      </c>
      <c r="G3532" s="3" t="s">
        <v>9594</v>
      </c>
      <c r="H3532" s="3" t="s">
        <v>694</v>
      </c>
      <c r="I3532" s="4">
        <v>0</v>
      </c>
      <c r="J3532" s="5">
        <v>710000000</v>
      </c>
      <c r="K3532" s="3" t="s">
        <v>89</v>
      </c>
      <c r="L3532" s="3" t="s">
        <v>1741</v>
      </c>
      <c r="M3532" s="6" t="s">
        <v>1481</v>
      </c>
      <c r="N3532" s="3" t="s">
        <v>92</v>
      </c>
      <c r="O3532" s="3" t="s">
        <v>93</v>
      </c>
      <c r="P3532" s="3" t="s">
        <v>673</v>
      </c>
      <c r="Q3532" s="3">
        <v>796</v>
      </c>
      <c r="R3532" s="3" t="s">
        <v>118</v>
      </c>
      <c r="S3532" s="75">
        <v>50</v>
      </c>
      <c r="T3532" s="75">
        <f>7969/1.12</f>
        <v>7115.1785714285706</v>
      </c>
      <c r="U3532" s="9">
        <f>S3532*T3532</f>
        <v>355758.92857142852</v>
      </c>
      <c r="V3532" s="9">
        <f>U3532*1.12</f>
        <v>398450</v>
      </c>
      <c r="W3532" s="100"/>
      <c r="X3532" s="47">
        <v>2016</v>
      </c>
      <c r="Y3532" s="96"/>
    </row>
    <row r="3533" spans="2:25" ht="409.5" customHeight="1" outlineLevel="1" x14ac:dyDescent="0.25">
      <c r="B3533" s="2" t="s">
        <v>9565</v>
      </c>
      <c r="C3533" s="3" t="s">
        <v>83</v>
      </c>
      <c r="D3533" s="3" t="s">
        <v>8475</v>
      </c>
      <c r="E3533" s="3" t="s">
        <v>4705</v>
      </c>
      <c r="F3533" s="3" t="s">
        <v>8476</v>
      </c>
      <c r="G3533" s="3" t="s">
        <v>9595</v>
      </c>
      <c r="H3533" s="3" t="s">
        <v>694</v>
      </c>
      <c r="I3533" s="4">
        <v>0</v>
      </c>
      <c r="J3533" s="5">
        <v>710000000</v>
      </c>
      <c r="K3533" s="3" t="s">
        <v>89</v>
      </c>
      <c r="L3533" s="3" t="s">
        <v>1741</v>
      </c>
      <c r="M3533" s="6" t="s">
        <v>1481</v>
      </c>
      <c r="N3533" s="3" t="s">
        <v>92</v>
      </c>
      <c r="O3533" s="3" t="s">
        <v>93</v>
      </c>
      <c r="P3533" s="3" t="s">
        <v>673</v>
      </c>
      <c r="Q3533" s="3">
        <v>796</v>
      </c>
      <c r="R3533" s="3" t="s">
        <v>118</v>
      </c>
      <c r="S3533" s="75">
        <v>20</v>
      </c>
      <c r="T3533" s="75">
        <f>19500/1.12</f>
        <v>17410.714285714283</v>
      </c>
      <c r="U3533" s="9">
        <f>S3533*T3533</f>
        <v>348214.28571428568</v>
      </c>
      <c r="V3533" s="9">
        <f>U3533*1.12</f>
        <v>390000</v>
      </c>
      <c r="W3533" s="100"/>
      <c r="X3533" s="47">
        <v>2016</v>
      </c>
      <c r="Y3533" s="96"/>
    </row>
    <row r="3534" spans="2:25" ht="293.25" customHeight="1" outlineLevel="1" x14ac:dyDescent="0.25">
      <c r="B3534" s="3" t="s">
        <v>9566</v>
      </c>
      <c r="C3534" s="19" t="s">
        <v>83</v>
      </c>
      <c r="D3534" s="19" t="s">
        <v>9596</v>
      </c>
      <c r="E3534" s="19" t="s">
        <v>9597</v>
      </c>
      <c r="F3534" s="19" t="s">
        <v>9598</v>
      </c>
      <c r="G3534" s="19" t="s">
        <v>9632</v>
      </c>
      <c r="H3534" s="3" t="s">
        <v>694</v>
      </c>
      <c r="I3534" s="4">
        <v>0</v>
      </c>
      <c r="J3534" s="5">
        <v>710000000</v>
      </c>
      <c r="K3534" s="3" t="s">
        <v>89</v>
      </c>
      <c r="L3534" s="3" t="s">
        <v>1741</v>
      </c>
      <c r="M3534" s="6" t="s">
        <v>1481</v>
      </c>
      <c r="N3534" s="3" t="s">
        <v>92</v>
      </c>
      <c r="O3534" s="3" t="s">
        <v>93</v>
      </c>
      <c r="P3534" s="3" t="s">
        <v>673</v>
      </c>
      <c r="Q3534" s="3">
        <v>796</v>
      </c>
      <c r="R3534" s="3" t="s">
        <v>118</v>
      </c>
      <c r="S3534" s="75">
        <v>20</v>
      </c>
      <c r="T3534" s="75">
        <f>24846/1.12</f>
        <v>22183.928571428569</v>
      </c>
      <c r="U3534" s="9">
        <f>S3534*T3534</f>
        <v>443678.57142857136</v>
      </c>
      <c r="V3534" s="9">
        <f>U3534*1.12</f>
        <v>496920</v>
      </c>
      <c r="W3534" s="100"/>
      <c r="X3534" s="47">
        <v>2016</v>
      </c>
      <c r="Y3534" s="96"/>
    </row>
    <row r="3535" spans="2:25" ht="255" customHeight="1" outlineLevel="1" x14ac:dyDescent="0.25">
      <c r="B3535" s="2" t="s">
        <v>9567</v>
      </c>
      <c r="C3535" s="3" t="s">
        <v>83</v>
      </c>
      <c r="D3535" s="3" t="s">
        <v>9599</v>
      </c>
      <c r="E3535" s="3" t="s">
        <v>2300</v>
      </c>
      <c r="F3535" s="3" t="s">
        <v>9600</v>
      </c>
      <c r="G3535" s="3" t="s">
        <v>9601</v>
      </c>
      <c r="H3535" s="3" t="s">
        <v>694</v>
      </c>
      <c r="I3535" s="4">
        <v>0</v>
      </c>
      <c r="J3535" s="5">
        <v>710000000</v>
      </c>
      <c r="K3535" s="3" t="s">
        <v>89</v>
      </c>
      <c r="L3535" s="3" t="s">
        <v>1741</v>
      </c>
      <c r="M3535" s="6" t="s">
        <v>1481</v>
      </c>
      <c r="N3535" s="3" t="s">
        <v>92</v>
      </c>
      <c r="O3535" s="3" t="s">
        <v>93</v>
      </c>
      <c r="P3535" s="3" t="s">
        <v>673</v>
      </c>
      <c r="Q3535" s="3">
        <v>796</v>
      </c>
      <c r="R3535" s="3" t="s">
        <v>118</v>
      </c>
      <c r="S3535" s="75">
        <v>20</v>
      </c>
      <c r="T3535" s="75">
        <f>9526/1.12</f>
        <v>8505.3571428571413</v>
      </c>
      <c r="U3535" s="9">
        <f t="shared" ref="U3535:U3537" si="2496">S3535*T3535</f>
        <v>170107.14285714284</v>
      </c>
      <c r="V3535" s="9">
        <f t="shared" ref="V3535:V3537" si="2497">U3535*1.12</f>
        <v>190520</v>
      </c>
      <c r="W3535" s="100"/>
      <c r="X3535" s="47">
        <v>2016</v>
      </c>
      <c r="Y3535" s="96"/>
    </row>
    <row r="3536" spans="2:25" ht="89.25" customHeight="1" outlineLevel="1" x14ac:dyDescent="0.25">
      <c r="B3536" s="3" t="s">
        <v>9604</v>
      </c>
      <c r="C3536" s="3" t="s">
        <v>83</v>
      </c>
      <c r="D3536" s="3" t="s">
        <v>9331</v>
      </c>
      <c r="E3536" s="3" t="s">
        <v>2888</v>
      </c>
      <c r="F3536" s="3" t="s">
        <v>9332</v>
      </c>
      <c r="G3536" s="3" t="s">
        <v>9606</v>
      </c>
      <c r="H3536" s="3" t="s">
        <v>765</v>
      </c>
      <c r="I3536" s="4">
        <v>0</v>
      </c>
      <c r="J3536" s="5">
        <v>710000000</v>
      </c>
      <c r="K3536" s="3" t="s">
        <v>89</v>
      </c>
      <c r="L3536" s="3" t="s">
        <v>1741</v>
      </c>
      <c r="M3536" s="6" t="s">
        <v>1481</v>
      </c>
      <c r="N3536" s="3" t="s">
        <v>92</v>
      </c>
      <c r="O3536" s="3" t="s">
        <v>93</v>
      </c>
      <c r="P3536" s="3" t="s">
        <v>673</v>
      </c>
      <c r="Q3536" s="3">
        <v>796</v>
      </c>
      <c r="R3536" s="3" t="s">
        <v>118</v>
      </c>
      <c r="S3536" s="75">
        <v>1</v>
      </c>
      <c r="T3536" s="75">
        <v>119999.99999999999</v>
      </c>
      <c r="U3536" s="9">
        <f t="shared" si="2496"/>
        <v>119999.99999999999</v>
      </c>
      <c r="V3536" s="9">
        <f t="shared" si="2497"/>
        <v>134400</v>
      </c>
      <c r="W3536" s="96"/>
      <c r="X3536" s="47">
        <v>2016</v>
      </c>
      <c r="Y3536" s="96"/>
    </row>
    <row r="3537" spans="1:31" ht="89.25" customHeight="1" outlineLevel="1" x14ac:dyDescent="0.25">
      <c r="B3537" s="2" t="s">
        <v>9605</v>
      </c>
      <c r="C3537" s="3" t="s">
        <v>83</v>
      </c>
      <c r="D3537" s="3" t="s">
        <v>9331</v>
      </c>
      <c r="E3537" s="3" t="s">
        <v>2888</v>
      </c>
      <c r="F3537" s="3" t="s">
        <v>9332</v>
      </c>
      <c r="G3537" s="3" t="s">
        <v>9607</v>
      </c>
      <c r="H3537" s="3" t="s">
        <v>765</v>
      </c>
      <c r="I3537" s="4">
        <v>0</v>
      </c>
      <c r="J3537" s="5">
        <v>710000000</v>
      </c>
      <c r="K3537" s="3" t="s">
        <v>89</v>
      </c>
      <c r="L3537" s="3" t="s">
        <v>1741</v>
      </c>
      <c r="M3537" s="6" t="s">
        <v>1481</v>
      </c>
      <c r="N3537" s="3" t="s">
        <v>92</v>
      </c>
      <c r="O3537" s="3" t="s">
        <v>93</v>
      </c>
      <c r="P3537" s="3" t="s">
        <v>673</v>
      </c>
      <c r="Q3537" s="3">
        <v>796</v>
      </c>
      <c r="R3537" s="3" t="s">
        <v>118</v>
      </c>
      <c r="S3537" s="75">
        <v>2</v>
      </c>
      <c r="T3537" s="75">
        <v>42999.999999999993</v>
      </c>
      <c r="U3537" s="9">
        <f t="shared" si="2496"/>
        <v>85999.999999999985</v>
      </c>
      <c r="V3537" s="9">
        <f t="shared" si="2497"/>
        <v>96320</v>
      </c>
      <c r="W3537" s="96"/>
      <c r="X3537" s="2">
        <v>2016</v>
      </c>
      <c r="Y3537" s="96"/>
    </row>
    <row r="3538" spans="1:31" s="23" customFormat="1" ht="89.25" customHeight="1" outlineLevel="1" x14ac:dyDescent="0.25">
      <c r="A3538" s="16"/>
      <c r="B3538" s="3" t="s">
        <v>9608</v>
      </c>
      <c r="C3538" s="3" t="s">
        <v>83</v>
      </c>
      <c r="D3538" s="3" t="s">
        <v>8795</v>
      </c>
      <c r="E3538" s="3" t="s">
        <v>3248</v>
      </c>
      <c r="F3538" s="3" t="s">
        <v>8796</v>
      </c>
      <c r="G3538" s="3" t="s">
        <v>8797</v>
      </c>
      <c r="H3538" s="3" t="s">
        <v>765</v>
      </c>
      <c r="I3538" s="4">
        <v>0</v>
      </c>
      <c r="J3538" s="5">
        <v>710000000</v>
      </c>
      <c r="K3538" s="3" t="s">
        <v>89</v>
      </c>
      <c r="L3538" s="3" t="s">
        <v>1741</v>
      </c>
      <c r="M3538" s="6" t="s">
        <v>1481</v>
      </c>
      <c r="N3538" s="3" t="s">
        <v>92</v>
      </c>
      <c r="O3538" s="3" t="s">
        <v>93</v>
      </c>
      <c r="P3538" s="3" t="s">
        <v>673</v>
      </c>
      <c r="Q3538" s="8" t="s">
        <v>3085</v>
      </c>
      <c r="R3538" s="7" t="s">
        <v>3086</v>
      </c>
      <c r="S3538" s="75">
        <v>1500</v>
      </c>
      <c r="T3538" s="9">
        <v>2410</v>
      </c>
      <c r="U3538" s="9">
        <v>0</v>
      </c>
      <c r="V3538" s="9">
        <f t="shared" ref="V3538:V3549" si="2498">U3538*1.12</f>
        <v>0</v>
      </c>
      <c r="W3538" s="69"/>
      <c r="X3538" s="2">
        <v>2016</v>
      </c>
      <c r="Y3538" s="2">
        <v>7</v>
      </c>
      <c r="Z3538" s="22"/>
      <c r="AA3538" s="22"/>
      <c r="AB3538" s="22"/>
      <c r="AC3538" s="22"/>
      <c r="AD3538" s="22"/>
      <c r="AE3538" s="22"/>
    </row>
    <row r="3539" spans="1:31" ht="89.25" customHeight="1" outlineLevel="1" x14ac:dyDescent="0.25">
      <c r="B3539" s="3" t="s">
        <v>9675</v>
      </c>
      <c r="C3539" s="3" t="s">
        <v>83</v>
      </c>
      <c r="D3539" s="3" t="s">
        <v>8795</v>
      </c>
      <c r="E3539" s="3" t="s">
        <v>3248</v>
      </c>
      <c r="F3539" s="3" t="s">
        <v>8796</v>
      </c>
      <c r="G3539" s="3" t="s">
        <v>8797</v>
      </c>
      <c r="H3539" s="3" t="s">
        <v>88</v>
      </c>
      <c r="I3539" s="4">
        <v>0</v>
      </c>
      <c r="J3539" s="5">
        <v>710000000</v>
      </c>
      <c r="K3539" s="3" t="s">
        <v>89</v>
      </c>
      <c r="L3539" s="3" t="s">
        <v>1741</v>
      </c>
      <c r="M3539" s="6" t="s">
        <v>1481</v>
      </c>
      <c r="N3539" s="3" t="s">
        <v>92</v>
      </c>
      <c r="O3539" s="3" t="s">
        <v>93</v>
      </c>
      <c r="P3539" s="3" t="s">
        <v>673</v>
      </c>
      <c r="Q3539" s="8" t="s">
        <v>3085</v>
      </c>
      <c r="R3539" s="7" t="s">
        <v>3086</v>
      </c>
      <c r="S3539" s="75">
        <v>1500</v>
      </c>
      <c r="T3539" s="9">
        <v>2410</v>
      </c>
      <c r="U3539" s="9">
        <f t="shared" ref="U3539" si="2499">S3539*T3539</f>
        <v>3615000</v>
      </c>
      <c r="V3539" s="9">
        <f t="shared" si="2498"/>
        <v>4048800.0000000005</v>
      </c>
      <c r="W3539" s="100"/>
      <c r="X3539" s="2">
        <v>2016</v>
      </c>
      <c r="Y3539" s="96"/>
    </row>
    <row r="3540" spans="1:31" ht="89.25" customHeight="1" outlineLevel="1" x14ac:dyDescent="0.25">
      <c r="B3540" s="74" t="s">
        <v>9610</v>
      </c>
      <c r="C3540" s="3" t="s">
        <v>83</v>
      </c>
      <c r="D3540" s="3" t="s">
        <v>3851</v>
      </c>
      <c r="E3540" s="3" t="s">
        <v>3852</v>
      </c>
      <c r="F3540" s="3" t="s">
        <v>3853</v>
      </c>
      <c r="G3540" s="3" t="s">
        <v>9609</v>
      </c>
      <c r="H3540" s="3" t="s">
        <v>88</v>
      </c>
      <c r="I3540" s="4">
        <v>0</v>
      </c>
      <c r="J3540" s="5">
        <v>710000000</v>
      </c>
      <c r="K3540" s="3" t="s">
        <v>89</v>
      </c>
      <c r="L3540" s="3" t="s">
        <v>1741</v>
      </c>
      <c r="M3540" s="3" t="s">
        <v>2682</v>
      </c>
      <c r="N3540" s="3" t="s">
        <v>92</v>
      </c>
      <c r="O3540" s="3" t="s">
        <v>93</v>
      </c>
      <c r="P3540" s="3" t="s">
        <v>673</v>
      </c>
      <c r="Q3540" s="3">
        <v>796</v>
      </c>
      <c r="R3540" s="3" t="s">
        <v>118</v>
      </c>
      <c r="S3540" s="9">
        <v>1</v>
      </c>
      <c r="T3540" s="9">
        <v>31786</v>
      </c>
      <c r="U3540" s="9">
        <f t="shared" ref="U3540:U3549" si="2500">S3540*T3540</f>
        <v>31786</v>
      </c>
      <c r="V3540" s="9">
        <f t="shared" si="2498"/>
        <v>35600.320000000007</v>
      </c>
      <c r="W3540" s="100"/>
      <c r="X3540" s="2">
        <v>2016</v>
      </c>
      <c r="Y3540" s="96"/>
    </row>
    <row r="3541" spans="1:31" ht="306" customHeight="1" outlineLevel="1" x14ac:dyDescent="0.25">
      <c r="B3541" s="3" t="s">
        <v>9613</v>
      </c>
      <c r="C3541" s="3" t="s">
        <v>83</v>
      </c>
      <c r="D3541" s="3" t="s">
        <v>9612</v>
      </c>
      <c r="E3541" s="3" t="s">
        <v>3892</v>
      </c>
      <c r="F3541" s="3" t="s">
        <v>9611</v>
      </c>
      <c r="G3541" s="3" t="s">
        <v>9631</v>
      </c>
      <c r="H3541" s="3" t="s">
        <v>88</v>
      </c>
      <c r="I3541" s="4">
        <v>0</v>
      </c>
      <c r="J3541" s="5">
        <v>710000000</v>
      </c>
      <c r="K3541" s="3" t="s">
        <v>89</v>
      </c>
      <c r="L3541" s="3" t="s">
        <v>1741</v>
      </c>
      <c r="M3541" s="3" t="s">
        <v>2682</v>
      </c>
      <c r="N3541" s="3" t="s">
        <v>92</v>
      </c>
      <c r="O3541" s="3" t="s">
        <v>93</v>
      </c>
      <c r="P3541" s="3" t="s">
        <v>673</v>
      </c>
      <c r="Q3541" s="3">
        <v>704</v>
      </c>
      <c r="R3541" s="9" t="s">
        <v>2605</v>
      </c>
      <c r="S3541" s="9">
        <v>2</v>
      </c>
      <c r="T3541" s="9">
        <v>35000</v>
      </c>
      <c r="U3541" s="9">
        <f t="shared" si="2500"/>
        <v>70000</v>
      </c>
      <c r="V3541" s="9">
        <f t="shared" si="2498"/>
        <v>78400.000000000015</v>
      </c>
      <c r="W3541" s="100"/>
      <c r="X3541" s="2">
        <v>2016</v>
      </c>
      <c r="Y3541" s="96"/>
    </row>
    <row r="3542" spans="1:31" s="11" customFormat="1" ht="89.25" customHeight="1" outlineLevel="1" x14ac:dyDescent="0.25">
      <c r="A3542" s="16"/>
      <c r="B3542" s="74" t="s">
        <v>9640</v>
      </c>
      <c r="C3542" s="3" t="s">
        <v>83</v>
      </c>
      <c r="D3542" s="3" t="s">
        <v>9381</v>
      </c>
      <c r="E3542" s="3" t="s">
        <v>3194</v>
      </c>
      <c r="F3542" s="3" t="s">
        <v>9382</v>
      </c>
      <c r="G3542" s="3" t="s">
        <v>9672</v>
      </c>
      <c r="H3542" s="2" t="s">
        <v>88</v>
      </c>
      <c r="I3542" s="4">
        <v>0</v>
      </c>
      <c r="J3542" s="5">
        <v>710000000</v>
      </c>
      <c r="K3542" s="5" t="s">
        <v>89</v>
      </c>
      <c r="L3542" s="5" t="s">
        <v>1741</v>
      </c>
      <c r="M3542" s="6" t="s">
        <v>1494</v>
      </c>
      <c r="N3542" s="7" t="s">
        <v>92</v>
      </c>
      <c r="O3542" s="7" t="s">
        <v>93</v>
      </c>
      <c r="P3542" s="3" t="s">
        <v>673</v>
      </c>
      <c r="Q3542" s="8" t="s">
        <v>3085</v>
      </c>
      <c r="R3542" s="7" t="s">
        <v>3086</v>
      </c>
      <c r="S3542" s="9">
        <v>100</v>
      </c>
      <c r="T3542" s="9">
        <v>8500</v>
      </c>
      <c r="U3542" s="9">
        <f t="shared" ref="U3542:U3543" si="2501">T3542*S3542</f>
        <v>850000</v>
      </c>
      <c r="V3542" s="9">
        <f t="shared" si="2498"/>
        <v>952000.00000000012</v>
      </c>
      <c r="W3542" s="7"/>
      <c r="X3542" s="2">
        <v>2016</v>
      </c>
      <c r="Y3542" s="2"/>
    </row>
    <row r="3543" spans="1:31" s="11" customFormat="1" ht="89.25" customHeight="1" outlineLevel="1" x14ac:dyDescent="0.25">
      <c r="A3543" s="16"/>
      <c r="B3543" s="3" t="s">
        <v>9651</v>
      </c>
      <c r="C3543" s="3" t="s">
        <v>83</v>
      </c>
      <c r="D3543" s="3" t="s">
        <v>3251</v>
      </c>
      <c r="E3543" s="3" t="s">
        <v>3248</v>
      </c>
      <c r="F3543" s="3" t="s">
        <v>3252</v>
      </c>
      <c r="G3543" s="3" t="s">
        <v>9674</v>
      </c>
      <c r="H3543" s="2" t="s">
        <v>88</v>
      </c>
      <c r="I3543" s="4">
        <v>0</v>
      </c>
      <c r="J3543" s="5">
        <v>710000000</v>
      </c>
      <c r="K3543" s="5" t="s">
        <v>89</v>
      </c>
      <c r="L3543" s="5" t="s">
        <v>1741</v>
      </c>
      <c r="M3543" s="6" t="s">
        <v>1494</v>
      </c>
      <c r="N3543" s="7" t="s">
        <v>92</v>
      </c>
      <c r="O3543" s="7" t="s">
        <v>93</v>
      </c>
      <c r="P3543" s="3" t="s">
        <v>673</v>
      </c>
      <c r="Q3543" s="8" t="s">
        <v>3085</v>
      </c>
      <c r="R3543" s="7" t="s">
        <v>3086</v>
      </c>
      <c r="S3543" s="9">
        <v>26</v>
      </c>
      <c r="T3543" s="9">
        <v>2270</v>
      </c>
      <c r="U3543" s="9">
        <f t="shared" si="2501"/>
        <v>59020</v>
      </c>
      <c r="V3543" s="9">
        <f t="shared" si="2498"/>
        <v>66102.400000000009</v>
      </c>
      <c r="W3543" s="7"/>
      <c r="X3543" s="2">
        <v>2016</v>
      </c>
      <c r="Y3543" s="2"/>
    </row>
    <row r="3544" spans="1:31" s="11" customFormat="1" ht="89.25" customHeight="1" outlineLevel="1" x14ac:dyDescent="0.25">
      <c r="A3544" s="16"/>
      <c r="B3544" s="74" t="s">
        <v>9654</v>
      </c>
      <c r="C3544" s="3" t="s">
        <v>83</v>
      </c>
      <c r="D3544" s="3" t="s">
        <v>9666</v>
      </c>
      <c r="E3544" s="3" t="s">
        <v>9667</v>
      </c>
      <c r="F3544" s="3" t="s">
        <v>9668</v>
      </c>
      <c r="G3544" s="3" t="s">
        <v>9673</v>
      </c>
      <c r="H3544" s="2" t="s">
        <v>88</v>
      </c>
      <c r="I3544" s="4">
        <v>0</v>
      </c>
      <c r="J3544" s="5">
        <v>710000000</v>
      </c>
      <c r="K3544" s="5" t="s">
        <v>89</v>
      </c>
      <c r="L3544" s="5" t="s">
        <v>1741</v>
      </c>
      <c r="M3544" s="6" t="s">
        <v>1494</v>
      </c>
      <c r="N3544" s="7" t="s">
        <v>92</v>
      </c>
      <c r="O3544" s="7" t="s">
        <v>93</v>
      </c>
      <c r="P3544" s="3" t="s">
        <v>673</v>
      </c>
      <c r="Q3544" s="8" t="s">
        <v>3085</v>
      </c>
      <c r="R3544" s="7" t="s">
        <v>3086</v>
      </c>
      <c r="S3544" s="9">
        <v>48</v>
      </c>
      <c r="T3544" s="9">
        <v>1475</v>
      </c>
      <c r="U3544" s="9">
        <f t="shared" ref="U3544" si="2502">T3544*S3544</f>
        <v>70800</v>
      </c>
      <c r="V3544" s="9">
        <f t="shared" si="2498"/>
        <v>79296.000000000015</v>
      </c>
      <c r="W3544" s="7"/>
      <c r="X3544" s="2">
        <v>2016</v>
      </c>
      <c r="Y3544" s="2"/>
    </row>
    <row r="3545" spans="1:31" ht="89.25" customHeight="1" outlineLevel="1" x14ac:dyDescent="0.25">
      <c r="B3545" s="3" t="s">
        <v>9655</v>
      </c>
      <c r="C3545" s="3" t="s">
        <v>83</v>
      </c>
      <c r="D3545" s="3" t="s">
        <v>9652</v>
      </c>
      <c r="E3545" s="3" t="s">
        <v>790</v>
      </c>
      <c r="F3545" s="3" t="s">
        <v>9653</v>
      </c>
      <c r="G3545" s="3" t="s">
        <v>9658</v>
      </c>
      <c r="H3545" s="3" t="s">
        <v>694</v>
      </c>
      <c r="I3545" s="4">
        <v>0</v>
      </c>
      <c r="J3545" s="5">
        <v>710000000</v>
      </c>
      <c r="K3545" s="3" t="s">
        <v>89</v>
      </c>
      <c r="L3545" s="3" t="s">
        <v>1741</v>
      </c>
      <c r="M3545" s="6" t="s">
        <v>1481</v>
      </c>
      <c r="N3545" s="3" t="s">
        <v>92</v>
      </c>
      <c r="O3545" s="3" t="s">
        <v>93</v>
      </c>
      <c r="P3545" s="3" t="s">
        <v>673</v>
      </c>
      <c r="Q3545" s="3">
        <v>796</v>
      </c>
      <c r="R3545" s="3" t="s">
        <v>118</v>
      </c>
      <c r="S3545" s="75">
        <v>3</v>
      </c>
      <c r="T3545" s="9">
        <v>80178.570000000007</v>
      </c>
      <c r="U3545" s="9">
        <f t="shared" si="2500"/>
        <v>240535.71000000002</v>
      </c>
      <c r="V3545" s="9">
        <f t="shared" si="2498"/>
        <v>269399.99520000006</v>
      </c>
      <c r="W3545" s="100"/>
      <c r="X3545" s="2">
        <v>2016</v>
      </c>
      <c r="Y3545" s="96"/>
    </row>
    <row r="3546" spans="1:31" ht="89.25" customHeight="1" outlineLevel="1" x14ac:dyDescent="0.25">
      <c r="B3546" s="74" t="s">
        <v>9656</v>
      </c>
      <c r="C3546" s="3" t="s">
        <v>83</v>
      </c>
      <c r="D3546" s="3" t="s">
        <v>9661</v>
      </c>
      <c r="E3546" s="3" t="s">
        <v>121</v>
      </c>
      <c r="F3546" s="3" t="s">
        <v>9662</v>
      </c>
      <c r="G3546" s="3" t="s">
        <v>9665</v>
      </c>
      <c r="H3546" s="3" t="s">
        <v>694</v>
      </c>
      <c r="I3546" s="4">
        <v>0</v>
      </c>
      <c r="J3546" s="5">
        <v>710000000</v>
      </c>
      <c r="K3546" s="3" t="s">
        <v>89</v>
      </c>
      <c r="L3546" s="3" t="s">
        <v>1741</v>
      </c>
      <c r="M3546" s="6" t="s">
        <v>1481</v>
      </c>
      <c r="N3546" s="3" t="s">
        <v>92</v>
      </c>
      <c r="O3546" s="3" t="s">
        <v>93</v>
      </c>
      <c r="P3546" s="3" t="s">
        <v>673</v>
      </c>
      <c r="Q3546" s="3">
        <v>112</v>
      </c>
      <c r="R3546" s="3" t="s">
        <v>96</v>
      </c>
      <c r="S3546" s="75">
        <v>40</v>
      </c>
      <c r="T3546" s="9">
        <v>13035.7142</v>
      </c>
      <c r="U3546" s="9">
        <f t="shared" si="2500"/>
        <v>521428.56800000003</v>
      </c>
      <c r="V3546" s="9">
        <f t="shared" si="2498"/>
        <v>583999.9961600001</v>
      </c>
      <c r="W3546" s="100"/>
      <c r="X3546" s="2">
        <v>2016</v>
      </c>
      <c r="Y3546" s="96"/>
    </row>
    <row r="3547" spans="1:31" ht="89.25" customHeight="1" outlineLevel="1" x14ac:dyDescent="0.25">
      <c r="B3547" s="3" t="s">
        <v>9657</v>
      </c>
      <c r="C3547" s="3" t="s">
        <v>83</v>
      </c>
      <c r="D3547" s="3" t="s">
        <v>1331</v>
      </c>
      <c r="E3547" s="3" t="s">
        <v>1332</v>
      </c>
      <c r="F3547" s="3" t="s">
        <v>1333</v>
      </c>
      <c r="G3547" s="3" t="s">
        <v>9659</v>
      </c>
      <c r="H3547" s="3" t="s">
        <v>694</v>
      </c>
      <c r="I3547" s="4">
        <v>0</v>
      </c>
      <c r="J3547" s="5">
        <v>710000000</v>
      </c>
      <c r="K3547" s="3" t="s">
        <v>89</v>
      </c>
      <c r="L3547" s="3" t="s">
        <v>1741</v>
      </c>
      <c r="M3547" s="6" t="s">
        <v>1481</v>
      </c>
      <c r="N3547" s="3" t="s">
        <v>92</v>
      </c>
      <c r="O3547" s="3" t="s">
        <v>93</v>
      </c>
      <c r="P3547" s="3" t="s">
        <v>673</v>
      </c>
      <c r="Q3547" s="3">
        <v>796</v>
      </c>
      <c r="R3547" s="3" t="s">
        <v>118</v>
      </c>
      <c r="S3547" s="75">
        <v>5</v>
      </c>
      <c r="T3547" s="9">
        <v>77767.857999999993</v>
      </c>
      <c r="U3547" s="9">
        <f t="shared" si="2500"/>
        <v>388839.29</v>
      </c>
      <c r="V3547" s="9">
        <f t="shared" si="2498"/>
        <v>435500.0048</v>
      </c>
      <c r="W3547" s="100"/>
      <c r="X3547" s="2">
        <v>2016</v>
      </c>
      <c r="Y3547" s="96"/>
    </row>
    <row r="3548" spans="1:31" ht="89.25" customHeight="1" outlineLevel="1" x14ac:dyDescent="0.25">
      <c r="B3548" s="74" t="s">
        <v>9669</v>
      </c>
      <c r="C3548" s="3" t="s">
        <v>83</v>
      </c>
      <c r="D3548" s="3" t="s">
        <v>9663</v>
      </c>
      <c r="E3548" s="3" t="s">
        <v>906</v>
      </c>
      <c r="F3548" s="3" t="s">
        <v>9664</v>
      </c>
      <c r="G3548" s="3" t="s">
        <v>9660</v>
      </c>
      <c r="H3548" s="3" t="s">
        <v>694</v>
      </c>
      <c r="I3548" s="4">
        <v>0</v>
      </c>
      <c r="J3548" s="5">
        <v>710000000</v>
      </c>
      <c r="K3548" s="3" t="s">
        <v>89</v>
      </c>
      <c r="L3548" s="3" t="s">
        <v>1741</v>
      </c>
      <c r="M3548" s="6" t="s">
        <v>1481</v>
      </c>
      <c r="N3548" s="3" t="s">
        <v>92</v>
      </c>
      <c r="O3548" s="3" t="s">
        <v>93</v>
      </c>
      <c r="P3548" s="3" t="s">
        <v>673</v>
      </c>
      <c r="Q3548" s="3">
        <v>796</v>
      </c>
      <c r="R3548" s="3" t="s">
        <v>118</v>
      </c>
      <c r="S3548" s="75">
        <v>1</v>
      </c>
      <c r="T3548" s="9">
        <v>210089.29</v>
      </c>
      <c r="U3548" s="9">
        <f t="shared" si="2500"/>
        <v>210089.29</v>
      </c>
      <c r="V3548" s="9">
        <f t="shared" si="2498"/>
        <v>235300.00480000002</v>
      </c>
      <c r="W3548" s="100"/>
      <c r="X3548" s="2">
        <v>2016</v>
      </c>
      <c r="Y3548" s="96"/>
    </row>
    <row r="3549" spans="1:31" ht="89.25" customHeight="1" outlineLevel="1" x14ac:dyDescent="0.25">
      <c r="B3549" s="3" t="s">
        <v>9670</v>
      </c>
      <c r="C3549" s="3" t="s">
        <v>83</v>
      </c>
      <c r="D3549" s="3" t="s">
        <v>4542</v>
      </c>
      <c r="E3549" s="3" t="s">
        <v>4543</v>
      </c>
      <c r="F3549" s="3" t="s">
        <v>4544</v>
      </c>
      <c r="G3549" s="3"/>
      <c r="H3549" s="3" t="s">
        <v>694</v>
      </c>
      <c r="I3549" s="4">
        <v>0</v>
      </c>
      <c r="J3549" s="5">
        <v>710000000</v>
      </c>
      <c r="K3549" s="3" t="s">
        <v>89</v>
      </c>
      <c r="L3549" s="3" t="s">
        <v>1741</v>
      </c>
      <c r="M3549" s="6" t="s">
        <v>1481</v>
      </c>
      <c r="N3549" s="3" t="s">
        <v>92</v>
      </c>
      <c r="O3549" s="3" t="s">
        <v>93</v>
      </c>
      <c r="P3549" s="3" t="s">
        <v>673</v>
      </c>
      <c r="Q3549" s="8" t="s">
        <v>522</v>
      </c>
      <c r="R3549" s="7" t="s">
        <v>523</v>
      </c>
      <c r="S3549" s="75">
        <v>9</v>
      </c>
      <c r="T3549" s="9">
        <v>25000</v>
      </c>
      <c r="U3549" s="9">
        <f t="shared" si="2500"/>
        <v>225000</v>
      </c>
      <c r="V3549" s="9">
        <f t="shared" si="2498"/>
        <v>252000.00000000003</v>
      </c>
      <c r="W3549" s="100"/>
      <c r="X3549" s="2">
        <v>2016</v>
      </c>
      <c r="Y3549" s="96"/>
    </row>
    <row r="3550" spans="1:31" ht="89.25" customHeight="1" outlineLevel="1" x14ac:dyDescent="0.25">
      <c r="B3550" s="74" t="s">
        <v>9671</v>
      </c>
      <c r="C3550" s="3" t="s">
        <v>83</v>
      </c>
      <c r="D3550" s="3" t="s">
        <v>9641</v>
      </c>
      <c r="E3550" s="3" t="s">
        <v>4705</v>
      </c>
      <c r="F3550" s="3" t="s">
        <v>9642</v>
      </c>
      <c r="G3550" s="3" t="s">
        <v>9643</v>
      </c>
      <c r="H3550" s="3" t="s">
        <v>694</v>
      </c>
      <c r="I3550" s="4">
        <v>0</v>
      </c>
      <c r="J3550" s="5">
        <v>710000000</v>
      </c>
      <c r="K3550" s="3" t="s">
        <v>89</v>
      </c>
      <c r="L3550" s="3" t="s">
        <v>1741</v>
      </c>
      <c r="M3550" s="6" t="s">
        <v>1481</v>
      </c>
      <c r="N3550" s="3" t="s">
        <v>92</v>
      </c>
      <c r="O3550" s="3" t="s">
        <v>93</v>
      </c>
      <c r="P3550" s="3" t="s">
        <v>673</v>
      </c>
      <c r="Q3550" s="3">
        <v>796</v>
      </c>
      <c r="R3550" s="3" t="s">
        <v>118</v>
      </c>
      <c r="S3550" s="75">
        <v>1</v>
      </c>
      <c r="T3550" s="9">
        <v>145946.43</v>
      </c>
      <c r="U3550" s="9">
        <f t="shared" ref="U3550" si="2503">S3550*T3550</f>
        <v>145946.43</v>
      </c>
      <c r="V3550" s="9">
        <f t="shared" ref="V3550:V3557" si="2504">U3550*1.12</f>
        <v>163460.00160000002</v>
      </c>
      <c r="W3550" s="100"/>
      <c r="X3550" s="2">
        <v>2016</v>
      </c>
      <c r="Y3550" s="96"/>
    </row>
    <row r="3551" spans="1:31" s="11" customFormat="1" ht="114.75" outlineLevel="1" x14ac:dyDescent="0.25">
      <c r="A3551" s="1"/>
      <c r="B3551" s="3" t="s">
        <v>9696</v>
      </c>
      <c r="C3551" s="3" t="s">
        <v>83</v>
      </c>
      <c r="D3551" s="19" t="s">
        <v>4793</v>
      </c>
      <c r="E3551" s="19" t="s">
        <v>2796</v>
      </c>
      <c r="F3551" s="19" t="s">
        <v>4794</v>
      </c>
      <c r="G3551" s="19" t="s">
        <v>9685</v>
      </c>
      <c r="H3551" s="2" t="s">
        <v>765</v>
      </c>
      <c r="I3551" s="4">
        <v>0</v>
      </c>
      <c r="J3551" s="5">
        <v>710000000</v>
      </c>
      <c r="K3551" s="5" t="s">
        <v>89</v>
      </c>
      <c r="L3551" s="2" t="s">
        <v>1723</v>
      </c>
      <c r="M3551" s="6" t="s">
        <v>1481</v>
      </c>
      <c r="N3551" s="7" t="s">
        <v>92</v>
      </c>
      <c r="O3551" s="7" t="s">
        <v>93</v>
      </c>
      <c r="P3551" s="3" t="s">
        <v>673</v>
      </c>
      <c r="Q3551" s="8">
        <v>796</v>
      </c>
      <c r="R3551" s="7" t="s">
        <v>118</v>
      </c>
      <c r="S3551" s="9">
        <v>200</v>
      </c>
      <c r="T3551" s="9">
        <v>5070.54</v>
      </c>
      <c r="U3551" s="9">
        <f t="shared" ref="U3551:U3556" si="2505">T3551*S3551</f>
        <v>1014108</v>
      </c>
      <c r="V3551" s="9">
        <f t="shared" ref="V3551:V3556" si="2506">U3551*1.12</f>
        <v>1135800.9600000002</v>
      </c>
      <c r="W3551" s="7"/>
      <c r="X3551" s="2">
        <v>2016</v>
      </c>
      <c r="Y3551" s="2"/>
    </row>
    <row r="3552" spans="1:31" s="11" customFormat="1" ht="89.25" outlineLevel="1" x14ac:dyDescent="0.25">
      <c r="A3552" s="1"/>
      <c r="B3552" s="74" t="s">
        <v>9748</v>
      </c>
      <c r="C3552" s="3" t="s">
        <v>83</v>
      </c>
      <c r="D3552" s="19" t="s">
        <v>9763</v>
      </c>
      <c r="E3552" s="19" t="s">
        <v>9764</v>
      </c>
      <c r="F3552" s="19" t="s">
        <v>9765</v>
      </c>
      <c r="G3552" s="19" t="s">
        <v>9788</v>
      </c>
      <c r="H3552" s="3" t="s">
        <v>694</v>
      </c>
      <c r="I3552" s="4">
        <v>0</v>
      </c>
      <c r="J3552" s="5">
        <v>710000000</v>
      </c>
      <c r="K3552" s="5" t="s">
        <v>89</v>
      </c>
      <c r="L3552" s="2" t="s">
        <v>1723</v>
      </c>
      <c r="M3552" s="6" t="s">
        <v>1481</v>
      </c>
      <c r="N3552" s="7" t="s">
        <v>92</v>
      </c>
      <c r="O3552" s="7" t="s">
        <v>93</v>
      </c>
      <c r="P3552" s="3" t="s">
        <v>673</v>
      </c>
      <c r="Q3552" s="8">
        <v>796</v>
      </c>
      <c r="R3552" s="7" t="s">
        <v>118</v>
      </c>
      <c r="S3552" s="9">
        <v>1</v>
      </c>
      <c r="T3552" s="9">
        <v>350892.86</v>
      </c>
      <c r="U3552" s="9">
        <f t="shared" si="2505"/>
        <v>350892.86</v>
      </c>
      <c r="V3552" s="9">
        <f t="shared" si="2506"/>
        <v>393000.00320000004</v>
      </c>
      <c r="W3552" s="7"/>
      <c r="X3552" s="2">
        <v>2016</v>
      </c>
      <c r="Y3552" s="2"/>
    </row>
    <row r="3553" spans="1:31" s="11" customFormat="1" ht="89.25" outlineLevel="1" x14ac:dyDescent="0.25">
      <c r="A3553" s="1"/>
      <c r="B3553" s="3" t="s">
        <v>9758</v>
      </c>
      <c r="C3553" s="3" t="s">
        <v>83</v>
      </c>
      <c r="D3553" s="19" t="s">
        <v>9786</v>
      </c>
      <c r="E3553" s="19" t="s">
        <v>906</v>
      </c>
      <c r="F3553" s="19" t="s">
        <v>9787</v>
      </c>
      <c r="G3553" s="19" t="s">
        <v>9789</v>
      </c>
      <c r="H3553" s="3" t="s">
        <v>694</v>
      </c>
      <c r="I3553" s="4">
        <v>0</v>
      </c>
      <c r="J3553" s="5">
        <v>710000000</v>
      </c>
      <c r="K3553" s="5" t="s">
        <v>89</v>
      </c>
      <c r="L3553" s="2" t="s">
        <v>1723</v>
      </c>
      <c r="M3553" s="6" t="s">
        <v>1481</v>
      </c>
      <c r="N3553" s="7" t="s">
        <v>92</v>
      </c>
      <c r="O3553" s="7" t="s">
        <v>93</v>
      </c>
      <c r="P3553" s="3" t="s">
        <v>673</v>
      </c>
      <c r="Q3553" s="8">
        <v>796</v>
      </c>
      <c r="R3553" s="7" t="s">
        <v>118</v>
      </c>
      <c r="S3553" s="9">
        <v>1</v>
      </c>
      <c r="T3553" s="9">
        <v>44642.86</v>
      </c>
      <c r="U3553" s="9">
        <f t="shared" ref="U3553" si="2507">T3553*S3553</f>
        <v>44642.86</v>
      </c>
      <c r="V3553" s="9">
        <f t="shared" ref="V3553" si="2508">U3553*1.12</f>
        <v>50000.003200000006</v>
      </c>
      <c r="W3553" s="7"/>
      <c r="X3553" s="2">
        <v>2016</v>
      </c>
      <c r="Y3553" s="2"/>
    </row>
    <row r="3554" spans="1:31" s="11" customFormat="1" ht="89.25" outlineLevel="1" x14ac:dyDescent="0.25">
      <c r="A3554" s="1"/>
      <c r="B3554" s="74" t="s">
        <v>9759</v>
      </c>
      <c r="C3554" s="3" t="s">
        <v>83</v>
      </c>
      <c r="D3554" s="19" t="s">
        <v>9761</v>
      </c>
      <c r="E3554" s="19" t="s">
        <v>9310</v>
      </c>
      <c r="F3554" s="19" t="s">
        <v>9762</v>
      </c>
      <c r="G3554" s="19" t="s">
        <v>9790</v>
      </c>
      <c r="H3554" s="3" t="s">
        <v>694</v>
      </c>
      <c r="I3554" s="4">
        <v>0</v>
      </c>
      <c r="J3554" s="5">
        <v>710000000</v>
      </c>
      <c r="K3554" s="5" t="s">
        <v>89</v>
      </c>
      <c r="L3554" s="2" t="s">
        <v>1723</v>
      </c>
      <c r="M3554" s="6" t="s">
        <v>1481</v>
      </c>
      <c r="N3554" s="7" t="s">
        <v>92</v>
      </c>
      <c r="O3554" s="7" t="s">
        <v>93</v>
      </c>
      <c r="P3554" s="3" t="s">
        <v>673</v>
      </c>
      <c r="Q3554" s="8">
        <v>796</v>
      </c>
      <c r="R3554" s="7" t="s">
        <v>118</v>
      </c>
      <c r="S3554" s="9">
        <v>1</v>
      </c>
      <c r="T3554" s="9">
        <v>16875</v>
      </c>
      <c r="U3554" s="9">
        <f t="shared" si="2505"/>
        <v>16875</v>
      </c>
      <c r="V3554" s="9">
        <f t="shared" si="2506"/>
        <v>18900</v>
      </c>
      <c r="W3554" s="7"/>
      <c r="X3554" s="2">
        <v>2016</v>
      </c>
      <c r="Y3554" s="2"/>
    </row>
    <row r="3555" spans="1:31" s="11" customFormat="1" ht="89.25" outlineLevel="1" x14ac:dyDescent="0.25">
      <c r="A3555" s="1"/>
      <c r="B3555" s="3" t="s">
        <v>9760</v>
      </c>
      <c r="C3555" s="3" t="s">
        <v>83</v>
      </c>
      <c r="D3555" s="19" t="s">
        <v>9749</v>
      </c>
      <c r="E3555" s="19" t="s">
        <v>9750</v>
      </c>
      <c r="F3555" s="19" t="s">
        <v>3729</v>
      </c>
      <c r="G3555" s="19" t="s">
        <v>9751</v>
      </c>
      <c r="H3555" s="3" t="s">
        <v>694</v>
      </c>
      <c r="I3555" s="4">
        <v>0</v>
      </c>
      <c r="J3555" s="5">
        <v>710000000</v>
      </c>
      <c r="K3555" s="5" t="s">
        <v>89</v>
      </c>
      <c r="L3555" s="2" t="s">
        <v>1723</v>
      </c>
      <c r="M3555" s="6" t="s">
        <v>1481</v>
      </c>
      <c r="N3555" s="7" t="s">
        <v>92</v>
      </c>
      <c r="O3555" s="7" t="s">
        <v>93</v>
      </c>
      <c r="P3555" s="3" t="s">
        <v>673</v>
      </c>
      <c r="Q3555" s="8">
        <v>796</v>
      </c>
      <c r="R3555" s="7" t="s">
        <v>118</v>
      </c>
      <c r="S3555" s="9">
        <v>5</v>
      </c>
      <c r="T3555" s="9">
        <v>170357.14199999999</v>
      </c>
      <c r="U3555" s="9">
        <f t="shared" si="2505"/>
        <v>851785.71</v>
      </c>
      <c r="V3555" s="9">
        <f t="shared" si="2506"/>
        <v>953999.9952</v>
      </c>
      <c r="W3555" s="7"/>
      <c r="X3555" s="2">
        <v>2016</v>
      </c>
      <c r="Y3555" s="2"/>
    </row>
    <row r="3556" spans="1:31" s="11" customFormat="1" ht="89.25" outlineLevel="1" x14ac:dyDescent="0.25">
      <c r="A3556" s="1"/>
      <c r="B3556" s="3" t="s">
        <v>9796</v>
      </c>
      <c r="C3556" s="3" t="s">
        <v>83</v>
      </c>
      <c r="D3556" s="19" t="s">
        <v>9798</v>
      </c>
      <c r="E3556" s="19" t="s">
        <v>2510</v>
      </c>
      <c r="F3556" s="19" t="s">
        <v>9799</v>
      </c>
      <c r="G3556" s="19" t="s">
        <v>9800</v>
      </c>
      <c r="H3556" s="3" t="s">
        <v>694</v>
      </c>
      <c r="I3556" s="4">
        <v>0</v>
      </c>
      <c r="J3556" s="5">
        <v>710000000</v>
      </c>
      <c r="K3556" s="5" t="s">
        <v>89</v>
      </c>
      <c r="L3556" s="2" t="s">
        <v>1723</v>
      </c>
      <c r="M3556" s="6" t="s">
        <v>1481</v>
      </c>
      <c r="N3556" s="7" t="s">
        <v>92</v>
      </c>
      <c r="O3556" s="7" t="s">
        <v>93</v>
      </c>
      <c r="P3556" s="3" t="s">
        <v>673</v>
      </c>
      <c r="Q3556" s="8">
        <v>796</v>
      </c>
      <c r="R3556" s="7" t="s">
        <v>118</v>
      </c>
      <c r="S3556" s="9">
        <v>200</v>
      </c>
      <c r="T3556" s="9">
        <v>100</v>
      </c>
      <c r="U3556" s="9">
        <f t="shared" si="2505"/>
        <v>20000</v>
      </c>
      <c r="V3556" s="9">
        <f t="shared" si="2506"/>
        <v>22400.000000000004</v>
      </c>
      <c r="W3556" s="7"/>
      <c r="X3556" s="2">
        <v>2016</v>
      </c>
      <c r="Y3556" s="2"/>
    </row>
    <row r="3557" spans="1:31" s="11" customFormat="1" ht="89.25" outlineLevel="1" x14ac:dyDescent="0.25">
      <c r="A3557" s="1"/>
      <c r="B3557" s="74" t="s">
        <v>9797</v>
      </c>
      <c r="C3557" s="3" t="s">
        <v>83</v>
      </c>
      <c r="D3557" s="19" t="s">
        <v>9798</v>
      </c>
      <c r="E3557" s="19" t="s">
        <v>2510</v>
      </c>
      <c r="F3557" s="19" t="s">
        <v>9799</v>
      </c>
      <c r="G3557" s="19" t="s">
        <v>9801</v>
      </c>
      <c r="H3557" s="3" t="s">
        <v>694</v>
      </c>
      <c r="I3557" s="4">
        <v>0</v>
      </c>
      <c r="J3557" s="5">
        <v>710000000</v>
      </c>
      <c r="K3557" s="5" t="s">
        <v>89</v>
      </c>
      <c r="L3557" s="2" t="s">
        <v>1723</v>
      </c>
      <c r="M3557" s="6" t="s">
        <v>1481</v>
      </c>
      <c r="N3557" s="7" t="s">
        <v>92</v>
      </c>
      <c r="O3557" s="7" t="s">
        <v>93</v>
      </c>
      <c r="P3557" s="3" t="s">
        <v>673</v>
      </c>
      <c r="Q3557" s="8">
        <v>796</v>
      </c>
      <c r="R3557" s="7" t="s">
        <v>118</v>
      </c>
      <c r="S3557" s="9">
        <v>200</v>
      </c>
      <c r="T3557" s="9">
        <v>100</v>
      </c>
      <c r="U3557" s="9">
        <f t="shared" ref="U3557" si="2509">T3557*S3557</f>
        <v>20000</v>
      </c>
      <c r="V3557" s="9">
        <f t="shared" si="2504"/>
        <v>22400.000000000004</v>
      </c>
      <c r="W3557" s="7"/>
      <c r="X3557" s="2">
        <v>2016</v>
      </c>
      <c r="Y3557" s="2"/>
    </row>
    <row r="3558" spans="1:31" s="11" customFormat="1" ht="12.75" customHeight="1" x14ac:dyDescent="0.25">
      <c r="A3558" s="1"/>
      <c r="B3558" s="101" t="s">
        <v>30</v>
      </c>
      <c r="C3558" s="102"/>
      <c r="D3558" s="103"/>
      <c r="E3558" s="95"/>
      <c r="F3558" s="95"/>
      <c r="G3558" s="95"/>
      <c r="H3558" s="95"/>
      <c r="I3558" s="95"/>
      <c r="J3558" s="3"/>
      <c r="K3558" s="95"/>
      <c r="L3558" s="5"/>
      <c r="M3558" s="95"/>
      <c r="N3558" s="95"/>
      <c r="O3558" s="95"/>
      <c r="P3558" s="95"/>
      <c r="Q3558" s="95"/>
      <c r="R3558" s="95"/>
      <c r="S3558" s="95"/>
      <c r="T3558" s="95"/>
      <c r="U3558" s="104">
        <f>SUM(U33:U3557)</f>
        <v>985351422.49580109</v>
      </c>
      <c r="V3558" s="104">
        <f>SUM(V33:V3557)</f>
        <v>1103593593.195296</v>
      </c>
      <c r="W3558" s="105"/>
      <c r="X3558" s="96"/>
      <c r="Y3558" s="96"/>
    </row>
    <row r="3559" spans="1:31" s="11" customFormat="1" ht="12.75" customHeight="1" x14ac:dyDescent="0.25">
      <c r="A3559" s="1"/>
      <c r="B3559" s="90" t="s">
        <v>31</v>
      </c>
      <c r="C3559" s="91"/>
      <c r="D3559" s="91"/>
      <c r="E3559" s="91"/>
      <c r="F3559" s="91"/>
      <c r="G3559" s="92"/>
      <c r="H3559" s="91"/>
      <c r="I3559" s="91"/>
      <c r="J3559" s="91"/>
      <c r="K3559" s="91"/>
      <c r="L3559" s="5"/>
      <c r="M3559" s="91"/>
      <c r="N3559" s="91"/>
      <c r="O3559" s="91"/>
      <c r="P3559" s="91"/>
      <c r="Q3559" s="91"/>
      <c r="R3559" s="91"/>
      <c r="S3559" s="91"/>
      <c r="T3559" s="91"/>
      <c r="U3559" s="91"/>
      <c r="V3559" s="93"/>
      <c r="W3559" s="93"/>
      <c r="X3559" s="94"/>
      <c r="Y3559" s="94"/>
    </row>
    <row r="3560" spans="1:31" ht="76.5" customHeight="1" outlineLevel="1" x14ac:dyDescent="0.25">
      <c r="A3560" s="12"/>
      <c r="B3560" s="2" t="s">
        <v>32</v>
      </c>
      <c r="C3560" s="5" t="s">
        <v>83</v>
      </c>
      <c r="D3560" s="5" t="s">
        <v>1451</v>
      </c>
      <c r="E3560" s="5" t="s">
        <v>1452</v>
      </c>
      <c r="F3560" s="5" t="s">
        <v>1453</v>
      </c>
      <c r="G3560" s="5" t="s">
        <v>1454</v>
      </c>
      <c r="H3560" s="5" t="s">
        <v>88</v>
      </c>
      <c r="I3560" s="4">
        <v>0.5</v>
      </c>
      <c r="J3560" s="13">
        <v>710000000</v>
      </c>
      <c r="K3560" s="5" t="s">
        <v>89</v>
      </c>
      <c r="L3560" s="5" t="s">
        <v>1455</v>
      </c>
      <c r="M3560" s="5" t="s">
        <v>730</v>
      </c>
      <c r="N3560" s="2"/>
      <c r="O3560" s="5" t="s">
        <v>697</v>
      </c>
      <c r="P3560" s="5" t="s">
        <v>1456</v>
      </c>
      <c r="Q3560" s="2"/>
      <c r="R3560" s="5"/>
      <c r="S3560" s="14"/>
      <c r="T3560" s="14"/>
      <c r="U3560" s="14">
        <v>9537000</v>
      </c>
      <c r="V3560" s="14">
        <f t="shared" ref="V3560:V3567" si="2510">U3560*1.12</f>
        <v>10681440.000000002</v>
      </c>
      <c r="W3560" s="2" t="s">
        <v>1521</v>
      </c>
      <c r="X3560" s="2">
        <v>2016</v>
      </c>
      <c r="Y3560" s="15"/>
      <c r="Z3560" s="81"/>
      <c r="AA3560" s="81"/>
      <c r="AB3560" s="81"/>
      <c r="AC3560" s="81"/>
      <c r="AD3560" s="81"/>
      <c r="AE3560" s="81"/>
    </row>
    <row r="3561" spans="1:31" s="23" customFormat="1" ht="76.5" customHeight="1" outlineLevel="1" x14ac:dyDescent="0.25">
      <c r="A3561" s="12"/>
      <c r="B3561" s="2" t="s">
        <v>33</v>
      </c>
      <c r="C3561" s="5" t="s">
        <v>83</v>
      </c>
      <c r="D3561" s="5" t="s">
        <v>1451</v>
      </c>
      <c r="E3561" s="5" t="s">
        <v>1452</v>
      </c>
      <c r="F3561" s="5" t="s">
        <v>1453</v>
      </c>
      <c r="G3561" s="5" t="s">
        <v>1457</v>
      </c>
      <c r="H3561" s="5" t="s">
        <v>88</v>
      </c>
      <c r="I3561" s="4">
        <v>0.5</v>
      </c>
      <c r="J3561" s="13">
        <v>710000000</v>
      </c>
      <c r="K3561" s="5" t="s">
        <v>89</v>
      </c>
      <c r="L3561" s="5" t="s">
        <v>1455</v>
      </c>
      <c r="M3561" s="5" t="s">
        <v>703</v>
      </c>
      <c r="N3561" s="2"/>
      <c r="O3561" s="5" t="s">
        <v>697</v>
      </c>
      <c r="P3561" s="5" t="s">
        <v>1456</v>
      </c>
      <c r="Q3561" s="2"/>
      <c r="R3561" s="5"/>
      <c r="S3561" s="14"/>
      <c r="T3561" s="14"/>
      <c r="U3561" s="14">
        <v>0</v>
      </c>
      <c r="V3561" s="14">
        <f t="shared" si="2510"/>
        <v>0</v>
      </c>
      <c r="W3561" s="2" t="s">
        <v>1521</v>
      </c>
      <c r="X3561" s="2">
        <v>2016</v>
      </c>
      <c r="Y3561" s="15" t="s">
        <v>7513</v>
      </c>
    </row>
    <row r="3562" spans="1:31" ht="76.5" customHeight="1" outlineLevel="1" x14ac:dyDescent="0.25">
      <c r="A3562" s="12"/>
      <c r="B3562" s="2" t="s">
        <v>9011</v>
      </c>
      <c r="C3562" s="5" t="s">
        <v>83</v>
      </c>
      <c r="D3562" s="5" t="s">
        <v>1451</v>
      </c>
      <c r="E3562" s="5" t="s">
        <v>1452</v>
      </c>
      <c r="F3562" s="5" t="s">
        <v>1453</v>
      </c>
      <c r="G3562" s="5" t="s">
        <v>1457</v>
      </c>
      <c r="H3562" s="5" t="s">
        <v>88</v>
      </c>
      <c r="I3562" s="4">
        <v>0.5</v>
      </c>
      <c r="J3562" s="13">
        <v>710000000</v>
      </c>
      <c r="K3562" s="5" t="s">
        <v>89</v>
      </c>
      <c r="L3562" s="5" t="s">
        <v>9012</v>
      </c>
      <c r="M3562" s="5" t="s">
        <v>703</v>
      </c>
      <c r="N3562" s="2"/>
      <c r="O3562" s="5" t="s">
        <v>697</v>
      </c>
      <c r="P3562" s="5" t="s">
        <v>1456</v>
      </c>
      <c r="Q3562" s="2"/>
      <c r="R3562" s="5"/>
      <c r="S3562" s="14"/>
      <c r="T3562" s="14"/>
      <c r="U3562" s="14">
        <f>32979000+1551000</f>
        <v>34530000</v>
      </c>
      <c r="V3562" s="14">
        <f t="shared" ref="V3562" si="2511">U3562*1.12</f>
        <v>38673600</v>
      </c>
      <c r="W3562" s="2" t="s">
        <v>1521</v>
      </c>
      <c r="X3562" s="2">
        <v>2016</v>
      </c>
      <c r="Y3562" s="15"/>
      <c r="Z3562" s="81"/>
      <c r="AA3562" s="81"/>
      <c r="AB3562" s="81"/>
      <c r="AC3562" s="81"/>
      <c r="AD3562" s="81"/>
      <c r="AE3562" s="81"/>
    </row>
    <row r="3563" spans="1:31" s="12" customFormat="1" ht="76.5" customHeight="1" outlineLevel="1" x14ac:dyDescent="0.25">
      <c r="B3563" s="2" t="s">
        <v>34</v>
      </c>
      <c r="C3563" s="5" t="s">
        <v>83</v>
      </c>
      <c r="D3563" s="5" t="s">
        <v>1451</v>
      </c>
      <c r="E3563" s="5" t="s">
        <v>1452</v>
      </c>
      <c r="F3563" s="5" t="s">
        <v>1453</v>
      </c>
      <c r="G3563" s="5" t="s">
        <v>1458</v>
      </c>
      <c r="H3563" s="5" t="s">
        <v>88</v>
      </c>
      <c r="I3563" s="4">
        <v>0.5</v>
      </c>
      <c r="J3563" s="13">
        <v>710000000</v>
      </c>
      <c r="K3563" s="5" t="s">
        <v>89</v>
      </c>
      <c r="L3563" s="5" t="s">
        <v>1455</v>
      </c>
      <c r="M3563" s="5" t="s">
        <v>703</v>
      </c>
      <c r="N3563" s="2"/>
      <c r="O3563" s="5" t="s">
        <v>697</v>
      </c>
      <c r="P3563" s="5" t="s">
        <v>1456</v>
      </c>
      <c r="Q3563" s="2"/>
      <c r="R3563" s="5"/>
      <c r="S3563" s="14"/>
      <c r="T3563" s="14"/>
      <c r="U3563" s="14">
        <v>9555000</v>
      </c>
      <c r="V3563" s="14">
        <f t="shared" si="2510"/>
        <v>10701600.000000002</v>
      </c>
      <c r="W3563" s="2" t="s">
        <v>1521</v>
      </c>
      <c r="X3563" s="2">
        <v>2016</v>
      </c>
      <c r="Y3563" s="15"/>
    </row>
    <row r="3564" spans="1:31" s="12" customFormat="1" ht="76.5" customHeight="1" outlineLevel="1" x14ac:dyDescent="0.25">
      <c r="B3564" s="2" t="s">
        <v>1459</v>
      </c>
      <c r="C3564" s="5" t="s">
        <v>83</v>
      </c>
      <c r="D3564" s="5" t="s">
        <v>1451</v>
      </c>
      <c r="E3564" s="5" t="s">
        <v>1452</v>
      </c>
      <c r="F3564" s="5" t="s">
        <v>1453</v>
      </c>
      <c r="G3564" s="5" t="s">
        <v>1460</v>
      </c>
      <c r="H3564" s="5" t="s">
        <v>88</v>
      </c>
      <c r="I3564" s="4">
        <v>0.5</v>
      </c>
      <c r="J3564" s="13">
        <v>710000000</v>
      </c>
      <c r="K3564" s="5" t="s">
        <v>89</v>
      </c>
      <c r="L3564" s="5" t="s">
        <v>1455</v>
      </c>
      <c r="M3564" s="5" t="s">
        <v>703</v>
      </c>
      <c r="N3564" s="2"/>
      <c r="O3564" s="5" t="s">
        <v>697</v>
      </c>
      <c r="P3564" s="5" t="s">
        <v>1456</v>
      </c>
      <c r="Q3564" s="2"/>
      <c r="R3564" s="5"/>
      <c r="S3564" s="14"/>
      <c r="T3564" s="14"/>
      <c r="U3564" s="14">
        <v>2705000</v>
      </c>
      <c r="V3564" s="14">
        <f t="shared" si="2510"/>
        <v>3029600.0000000005</v>
      </c>
      <c r="W3564" s="2" t="s">
        <v>1521</v>
      </c>
      <c r="X3564" s="2">
        <v>2016</v>
      </c>
      <c r="Y3564" s="15"/>
    </row>
    <row r="3565" spans="1:31" s="12" customFormat="1" ht="76.5" customHeight="1" outlineLevel="1" x14ac:dyDescent="0.25">
      <c r="B3565" s="2" t="s">
        <v>1461</v>
      </c>
      <c r="C3565" s="5" t="s">
        <v>83</v>
      </c>
      <c r="D3565" s="5" t="s">
        <v>1451</v>
      </c>
      <c r="E3565" s="5" t="s">
        <v>1452</v>
      </c>
      <c r="F3565" s="5" t="s">
        <v>1453</v>
      </c>
      <c r="G3565" s="5" t="s">
        <v>1462</v>
      </c>
      <c r="H3565" s="5" t="s">
        <v>88</v>
      </c>
      <c r="I3565" s="4">
        <v>0.5</v>
      </c>
      <c r="J3565" s="13">
        <v>710000000</v>
      </c>
      <c r="K3565" s="5" t="s">
        <v>89</v>
      </c>
      <c r="L3565" s="5" t="s">
        <v>90</v>
      </c>
      <c r="M3565" s="5" t="s">
        <v>714</v>
      </c>
      <c r="N3565" s="2"/>
      <c r="O3565" s="5" t="s">
        <v>697</v>
      </c>
      <c r="P3565" s="5" t="s">
        <v>1456</v>
      </c>
      <c r="Q3565" s="2"/>
      <c r="R3565" s="5"/>
      <c r="S3565" s="14"/>
      <c r="T3565" s="14"/>
      <c r="U3565" s="14">
        <v>0</v>
      </c>
      <c r="V3565" s="14">
        <f t="shared" si="2510"/>
        <v>0</v>
      </c>
      <c r="W3565" s="2" t="s">
        <v>1521</v>
      </c>
      <c r="X3565" s="2">
        <v>2016</v>
      </c>
      <c r="Y3565" s="15" t="s">
        <v>7513</v>
      </c>
    </row>
    <row r="3566" spans="1:31" s="12" customFormat="1" ht="76.5" customHeight="1" outlineLevel="1" x14ac:dyDescent="0.25">
      <c r="B3566" s="2" t="s">
        <v>9013</v>
      </c>
      <c r="C3566" s="5" t="s">
        <v>83</v>
      </c>
      <c r="D3566" s="5" t="s">
        <v>1451</v>
      </c>
      <c r="E3566" s="5" t="s">
        <v>1452</v>
      </c>
      <c r="F3566" s="5" t="s">
        <v>1453</v>
      </c>
      <c r="G3566" s="5" t="s">
        <v>1462</v>
      </c>
      <c r="H3566" s="5" t="s">
        <v>88</v>
      </c>
      <c r="I3566" s="4">
        <v>0.5</v>
      </c>
      <c r="J3566" s="13">
        <v>710000000</v>
      </c>
      <c r="K3566" s="5" t="s">
        <v>89</v>
      </c>
      <c r="L3566" s="5" t="s">
        <v>9014</v>
      </c>
      <c r="M3566" s="5" t="s">
        <v>714</v>
      </c>
      <c r="N3566" s="2"/>
      <c r="O3566" s="5" t="s">
        <v>697</v>
      </c>
      <c r="P3566" s="5" t="s">
        <v>1456</v>
      </c>
      <c r="Q3566" s="2"/>
      <c r="R3566" s="5"/>
      <c r="S3566" s="14"/>
      <c r="T3566" s="14"/>
      <c r="U3566" s="14">
        <f>25000000+9488000</f>
        <v>34488000</v>
      </c>
      <c r="V3566" s="14">
        <f t="shared" ref="V3566" si="2512">U3566*1.12</f>
        <v>38626560</v>
      </c>
      <c r="W3566" s="2" t="s">
        <v>1521</v>
      </c>
      <c r="X3566" s="2">
        <v>2016</v>
      </c>
      <c r="Y3566" s="15"/>
    </row>
    <row r="3567" spans="1:31" s="12" customFormat="1" ht="127.5" customHeight="1" outlineLevel="1" x14ac:dyDescent="0.2">
      <c r="A3567" s="24"/>
      <c r="B3567" s="2" t="s">
        <v>1463</v>
      </c>
      <c r="C3567" s="5" t="s">
        <v>83</v>
      </c>
      <c r="D3567" s="5" t="s">
        <v>1464</v>
      </c>
      <c r="E3567" s="5" t="s">
        <v>1465</v>
      </c>
      <c r="F3567" s="5" t="s">
        <v>1465</v>
      </c>
      <c r="G3567" s="5"/>
      <c r="H3567" s="2" t="s">
        <v>765</v>
      </c>
      <c r="I3567" s="4">
        <v>0.3</v>
      </c>
      <c r="J3567" s="13">
        <v>710000000</v>
      </c>
      <c r="K3567" s="5" t="s">
        <v>89</v>
      </c>
      <c r="L3567" s="5" t="s">
        <v>1466</v>
      </c>
      <c r="M3567" s="6" t="s">
        <v>696</v>
      </c>
      <c r="N3567" s="2"/>
      <c r="O3567" s="5" t="s">
        <v>697</v>
      </c>
      <c r="P3567" s="5" t="s">
        <v>1456</v>
      </c>
      <c r="Q3567" s="2"/>
      <c r="R3567" s="5"/>
      <c r="S3567" s="14"/>
      <c r="T3567" s="14"/>
      <c r="U3567" s="14">
        <v>0</v>
      </c>
      <c r="V3567" s="14">
        <f t="shared" si="2510"/>
        <v>0</v>
      </c>
      <c r="W3567" s="2" t="s">
        <v>1521</v>
      </c>
      <c r="X3567" s="2">
        <v>2016</v>
      </c>
      <c r="Y3567" s="15" t="s">
        <v>1590</v>
      </c>
    </row>
    <row r="3568" spans="1:31" s="12" customFormat="1" ht="127.5" customHeight="1" outlineLevel="1" x14ac:dyDescent="0.2">
      <c r="A3568" s="24"/>
      <c r="B3568" s="2" t="s">
        <v>7489</v>
      </c>
      <c r="C3568" s="5" t="s">
        <v>83</v>
      </c>
      <c r="D3568" s="5" t="s">
        <v>1464</v>
      </c>
      <c r="E3568" s="5" t="s">
        <v>1465</v>
      </c>
      <c r="F3568" s="5" t="s">
        <v>1465</v>
      </c>
      <c r="G3568" s="5"/>
      <c r="H3568" s="2" t="s">
        <v>765</v>
      </c>
      <c r="I3568" s="4">
        <v>0.3</v>
      </c>
      <c r="J3568" s="13">
        <v>710000000</v>
      </c>
      <c r="K3568" s="5" t="s">
        <v>89</v>
      </c>
      <c r="L3568" s="5" t="s">
        <v>754</v>
      </c>
      <c r="M3568" s="6" t="s">
        <v>696</v>
      </c>
      <c r="N3568" s="2"/>
      <c r="O3568" s="5" t="s">
        <v>697</v>
      </c>
      <c r="P3568" s="5" t="s">
        <v>1456</v>
      </c>
      <c r="Q3568" s="2"/>
      <c r="R3568" s="5"/>
      <c r="S3568" s="14"/>
      <c r="T3568" s="14"/>
      <c r="U3568" s="14">
        <v>0</v>
      </c>
      <c r="V3568" s="14">
        <f t="shared" ref="V3568" si="2513">U3568*1.12</f>
        <v>0</v>
      </c>
      <c r="W3568" s="2" t="s">
        <v>1521</v>
      </c>
      <c r="X3568" s="2">
        <v>2016</v>
      </c>
      <c r="Y3568" s="15" t="s">
        <v>7667</v>
      </c>
    </row>
    <row r="3569" spans="1:25" s="12" customFormat="1" ht="127.5" customHeight="1" outlineLevel="1" x14ac:dyDescent="0.25">
      <c r="B3569" s="2" t="s">
        <v>7706</v>
      </c>
      <c r="C3569" s="5" t="s">
        <v>83</v>
      </c>
      <c r="D3569" s="5" t="s">
        <v>1464</v>
      </c>
      <c r="E3569" s="5" t="s">
        <v>1465</v>
      </c>
      <c r="F3569" s="5" t="s">
        <v>1465</v>
      </c>
      <c r="G3569" s="5"/>
      <c r="H3569" s="2" t="s">
        <v>765</v>
      </c>
      <c r="I3569" s="4">
        <v>0.3</v>
      </c>
      <c r="J3569" s="13">
        <v>710000000</v>
      </c>
      <c r="K3569" s="5" t="s">
        <v>89</v>
      </c>
      <c r="L3569" s="5" t="s">
        <v>754</v>
      </c>
      <c r="M3569" s="6" t="s">
        <v>696</v>
      </c>
      <c r="N3569" s="2"/>
      <c r="O3569" s="5" t="s">
        <v>697</v>
      </c>
      <c r="P3569" s="5" t="s">
        <v>1456</v>
      </c>
      <c r="Q3569" s="2"/>
      <c r="R3569" s="5"/>
      <c r="S3569" s="14"/>
      <c r="T3569" s="14"/>
      <c r="U3569" s="14">
        <f>91485+34800+462240+1280070+1155440</f>
        <v>3024035</v>
      </c>
      <c r="V3569" s="14">
        <f t="shared" ref="V3569" si="2514">U3569*1.12</f>
        <v>3386919.2</v>
      </c>
      <c r="W3569" s="2" t="s">
        <v>1521</v>
      </c>
      <c r="X3569" s="2">
        <v>2016</v>
      </c>
      <c r="Y3569" s="15"/>
    </row>
    <row r="3570" spans="1:25" s="12" customFormat="1" ht="127.5" customHeight="1" outlineLevel="1" x14ac:dyDescent="0.2">
      <c r="A3570" s="24"/>
      <c r="B3570" s="2" t="s">
        <v>1467</v>
      </c>
      <c r="C3570" s="5" t="s">
        <v>83</v>
      </c>
      <c r="D3570" s="5" t="s">
        <v>1464</v>
      </c>
      <c r="E3570" s="5" t="s">
        <v>1465</v>
      </c>
      <c r="F3570" s="5" t="s">
        <v>1465</v>
      </c>
      <c r="G3570" s="5"/>
      <c r="H3570" s="2" t="s">
        <v>765</v>
      </c>
      <c r="I3570" s="4">
        <v>0.3</v>
      </c>
      <c r="J3570" s="13">
        <v>710000000</v>
      </c>
      <c r="K3570" s="5" t="s">
        <v>89</v>
      </c>
      <c r="L3570" s="5" t="s">
        <v>1466</v>
      </c>
      <c r="M3570" s="6" t="s">
        <v>701</v>
      </c>
      <c r="N3570" s="2"/>
      <c r="O3570" s="5" t="s">
        <v>697</v>
      </c>
      <c r="P3570" s="5" t="s">
        <v>1456</v>
      </c>
      <c r="Q3570" s="2"/>
      <c r="R3570" s="5"/>
      <c r="S3570" s="14"/>
      <c r="T3570" s="14"/>
      <c r="U3570" s="14">
        <v>0</v>
      </c>
      <c r="V3570" s="14">
        <f>U3570*1.12</f>
        <v>0</v>
      </c>
      <c r="W3570" s="2" t="s">
        <v>1521</v>
      </c>
      <c r="X3570" s="2">
        <v>2016</v>
      </c>
      <c r="Y3570" s="15" t="s">
        <v>1590</v>
      </c>
    </row>
    <row r="3571" spans="1:25" s="12" customFormat="1" ht="127.5" customHeight="1" outlineLevel="1" x14ac:dyDescent="0.25">
      <c r="B3571" s="2" t="s">
        <v>7490</v>
      </c>
      <c r="C3571" s="5" t="s">
        <v>83</v>
      </c>
      <c r="D3571" s="5" t="s">
        <v>1464</v>
      </c>
      <c r="E3571" s="5" t="s">
        <v>1465</v>
      </c>
      <c r="F3571" s="5" t="s">
        <v>1465</v>
      </c>
      <c r="G3571" s="5"/>
      <c r="H3571" s="2" t="s">
        <v>765</v>
      </c>
      <c r="I3571" s="4">
        <v>0.3</v>
      </c>
      <c r="J3571" s="13">
        <v>710000000</v>
      </c>
      <c r="K3571" s="5" t="s">
        <v>89</v>
      </c>
      <c r="L3571" s="5" t="s">
        <v>754</v>
      </c>
      <c r="M3571" s="6" t="s">
        <v>701</v>
      </c>
      <c r="N3571" s="2"/>
      <c r="O3571" s="5" t="s">
        <v>697</v>
      </c>
      <c r="P3571" s="5" t="s">
        <v>1456</v>
      </c>
      <c r="Q3571" s="2"/>
      <c r="R3571" s="5"/>
      <c r="S3571" s="14"/>
      <c r="T3571" s="14"/>
      <c r="U3571" s="14">
        <v>1348086</v>
      </c>
      <c r="V3571" s="14">
        <f>U3571*1.12</f>
        <v>1509856.32</v>
      </c>
      <c r="W3571" s="2" t="s">
        <v>1521</v>
      </c>
      <c r="X3571" s="2">
        <v>2016</v>
      </c>
      <c r="Y3571" s="15"/>
    </row>
    <row r="3572" spans="1:25" s="12" customFormat="1" ht="127.5" customHeight="1" outlineLevel="1" x14ac:dyDescent="0.2">
      <c r="A3572" s="24"/>
      <c r="B3572" s="2" t="s">
        <v>1468</v>
      </c>
      <c r="C3572" s="5" t="s">
        <v>83</v>
      </c>
      <c r="D3572" s="5" t="s">
        <v>1464</v>
      </c>
      <c r="E3572" s="5" t="s">
        <v>1465</v>
      </c>
      <c r="F3572" s="5" t="s">
        <v>1465</v>
      </c>
      <c r="G3572" s="5"/>
      <c r="H3572" s="2" t="s">
        <v>765</v>
      </c>
      <c r="I3572" s="4">
        <v>0.3</v>
      </c>
      <c r="J3572" s="13">
        <v>710000000</v>
      </c>
      <c r="K3572" s="5" t="s">
        <v>89</v>
      </c>
      <c r="L3572" s="5" t="s">
        <v>90</v>
      </c>
      <c r="M3572" s="5" t="s">
        <v>714</v>
      </c>
      <c r="N3572" s="2"/>
      <c r="O3572" s="5" t="s">
        <v>697</v>
      </c>
      <c r="P3572" s="5" t="s">
        <v>1456</v>
      </c>
      <c r="Q3572" s="2"/>
      <c r="R3572" s="5"/>
      <c r="S3572" s="14"/>
      <c r="T3572" s="14"/>
      <c r="U3572" s="14">
        <v>0</v>
      </c>
      <c r="V3572" s="14">
        <f t="shared" ref="V3572:V3574" si="2515">U3572*1.12</f>
        <v>0</v>
      </c>
      <c r="W3572" s="2" t="s">
        <v>1521</v>
      </c>
      <c r="X3572" s="2">
        <v>2016</v>
      </c>
      <c r="Y3572" s="15" t="s">
        <v>1590</v>
      </c>
    </row>
    <row r="3573" spans="1:25" s="12" customFormat="1" ht="127.5" customHeight="1" outlineLevel="1" x14ac:dyDescent="0.25">
      <c r="B3573" s="2" t="s">
        <v>7491</v>
      </c>
      <c r="C3573" s="5" t="s">
        <v>83</v>
      </c>
      <c r="D3573" s="5" t="s">
        <v>1464</v>
      </c>
      <c r="E3573" s="5" t="s">
        <v>1465</v>
      </c>
      <c r="F3573" s="5" t="s">
        <v>1465</v>
      </c>
      <c r="G3573" s="5"/>
      <c r="H3573" s="2" t="s">
        <v>765</v>
      </c>
      <c r="I3573" s="4">
        <v>0.3</v>
      </c>
      <c r="J3573" s="13">
        <v>710000000</v>
      </c>
      <c r="K3573" s="5" t="s">
        <v>89</v>
      </c>
      <c r="L3573" s="5" t="s">
        <v>754</v>
      </c>
      <c r="M3573" s="5" t="s">
        <v>714</v>
      </c>
      <c r="N3573" s="2"/>
      <c r="O3573" s="5" t="s">
        <v>697</v>
      </c>
      <c r="P3573" s="5" t="s">
        <v>1456</v>
      </c>
      <c r="Q3573" s="2"/>
      <c r="R3573" s="5"/>
      <c r="S3573" s="14"/>
      <c r="T3573" s="14"/>
      <c r="U3573" s="14">
        <v>900000</v>
      </c>
      <c r="V3573" s="14">
        <f t="shared" ref="V3573" si="2516">U3573*1.12</f>
        <v>1008000.0000000001</v>
      </c>
      <c r="W3573" s="2" t="s">
        <v>1521</v>
      </c>
      <c r="X3573" s="2">
        <v>2016</v>
      </c>
      <c r="Y3573" s="15"/>
    </row>
    <row r="3574" spans="1:25" s="12" customFormat="1" ht="89.25" customHeight="1" outlineLevel="1" x14ac:dyDescent="0.2">
      <c r="A3574" s="24"/>
      <c r="B3574" s="2" t="s">
        <v>1469</v>
      </c>
      <c r="C3574" s="5" t="s">
        <v>83</v>
      </c>
      <c r="D3574" s="5" t="s">
        <v>1470</v>
      </c>
      <c r="E3574" s="5" t="s">
        <v>1471</v>
      </c>
      <c r="F3574" s="5" t="s">
        <v>1471</v>
      </c>
      <c r="G3574" s="5" t="s">
        <v>1472</v>
      </c>
      <c r="H3574" s="2" t="s">
        <v>765</v>
      </c>
      <c r="I3574" s="4">
        <v>0.3</v>
      </c>
      <c r="J3574" s="13">
        <v>710000000</v>
      </c>
      <c r="K3574" s="5" t="s">
        <v>89</v>
      </c>
      <c r="L3574" s="5" t="s">
        <v>1466</v>
      </c>
      <c r="M3574" s="6" t="s">
        <v>696</v>
      </c>
      <c r="N3574" s="2"/>
      <c r="O3574" s="5" t="s">
        <v>697</v>
      </c>
      <c r="P3574" s="5" t="s">
        <v>1456</v>
      </c>
      <c r="Q3574" s="2"/>
      <c r="R3574" s="5"/>
      <c r="S3574" s="14"/>
      <c r="T3574" s="14"/>
      <c r="U3574" s="14">
        <v>0</v>
      </c>
      <c r="V3574" s="14">
        <f t="shared" si="2515"/>
        <v>0</v>
      </c>
      <c r="W3574" s="2" t="s">
        <v>1521</v>
      </c>
      <c r="X3574" s="2">
        <v>2016</v>
      </c>
      <c r="Y3574" s="15" t="s">
        <v>1590</v>
      </c>
    </row>
    <row r="3575" spans="1:25" s="12" customFormat="1" ht="89.25" customHeight="1" outlineLevel="1" x14ac:dyDescent="0.25">
      <c r="B3575" s="2" t="s">
        <v>7492</v>
      </c>
      <c r="C3575" s="5" t="s">
        <v>83</v>
      </c>
      <c r="D3575" s="5" t="s">
        <v>1470</v>
      </c>
      <c r="E3575" s="5" t="s">
        <v>1471</v>
      </c>
      <c r="F3575" s="5" t="s">
        <v>1471</v>
      </c>
      <c r="G3575" s="5" t="s">
        <v>1472</v>
      </c>
      <c r="H3575" s="2" t="s">
        <v>765</v>
      </c>
      <c r="I3575" s="4">
        <v>0.3</v>
      </c>
      <c r="J3575" s="13">
        <v>710000000</v>
      </c>
      <c r="K3575" s="5" t="s">
        <v>89</v>
      </c>
      <c r="L3575" s="5" t="s">
        <v>754</v>
      </c>
      <c r="M3575" s="6" t="s">
        <v>696</v>
      </c>
      <c r="N3575" s="2"/>
      <c r="O3575" s="5" t="s">
        <v>697</v>
      </c>
      <c r="P3575" s="5" t="s">
        <v>1456</v>
      </c>
      <c r="Q3575" s="2"/>
      <c r="R3575" s="5"/>
      <c r="S3575" s="14"/>
      <c r="T3575" s="14"/>
      <c r="U3575" s="14">
        <v>794643</v>
      </c>
      <c r="V3575" s="14">
        <f t="shared" ref="V3575" si="2517">U3575*1.12</f>
        <v>890000.16</v>
      </c>
      <c r="W3575" s="2" t="s">
        <v>1521</v>
      </c>
      <c r="X3575" s="2">
        <v>2016</v>
      </c>
      <c r="Y3575" s="15"/>
    </row>
    <row r="3576" spans="1:25" s="12" customFormat="1" ht="127.5" customHeight="1" outlineLevel="1" x14ac:dyDescent="0.2">
      <c r="A3576" s="24"/>
      <c r="B3576" s="2" t="s">
        <v>1473</v>
      </c>
      <c r="C3576" s="5" t="s">
        <v>83</v>
      </c>
      <c r="D3576" s="5" t="s">
        <v>1474</v>
      </c>
      <c r="E3576" s="5" t="s">
        <v>1475</v>
      </c>
      <c r="F3576" s="5" t="s">
        <v>1475</v>
      </c>
      <c r="G3576" s="5" t="s">
        <v>1476</v>
      </c>
      <c r="H3576" s="2" t="s">
        <v>765</v>
      </c>
      <c r="I3576" s="4">
        <v>0.5</v>
      </c>
      <c r="J3576" s="13">
        <v>710000000</v>
      </c>
      <c r="K3576" s="5" t="s">
        <v>89</v>
      </c>
      <c r="L3576" s="5" t="s">
        <v>90</v>
      </c>
      <c r="M3576" s="6" t="s">
        <v>696</v>
      </c>
      <c r="N3576" s="2"/>
      <c r="O3576" s="5" t="s">
        <v>697</v>
      </c>
      <c r="P3576" s="5" t="s">
        <v>1456</v>
      </c>
      <c r="Q3576" s="2"/>
      <c r="R3576" s="5"/>
      <c r="S3576" s="14"/>
      <c r="T3576" s="14"/>
      <c r="U3576" s="14">
        <v>0</v>
      </c>
      <c r="V3576" s="14">
        <f t="shared" ref="V3576:V3585" si="2518">U3576*1.12</f>
        <v>0</v>
      </c>
      <c r="W3576" s="2" t="s">
        <v>1521</v>
      </c>
      <c r="X3576" s="2">
        <v>2016</v>
      </c>
      <c r="Y3576" s="15" t="s">
        <v>1590</v>
      </c>
    </row>
    <row r="3577" spans="1:25" s="12" customFormat="1" ht="127.5" customHeight="1" outlineLevel="1" x14ac:dyDescent="0.2">
      <c r="A3577" s="24"/>
      <c r="B3577" s="2" t="s">
        <v>7493</v>
      </c>
      <c r="C3577" s="5" t="s">
        <v>83</v>
      </c>
      <c r="D3577" s="5" t="s">
        <v>1474</v>
      </c>
      <c r="E3577" s="5" t="s">
        <v>1475</v>
      </c>
      <c r="F3577" s="5" t="s">
        <v>1475</v>
      </c>
      <c r="G3577" s="5" t="s">
        <v>1476</v>
      </c>
      <c r="H3577" s="2" t="s">
        <v>765</v>
      </c>
      <c r="I3577" s="4">
        <v>0.5</v>
      </c>
      <c r="J3577" s="13">
        <v>710000000</v>
      </c>
      <c r="K3577" s="5" t="s">
        <v>89</v>
      </c>
      <c r="L3577" s="5" t="s">
        <v>754</v>
      </c>
      <c r="M3577" s="6" t="s">
        <v>696</v>
      </c>
      <c r="N3577" s="2"/>
      <c r="O3577" s="5" t="s">
        <v>697</v>
      </c>
      <c r="P3577" s="5" t="s">
        <v>1456</v>
      </c>
      <c r="Q3577" s="2"/>
      <c r="R3577" s="5"/>
      <c r="S3577" s="14"/>
      <c r="T3577" s="14"/>
      <c r="U3577" s="14">
        <v>0</v>
      </c>
      <c r="V3577" s="14">
        <f t="shared" si="2518"/>
        <v>0</v>
      </c>
      <c r="W3577" s="2" t="s">
        <v>1521</v>
      </c>
      <c r="X3577" s="2">
        <v>2016</v>
      </c>
      <c r="Y3577" s="63" t="s">
        <v>7861</v>
      </c>
    </row>
    <row r="3578" spans="1:25" s="12" customFormat="1" ht="127.5" customHeight="1" outlineLevel="1" x14ac:dyDescent="0.2">
      <c r="A3578" s="24"/>
      <c r="B3578" s="2" t="s">
        <v>7860</v>
      </c>
      <c r="C3578" s="5" t="s">
        <v>83</v>
      </c>
      <c r="D3578" s="5" t="s">
        <v>1474</v>
      </c>
      <c r="E3578" s="5" t="s">
        <v>1475</v>
      </c>
      <c r="F3578" s="5" t="s">
        <v>1475</v>
      </c>
      <c r="G3578" s="5" t="s">
        <v>1476</v>
      </c>
      <c r="H3578" s="2" t="s">
        <v>694</v>
      </c>
      <c r="I3578" s="4">
        <v>0.5</v>
      </c>
      <c r="J3578" s="13">
        <v>710000000</v>
      </c>
      <c r="K3578" s="5" t="s">
        <v>89</v>
      </c>
      <c r="L3578" s="5" t="s">
        <v>754</v>
      </c>
      <c r="M3578" s="6" t="s">
        <v>696</v>
      </c>
      <c r="N3578" s="2"/>
      <c r="O3578" s="5" t="s">
        <v>697</v>
      </c>
      <c r="P3578" s="5" t="s">
        <v>1456</v>
      </c>
      <c r="Q3578" s="2"/>
      <c r="R3578" s="5"/>
      <c r="S3578" s="14"/>
      <c r="T3578" s="14"/>
      <c r="U3578" s="14">
        <v>0</v>
      </c>
      <c r="V3578" s="14">
        <f t="shared" ref="V3578" si="2519">U3578*1.12</f>
        <v>0</v>
      </c>
      <c r="W3578" s="2"/>
      <c r="X3578" s="2">
        <v>2016</v>
      </c>
      <c r="Y3578" s="63" t="s">
        <v>7667</v>
      </c>
    </row>
    <row r="3579" spans="1:25" s="12" customFormat="1" ht="127.5" customHeight="1" outlineLevel="1" x14ac:dyDescent="0.25">
      <c r="B3579" s="2" t="s">
        <v>8427</v>
      </c>
      <c r="C3579" s="5" t="s">
        <v>83</v>
      </c>
      <c r="D3579" s="5" t="s">
        <v>1474</v>
      </c>
      <c r="E3579" s="5" t="s">
        <v>1475</v>
      </c>
      <c r="F3579" s="5" t="s">
        <v>1475</v>
      </c>
      <c r="G3579" s="5" t="s">
        <v>1476</v>
      </c>
      <c r="H3579" s="2" t="s">
        <v>694</v>
      </c>
      <c r="I3579" s="4">
        <v>0.5</v>
      </c>
      <c r="J3579" s="13">
        <v>710000000</v>
      </c>
      <c r="K3579" s="5" t="s">
        <v>89</v>
      </c>
      <c r="L3579" s="5" t="s">
        <v>754</v>
      </c>
      <c r="M3579" s="6" t="s">
        <v>696</v>
      </c>
      <c r="N3579" s="2"/>
      <c r="O3579" s="5" t="s">
        <v>697</v>
      </c>
      <c r="P3579" s="5" t="s">
        <v>1456</v>
      </c>
      <c r="Q3579" s="2"/>
      <c r="R3579" s="5"/>
      <c r="S3579" s="14"/>
      <c r="T3579" s="14"/>
      <c r="U3579" s="14">
        <f>317857+492679+31786-25358-29822</f>
        <v>787142</v>
      </c>
      <c r="V3579" s="14">
        <f t="shared" ref="V3579" si="2520">U3579*1.12</f>
        <v>881599.04</v>
      </c>
      <c r="W3579" s="2"/>
      <c r="X3579" s="2">
        <v>2016</v>
      </c>
      <c r="Y3579" s="15"/>
    </row>
    <row r="3580" spans="1:25" s="12" customFormat="1" ht="102" customHeight="1" outlineLevel="1" x14ac:dyDescent="0.25">
      <c r="B3580" s="2" t="s">
        <v>1477</v>
      </c>
      <c r="C3580" s="5" t="s">
        <v>83</v>
      </c>
      <c r="D3580" s="5" t="s">
        <v>1478</v>
      </c>
      <c r="E3580" s="5" t="s">
        <v>1479</v>
      </c>
      <c r="F3580" s="5" t="s">
        <v>1479</v>
      </c>
      <c r="G3580" s="5" t="s">
        <v>1480</v>
      </c>
      <c r="H3580" s="2" t="s">
        <v>694</v>
      </c>
      <c r="I3580" s="4">
        <v>0.5</v>
      </c>
      <c r="J3580" s="13">
        <v>710000000</v>
      </c>
      <c r="K3580" s="5" t="s">
        <v>89</v>
      </c>
      <c r="L3580" s="5" t="s">
        <v>90</v>
      </c>
      <c r="M3580" s="6" t="s">
        <v>1481</v>
      </c>
      <c r="N3580" s="2"/>
      <c r="O3580" s="5" t="s">
        <v>697</v>
      </c>
      <c r="P3580" s="5" t="s">
        <v>1456</v>
      </c>
      <c r="Q3580" s="2"/>
      <c r="R3580" s="5"/>
      <c r="S3580" s="14"/>
      <c r="T3580" s="14"/>
      <c r="U3580" s="14">
        <v>1630852</v>
      </c>
      <c r="V3580" s="14">
        <f t="shared" si="2518"/>
        <v>1826554.2400000002</v>
      </c>
      <c r="W3580" s="2" t="s">
        <v>1521</v>
      </c>
      <c r="X3580" s="2">
        <v>2016</v>
      </c>
      <c r="Y3580" s="15"/>
    </row>
    <row r="3581" spans="1:25" s="12" customFormat="1" ht="38.25" customHeight="1" outlineLevel="1" x14ac:dyDescent="0.2">
      <c r="A3581" s="24"/>
      <c r="B3581" s="2" t="s">
        <v>1482</v>
      </c>
      <c r="C3581" s="5" t="s">
        <v>83</v>
      </c>
      <c r="D3581" s="5" t="s">
        <v>1483</v>
      </c>
      <c r="E3581" s="5" t="s">
        <v>1484</v>
      </c>
      <c r="F3581" s="5" t="s">
        <v>1484</v>
      </c>
      <c r="G3581" s="5"/>
      <c r="H3581" s="2" t="s">
        <v>694</v>
      </c>
      <c r="I3581" s="4">
        <v>0.5</v>
      </c>
      <c r="J3581" s="13">
        <v>710000000</v>
      </c>
      <c r="K3581" s="5" t="s">
        <v>89</v>
      </c>
      <c r="L3581" s="5" t="s">
        <v>90</v>
      </c>
      <c r="M3581" s="6" t="s">
        <v>696</v>
      </c>
      <c r="N3581" s="2"/>
      <c r="O3581" s="5" t="s">
        <v>697</v>
      </c>
      <c r="P3581" s="5" t="s">
        <v>1456</v>
      </c>
      <c r="Q3581" s="2"/>
      <c r="R3581" s="5"/>
      <c r="S3581" s="14"/>
      <c r="T3581" s="14"/>
      <c r="U3581" s="14">
        <v>0</v>
      </c>
      <c r="V3581" s="14">
        <f t="shared" si="2518"/>
        <v>0</v>
      </c>
      <c r="W3581" s="2" t="s">
        <v>1521</v>
      </c>
      <c r="X3581" s="2">
        <v>2016</v>
      </c>
      <c r="Y3581" s="15" t="s">
        <v>7513</v>
      </c>
    </row>
    <row r="3582" spans="1:25" s="12" customFormat="1" ht="38.25" customHeight="1" outlineLevel="1" x14ac:dyDescent="0.25">
      <c r="B3582" s="2" t="s">
        <v>7729</v>
      </c>
      <c r="C3582" s="5" t="s">
        <v>83</v>
      </c>
      <c r="D3582" s="5" t="s">
        <v>1483</v>
      </c>
      <c r="E3582" s="5" t="s">
        <v>1484</v>
      </c>
      <c r="F3582" s="5" t="s">
        <v>1484</v>
      </c>
      <c r="G3582" s="5"/>
      <c r="H3582" s="2" t="s">
        <v>694</v>
      </c>
      <c r="I3582" s="4">
        <v>0.5</v>
      </c>
      <c r="J3582" s="13">
        <v>710000000</v>
      </c>
      <c r="K3582" s="5" t="s">
        <v>89</v>
      </c>
      <c r="L3582" s="5" t="s">
        <v>754</v>
      </c>
      <c r="M3582" s="6" t="s">
        <v>696</v>
      </c>
      <c r="N3582" s="2"/>
      <c r="O3582" s="5" t="s">
        <v>697</v>
      </c>
      <c r="P3582" s="5" t="s">
        <v>1456</v>
      </c>
      <c r="Q3582" s="2"/>
      <c r="R3582" s="5"/>
      <c r="S3582" s="14"/>
      <c r="T3582" s="14"/>
      <c r="U3582" s="14">
        <f>84334+63525+35265+59472+5475+443400-200000</f>
        <v>491471</v>
      </c>
      <c r="V3582" s="14">
        <f t="shared" ref="V3582" si="2521">U3582*1.12</f>
        <v>550447.52</v>
      </c>
      <c r="W3582" s="2" t="s">
        <v>1521</v>
      </c>
      <c r="X3582" s="2">
        <v>2016</v>
      </c>
      <c r="Y3582" s="15"/>
    </row>
    <row r="3583" spans="1:25" s="12" customFormat="1" ht="51" customHeight="1" outlineLevel="1" x14ac:dyDescent="0.25">
      <c r="B3583" s="2" t="s">
        <v>1485</v>
      </c>
      <c r="C3583" s="5" t="s">
        <v>83</v>
      </c>
      <c r="D3583" s="5" t="s">
        <v>1483</v>
      </c>
      <c r="E3583" s="5" t="s">
        <v>1484</v>
      </c>
      <c r="F3583" s="5" t="s">
        <v>1484</v>
      </c>
      <c r="G3583" s="5" t="s">
        <v>1486</v>
      </c>
      <c r="H3583" s="2" t="s">
        <v>694</v>
      </c>
      <c r="I3583" s="4">
        <v>0.5</v>
      </c>
      <c r="J3583" s="13">
        <v>710000000</v>
      </c>
      <c r="K3583" s="5" t="s">
        <v>89</v>
      </c>
      <c r="L3583" s="5" t="s">
        <v>90</v>
      </c>
      <c r="M3583" s="6" t="s">
        <v>91</v>
      </c>
      <c r="N3583" s="2"/>
      <c r="O3583" s="5" t="s">
        <v>697</v>
      </c>
      <c r="P3583" s="5" t="s">
        <v>1456</v>
      </c>
      <c r="Q3583" s="2"/>
      <c r="R3583" s="5"/>
      <c r="S3583" s="14"/>
      <c r="T3583" s="14"/>
      <c r="U3583" s="14">
        <v>0</v>
      </c>
      <c r="V3583" s="14">
        <f t="shared" si="2518"/>
        <v>0</v>
      </c>
      <c r="W3583" s="2" t="s">
        <v>1521</v>
      </c>
      <c r="X3583" s="2">
        <v>2016</v>
      </c>
      <c r="Y3583" s="15" t="s">
        <v>8482</v>
      </c>
    </row>
    <row r="3584" spans="1:25" s="12" customFormat="1" ht="51" customHeight="1" outlineLevel="1" x14ac:dyDescent="0.25">
      <c r="B3584" s="2" t="s">
        <v>8495</v>
      </c>
      <c r="C3584" s="5" t="s">
        <v>83</v>
      </c>
      <c r="D3584" s="5" t="s">
        <v>1483</v>
      </c>
      <c r="E3584" s="5" t="s">
        <v>1484</v>
      </c>
      <c r="F3584" s="5" t="s">
        <v>1484</v>
      </c>
      <c r="G3584" s="5" t="s">
        <v>1486</v>
      </c>
      <c r="H3584" s="2" t="s">
        <v>694</v>
      </c>
      <c r="I3584" s="4">
        <v>0.5</v>
      </c>
      <c r="J3584" s="13">
        <v>710000000</v>
      </c>
      <c r="K3584" s="5" t="s">
        <v>89</v>
      </c>
      <c r="L3584" s="5" t="s">
        <v>1735</v>
      </c>
      <c r="M3584" s="6" t="s">
        <v>91</v>
      </c>
      <c r="N3584" s="2"/>
      <c r="O3584" s="5" t="s">
        <v>697</v>
      </c>
      <c r="P3584" s="5" t="s">
        <v>1456</v>
      </c>
      <c r="Q3584" s="2"/>
      <c r="R3584" s="5"/>
      <c r="S3584" s="14"/>
      <c r="T3584" s="14"/>
      <c r="U3584" s="14">
        <v>247438</v>
      </c>
      <c r="V3584" s="14">
        <f t="shared" ref="V3584" si="2522">U3584*1.12</f>
        <v>277130.56</v>
      </c>
      <c r="W3584" s="2"/>
      <c r="X3584" s="2">
        <v>2016</v>
      </c>
      <c r="Y3584" s="15"/>
    </row>
    <row r="3585" spans="1:25" s="12" customFormat="1" ht="38.25" customHeight="1" outlineLevel="1" x14ac:dyDescent="0.25">
      <c r="B3585" s="2" t="s">
        <v>1487</v>
      </c>
      <c r="C3585" s="5" t="s">
        <v>83</v>
      </c>
      <c r="D3585" s="5" t="s">
        <v>1483</v>
      </c>
      <c r="E3585" s="5" t="s">
        <v>1484</v>
      </c>
      <c r="F3585" s="5" t="s">
        <v>1484</v>
      </c>
      <c r="G3585" s="5"/>
      <c r="H3585" s="2" t="s">
        <v>694</v>
      </c>
      <c r="I3585" s="4">
        <v>0.5</v>
      </c>
      <c r="J3585" s="13">
        <v>710000000</v>
      </c>
      <c r="K3585" s="5" t="s">
        <v>89</v>
      </c>
      <c r="L3585" s="5" t="s">
        <v>90</v>
      </c>
      <c r="M3585" s="6" t="s">
        <v>682</v>
      </c>
      <c r="N3585" s="2"/>
      <c r="O3585" s="5" t="s">
        <v>697</v>
      </c>
      <c r="P3585" s="5" t="s">
        <v>1456</v>
      </c>
      <c r="Q3585" s="2"/>
      <c r="R3585" s="5"/>
      <c r="S3585" s="14"/>
      <c r="T3585" s="14"/>
      <c r="U3585" s="14">
        <v>74750</v>
      </c>
      <c r="V3585" s="14">
        <f t="shared" si="2518"/>
        <v>83720.000000000015</v>
      </c>
      <c r="W3585" s="2" t="s">
        <v>1521</v>
      </c>
      <c r="X3585" s="2">
        <v>2016</v>
      </c>
      <c r="Y3585" s="15"/>
    </row>
    <row r="3586" spans="1:25" s="12" customFormat="1" ht="51" customHeight="1" outlineLevel="1" x14ac:dyDescent="0.25">
      <c r="B3586" s="2" t="s">
        <v>1488</v>
      </c>
      <c r="C3586" s="3" t="s">
        <v>83</v>
      </c>
      <c r="D3586" s="3" t="s">
        <v>1489</v>
      </c>
      <c r="E3586" s="3" t="s">
        <v>1490</v>
      </c>
      <c r="F3586" s="3" t="s">
        <v>1490</v>
      </c>
      <c r="G3586" s="5" t="s">
        <v>1491</v>
      </c>
      <c r="H3586" s="5" t="s">
        <v>694</v>
      </c>
      <c r="I3586" s="4">
        <v>0.5</v>
      </c>
      <c r="J3586" s="13">
        <v>710000000</v>
      </c>
      <c r="K3586" s="5" t="s">
        <v>89</v>
      </c>
      <c r="L3586" s="5" t="s">
        <v>90</v>
      </c>
      <c r="M3586" s="6" t="s">
        <v>1481</v>
      </c>
      <c r="N3586" s="2"/>
      <c r="O3586" s="5" t="s">
        <v>697</v>
      </c>
      <c r="P3586" s="5" t="s">
        <v>1456</v>
      </c>
      <c r="Q3586" s="2"/>
      <c r="R3586" s="2"/>
      <c r="S3586" s="14"/>
      <c r="T3586" s="14"/>
      <c r="U3586" s="14">
        <v>165000</v>
      </c>
      <c r="V3586" s="14">
        <f t="shared" ref="V3586:V3590" si="2523">U3586*1.12</f>
        <v>184800.00000000003</v>
      </c>
      <c r="W3586" s="2" t="s">
        <v>1521</v>
      </c>
      <c r="X3586" s="2">
        <v>2016</v>
      </c>
      <c r="Y3586" s="15"/>
    </row>
    <row r="3587" spans="1:25" s="12" customFormat="1" ht="38.25" customHeight="1" outlineLevel="1" x14ac:dyDescent="0.2">
      <c r="A3587" s="24"/>
      <c r="B3587" s="2" t="s">
        <v>1492</v>
      </c>
      <c r="C3587" s="3" t="s">
        <v>83</v>
      </c>
      <c r="D3587" s="3" t="s">
        <v>1489</v>
      </c>
      <c r="E3587" s="3" t="s">
        <v>1490</v>
      </c>
      <c r="F3587" s="3" t="s">
        <v>1490</v>
      </c>
      <c r="G3587" s="5" t="s">
        <v>1493</v>
      </c>
      <c r="H3587" s="5" t="s">
        <v>694</v>
      </c>
      <c r="I3587" s="4">
        <v>0.5</v>
      </c>
      <c r="J3587" s="13">
        <v>710000000</v>
      </c>
      <c r="K3587" s="5" t="s">
        <v>89</v>
      </c>
      <c r="L3587" s="5" t="s">
        <v>90</v>
      </c>
      <c r="M3587" s="6" t="s">
        <v>1494</v>
      </c>
      <c r="N3587" s="2"/>
      <c r="O3587" s="5" t="s">
        <v>697</v>
      </c>
      <c r="P3587" s="5" t="s">
        <v>1456</v>
      </c>
      <c r="Q3587" s="2"/>
      <c r="R3587" s="2"/>
      <c r="S3587" s="14"/>
      <c r="T3587" s="14"/>
      <c r="U3587" s="14">
        <v>0</v>
      </c>
      <c r="V3587" s="14">
        <f t="shared" si="2523"/>
        <v>0</v>
      </c>
      <c r="W3587" s="2" t="s">
        <v>1521</v>
      </c>
      <c r="X3587" s="2">
        <v>2016</v>
      </c>
      <c r="Y3587" s="15" t="s">
        <v>1590</v>
      </c>
    </row>
    <row r="3588" spans="1:25" s="12" customFormat="1" ht="38.25" customHeight="1" outlineLevel="1" x14ac:dyDescent="0.2">
      <c r="A3588" s="24"/>
      <c r="B3588" s="2" t="s">
        <v>7725</v>
      </c>
      <c r="C3588" s="3" t="s">
        <v>83</v>
      </c>
      <c r="D3588" s="3" t="s">
        <v>1489</v>
      </c>
      <c r="E3588" s="3" t="s">
        <v>1490</v>
      </c>
      <c r="F3588" s="3" t="s">
        <v>1490</v>
      </c>
      <c r="G3588" s="5" t="s">
        <v>1493</v>
      </c>
      <c r="H3588" s="5" t="s">
        <v>694</v>
      </c>
      <c r="I3588" s="4">
        <v>0.5</v>
      </c>
      <c r="J3588" s="13">
        <v>710000000</v>
      </c>
      <c r="K3588" s="5" t="s">
        <v>89</v>
      </c>
      <c r="L3588" s="5" t="s">
        <v>754</v>
      </c>
      <c r="M3588" s="6" t="s">
        <v>1494</v>
      </c>
      <c r="N3588" s="2"/>
      <c r="O3588" s="5" t="s">
        <v>697</v>
      </c>
      <c r="P3588" s="5" t="s">
        <v>1456</v>
      </c>
      <c r="Q3588" s="2"/>
      <c r="R3588" s="2"/>
      <c r="S3588" s="14"/>
      <c r="T3588" s="14"/>
      <c r="U3588" s="14">
        <v>0</v>
      </c>
      <c r="V3588" s="14">
        <f t="shared" ref="V3588" si="2524">U3588*1.12</f>
        <v>0</v>
      </c>
      <c r="W3588" s="2" t="s">
        <v>1521</v>
      </c>
      <c r="X3588" s="2">
        <v>2016</v>
      </c>
      <c r="Y3588" s="15" t="s">
        <v>7513</v>
      </c>
    </row>
    <row r="3589" spans="1:25" s="12" customFormat="1" ht="51" customHeight="1" outlineLevel="1" x14ac:dyDescent="0.25">
      <c r="B3589" s="2" t="s">
        <v>9288</v>
      </c>
      <c r="C3589" s="3" t="s">
        <v>83</v>
      </c>
      <c r="D3589" s="3" t="s">
        <v>1489</v>
      </c>
      <c r="E3589" s="3" t="s">
        <v>1490</v>
      </c>
      <c r="F3589" s="3" t="s">
        <v>1490</v>
      </c>
      <c r="G3589" s="5" t="s">
        <v>1493</v>
      </c>
      <c r="H3589" s="5" t="s">
        <v>694</v>
      </c>
      <c r="I3589" s="4">
        <v>0.5</v>
      </c>
      <c r="J3589" s="13">
        <v>710000000</v>
      </c>
      <c r="K3589" s="5" t="s">
        <v>89</v>
      </c>
      <c r="L3589" s="5" t="s">
        <v>9114</v>
      </c>
      <c r="M3589" s="6" t="s">
        <v>1494</v>
      </c>
      <c r="N3589" s="2"/>
      <c r="O3589" s="5" t="s">
        <v>697</v>
      </c>
      <c r="P3589" s="5" t="s">
        <v>1456</v>
      </c>
      <c r="Q3589" s="2"/>
      <c r="R3589" s="2"/>
      <c r="S3589" s="14"/>
      <c r="T3589" s="14"/>
      <c r="U3589" s="14">
        <f>817491.72+815860</f>
        <v>1633351.72</v>
      </c>
      <c r="V3589" s="14">
        <f t="shared" ref="V3589" si="2525">U3589*1.12</f>
        <v>1829353.9264000002</v>
      </c>
      <c r="W3589" s="2" t="s">
        <v>1521</v>
      </c>
      <c r="X3589" s="2">
        <v>2016</v>
      </c>
      <c r="Y3589" s="15"/>
    </row>
    <row r="3590" spans="1:25" s="12" customFormat="1" ht="89.25" customHeight="1" outlineLevel="1" x14ac:dyDescent="0.25">
      <c r="B3590" s="2" t="s">
        <v>1495</v>
      </c>
      <c r="C3590" s="3" t="s">
        <v>83</v>
      </c>
      <c r="D3590" s="3" t="s">
        <v>1496</v>
      </c>
      <c r="E3590" s="3" t="s">
        <v>1497</v>
      </c>
      <c r="F3590" s="3" t="s">
        <v>1498</v>
      </c>
      <c r="G3590" s="5" t="s">
        <v>1499</v>
      </c>
      <c r="H3590" s="5" t="s">
        <v>694</v>
      </c>
      <c r="I3590" s="4">
        <v>0.5</v>
      </c>
      <c r="J3590" s="13">
        <v>710000000</v>
      </c>
      <c r="K3590" s="5" t="s">
        <v>89</v>
      </c>
      <c r="L3590" s="5" t="s">
        <v>90</v>
      </c>
      <c r="M3590" s="6" t="s">
        <v>1500</v>
      </c>
      <c r="N3590" s="2"/>
      <c r="O3590" s="5" t="s">
        <v>697</v>
      </c>
      <c r="P3590" s="5" t="s">
        <v>1456</v>
      </c>
      <c r="Q3590" s="2"/>
      <c r="R3590" s="2"/>
      <c r="S3590" s="14"/>
      <c r="T3590" s="14"/>
      <c r="U3590" s="14">
        <v>204225.62</v>
      </c>
      <c r="V3590" s="14">
        <f t="shared" si="2523"/>
        <v>228732.69440000001</v>
      </c>
      <c r="W3590" s="2" t="s">
        <v>1521</v>
      </c>
      <c r="X3590" s="2">
        <v>2016</v>
      </c>
      <c r="Y3590" s="15"/>
    </row>
    <row r="3591" spans="1:25" s="12" customFormat="1" ht="89.25" customHeight="1" outlineLevel="1" x14ac:dyDescent="0.2">
      <c r="A3591" s="24"/>
      <c r="B3591" s="2" t="s">
        <v>1501</v>
      </c>
      <c r="C3591" s="5" t="s">
        <v>83</v>
      </c>
      <c r="D3591" s="5" t="s">
        <v>1502</v>
      </c>
      <c r="E3591" s="5" t="s">
        <v>1503</v>
      </c>
      <c r="F3591" s="5" t="s">
        <v>1503</v>
      </c>
      <c r="G3591" s="5" t="s">
        <v>1504</v>
      </c>
      <c r="H3591" s="2" t="s">
        <v>765</v>
      </c>
      <c r="I3591" s="4">
        <v>0.5</v>
      </c>
      <c r="J3591" s="13">
        <v>710000000</v>
      </c>
      <c r="K3591" s="5" t="s">
        <v>89</v>
      </c>
      <c r="L3591" s="5" t="s">
        <v>90</v>
      </c>
      <c r="M3591" s="6" t="s">
        <v>672</v>
      </c>
      <c r="N3591" s="2"/>
      <c r="O3591" s="5" t="s">
        <v>697</v>
      </c>
      <c r="P3591" s="5" t="s">
        <v>1456</v>
      </c>
      <c r="Q3591" s="2"/>
      <c r="R3591" s="5"/>
      <c r="S3591" s="14"/>
      <c r="T3591" s="14"/>
      <c r="U3591" s="14">
        <v>0</v>
      </c>
      <c r="V3591" s="14">
        <f>U3591*1.12</f>
        <v>0</v>
      </c>
      <c r="W3591" s="2" t="s">
        <v>1521</v>
      </c>
      <c r="X3591" s="2">
        <v>2016</v>
      </c>
      <c r="Y3591" s="15" t="s">
        <v>1590</v>
      </c>
    </row>
    <row r="3592" spans="1:25" s="12" customFormat="1" ht="89.25" customHeight="1" outlineLevel="1" x14ac:dyDescent="0.25">
      <c r="B3592" s="2" t="s">
        <v>7494</v>
      </c>
      <c r="C3592" s="5" t="s">
        <v>83</v>
      </c>
      <c r="D3592" s="5" t="s">
        <v>1502</v>
      </c>
      <c r="E3592" s="5" t="s">
        <v>1503</v>
      </c>
      <c r="F3592" s="5" t="s">
        <v>1503</v>
      </c>
      <c r="G3592" s="5" t="s">
        <v>1504</v>
      </c>
      <c r="H3592" s="2" t="s">
        <v>765</v>
      </c>
      <c r="I3592" s="4">
        <v>0.5</v>
      </c>
      <c r="J3592" s="13">
        <v>710000000</v>
      </c>
      <c r="K3592" s="5" t="s">
        <v>89</v>
      </c>
      <c r="L3592" s="5" t="s">
        <v>754</v>
      </c>
      <c r="M3592" s="6" t="s">
        <v>672</v>
      </c>
      <c r="N3592" s="2"/>
      <c r="O3592" s="5" t="s">
        <v>697</v>
      </c>
      <c r="P3592" s="5" t="s">
        <v>1456</v>
      </c>
      <c r="Q3592" s="2"/>
      <c r="R3592" s="5"/>
      <c r="S3592" s="14"/>
      <c r="T3592" s="14"/>
      <c r="U3592" s="18">
        <v>4000000</v>
      </c>
      <c r="V3592" s="18">
        <f>U3592*1.12</f>
        <v>4480000</v>
      </c>
      <c r="W3592" s="2" t="s">
        <v>1521</v>
      </c>
      <c r="X3592" s="2">
        <v>2016</v>
      </c>
      <c r="Y3592" s="15"/>
    </row>
    <row r="3593" spans="1:25" s="12" customFormat="1" ht="89.25" customHeight="1" outlineLevel="1" x14ac:dyDescent="0.25">
      <c r="B3593" s="2" t="s">
        <v>1505</v>
      </c>
      <c r="C3593" s="5" t="s">
        <v>83</v>
      </c>
      <c r="D3593" s="5" t="s">
        <v>1506</v>
      </c>
      <c r="E3593" s="5" t="s">
        <v>1507</v>
      </c>
      <c r="F3593" s="5" t="s">
        <v>1507</v>
      </c>
      <c r="G3593" s="5" t="s">
        <v>1508</v>
      </c>
      <c r="H3593" s="2" t="s">
        <v>694</v>
      </c>
      <c r="I3593" s="4">
        <v>0.5</v>
      </c>
      <c r="J3593" s="13">
        <v>710000000</v>
      </c>
      <c r="K3593" s="5" t="s">
        <v>89</v>
      </c>
      <c r="L3593" s="5" t="s">
        <v>90</v>
      </c>
      <c r="M3593" s="6" t="s">
        <v>701</v>
      </c>
      <c r="N3593" s="2"/>
      <c r="O3593" s="5" t="s">
        <v>697</v>
      </c>
      <c r="P3593" s="5" t="s">
        <v>1456</v>
      </c>
      <c r="Q3593" s="2"/>
      <c r="R3593" s="5"/>
      <c r="S3593" s="14"/>
      <c r="T3593" s="14"/>
      <c r="U3593" s="14">
        <v>1800000</v>
      </c>
      <c r="V3593" s="14">
        <f>U3593*1.12</f>
        <v>2016000.0000000002</v>
      </c>
      <c r="W3593" s="2" t="s">
        <v>1521</v>
      </c>
      <c r="X3593" s="2">
        <v>2016</v>
      </c>
      <c r="Y3593" s="15"/>
    </row>
    <row r="3594" spans="1:25" s="12" customFormat="1" ht="102" customHeight="1" outlineLevel="1" x14ac:dyDescent="0.25">
      <c r="B3594" s="2" t="s">
        <v>1509</v>
      </c>
      <c r="C3594" s="3" t="s">
        <v>83</v>
      </c>
      <c r="D3594" s="3" t="s">
        <v>1510</v>
      </c>
      <c r="E3594" s="3" t="s">
        <v>1511</v>
      </c>
      <c r="F3594" s="3" t="s">
        <v>1511</v>
      </c>
      <c r="G3594" s="5" t="s">
        <v>1512</v>
      </c>
      <c r="H3594" s="5" t="s">
        <v>694</v>
      </c>
      <c r="I3594" s="4">
        <v>0.5</v>
      </c>
      <c r="J3594" s="13">
        <v>710000000</v>
      </c>
      <c r="K3594" s="5" t="s">
        <v>89</v>
      </c>
      <c r="L3594" s="5" t="s">
        <v>90</v>
      </c>
      <c r="M3594" s="6" t="s">
        <v>1481</v>
      </c>
      <c r="N3594" s="2"/>
      <c r="O3594" s="5" t="s">
        <v>697</v>
      </c>
      <c r="P3594" s="5" t="s">
        <v>1456</v>
      </c>
      <c r="Q3594" s="2"/>
      <c r="R3594" s="2"/>
      <c r="S3594" s="14"/>
      <c r="T3594" s="14"/>
      <c r="U3594" s="14">
        <v>600000</v>
      </c>
      <c r="V3594" s="14">
        <f t="shared" ref="V3594" si="2526">U3594*1.12</f>
        <v>672000.00000000012</v>
      </c>
      <c r="W3594" s="2" t="s">
        <v>1521</v>
      </c>
      <c r="X3594" s="2">
        <v>2016</v>
      </c>
      <c r="Y3594" s="15"/>
    </row>
    <row r="3595" spans="1:25" s="12" customFormat="1" ht="51" customHeight="1" outlineLevel="1" x14ac:dyDescent="0.2">
      <c r="A3595" s="24"/>
      <c r="B3595" s="2" t="s">
        <v>1513</v>
      </c>
      <c r="C3595" s="5" t="s">
        <v>83</v>
      </c>
      <c r="D3595" s="5" t="s">
        <v>1514</v>
      </c>
      <c r="E3595" s="5" t="s">
        <v>1515</v>
      </c>
      <c r="F3595" s="5" t="s">
        <v>1515</v>
      </c>
      <c r="G3595" s="5"/>
      <c r="H3595" s="2" t="s">
        <v>694</v>
      </c>
      <c r="I3595" s="4">
        <v>0.5</v>
      </c>
      <c r="J3595" s="13">
        <v>710000000</v>
      </c>
      <c r="K3595" s="5" t="s">
        <v>89</v>
      </c>
      <c r="L3595" s="5" t="s">
        <v>90</v>
      </c>
      <c r="M3595" s="6" t="s">
        <v>672</v>
      </c>
      <c r="N3595" s="2"/>
      <c r="O3595" s="5" t="s">
        <v>697</v>
      </c>
      <c r="P3595" s="5" t="s">
        <v>1456</v>
      </c>
      <c r="Q3595" s="2"/>
      <c r="R3595" s="5"/>
      <c r="S3595" s="14"/>
      <c r="T3595" s="14"/>
      <c r="U3595" s="14">
        <v>0</v>
      </c>
      <c r="V3595" s="14">
        <f>U3595*1.12</f>
        <v>0</v>
      </c>
      <c r="W3595" s="2" t="s">
        <v>1521</v>
      </c>
      <c r="X3595" s="2">
        <v>2016</v>
      </c>
      <c r="Y3595" s="15" t="s">
        <v>1590</v>
      </c>
    </row>
    <row r="3596" spans="1:25" s="12" customFormat="1" ht="51" customHeight="1" outlineLevel="1" x14ac:dyDescent="0.25">
      <c r="B3596" s="2" t="s">
        <v>9437</v>
      </c>
      <c r="C3596" s="5" t="s">
        <v>83</v>
      </c>
      <c r="D3596" s="5" t="s">
        <v>1514</v>
      </c>
      <c r="E3596" s="5" t="s">
        <v>1515</v>
      </c>
      <c r="F3596" s="5" t="s">
        <v>1515</v>
      </c>
      <c r="G3596" s="5"/>
      <c r="H3596" s="2" t="s">
        <v>694</v>
      </c>
      <c r="I3596" s="4">
        <v>0.5</v>
      </c>
      <c r="J3596" s="13">
        <v>710000000</v>
      </c>
      <c r="K3596" s="5" t="s">
        <v>89</v>
      </c>
      <c r="L3596" s="5" t="s">
        <v>1741</v>
      </c>
      <c r="M3596" s="6" t="s">
        <v>672</v>
      </c>
      <c r="N3596" s="2"/>
      <c r="O3596" s="5" t="s">
        <v>697</v>
      </c>
      <c r="P3596" s="5" t="s">
        <v>1456</v>
      </c>
      <c r="Q3596" s="2"/>
      <c r="R3596" s="5"/>
      <c r="S3596" s="14"/>
      <c r="T3596" s="14"/>
      <c r="U3596" s="14">
        <v>499400</v>
      </c>
      <c r="V3596" s="14">
        <f>U3596*1.12</f>
        <v>559328</v>
      </c>
      <c r="W3596" s="2" t="s">
        <v>1521</v>
      </c>
      <c r="X3596" s="2">
        <v>2016</v>
      </c>
      <c r="Y3596" s="15"/>
    </row>
    <row r="3597" spans="1:25" s="12" customFormat="1" ht="38.25" customHeight="1" outlineLevel="1" x14ac:dyDescent="0.25">
      <c r="B3597" s="2" t="s">
        <v>1516</v>
      </c>
      <c r="C3597" s="5" t="s">
        <v>83</v>
      </c>
      <c r="D3597" s="5" t="s">
        <v>1517</v>
      </c>
      <c r="E3597" s="5" t="s">
        <v>1518</v>
      </c>
      <c r="F3597" s="5" t="s">
        <v>1518</v>
      </c>
      <c r="G3597" s="64" t="s">
        <v>1519</v>
      </c>
      <c r="H3597" s="2" t="s">
        <v>694</v>
      </c>
      <c r="I3597" s="4">
        <v>1</v>
      </c>
      <c r="J3597" s="13">
        <v>710000000</v>
      </c>
      <c r="K3597" s="5" t="s">
        <v>89</v>
      </c>
      <c r="L3597" s="5" t="s">
        <v>90</v>
      </c>
      <c r="M3597" s="6" t="s">
        <v>1520</v>
      </c>
      <c r="N3597" s="2"/>
      <c r="O3597" s="5" t="s">
        <v>697</v>
      </c>
      <c r="P3597" s="5" t="s">
        <v>1456</v>
      </c>
      <c r="Q3597" s="2"/>
      <c r="R3597" s="5"/>
      <c r="S3597" s="14"/>
      <c r="T3597" s="14"/>
      <c r="U3597" s="14">
        <v>0</v>
      </c>
      <c r="V3597" s="14">
        <f>U3597*1.12</f>
        <v>0</v>
      </c>
      <c r="W3597" s="2" t="s">
        <v>1521</v>
      </c>
      <c r="X3597" s="2">
        <v>2016</v>
      </c>
      <c r="Y3597" s="15" t="s">
        <v>9010</v>
      </c>
    </row>
    <row r="3598" spans="1:25" s="12" customFormat="1" ht="38.25" customHeight="1" outlineLevel="1" x14ac:dyDescent="0.25">
      <c r="B3598" s="2" t="s">
        <v>9009</v>
      </c>
      <c r="C3598" s="5" t="s">
        <v>83</v>
      </c>
      <c r="D3598" s="5" t="s">
        <v>1517</v>
      </c>
      <c r="E3598" s="5" t="s">
        <v>1518</v>
      </c>
      <c r="F3598" s="5" t="s">
        <v>1518</v>
      </c>
      <c r="G3598" s="64" t="s">
        <v>1519</v>
      </c>
      <c r="H3598" s="2" t="s">
        <v>694</v>
      </c>
      <c r="I3598" s="4">
        <v>1</v>
      </c>
      <c r="J3598" s="13">
        <v>710000000</v>
      </c>
      <c r="K3598" s="5" t="s">
        <v>89</v>
      </c>
      <c r="L3598" s="5" t="s">
        <v>8710</v>
      </c>
      <c r="M3598" s="6" t="s">
        <v>1520</v>
      </c>
      <c r="N3598" s="2"/>
      <c r="O3598" s="5" t="s">
        <v>697</v>
      </c>
      <c r="P3598" s="5" t="s">
        <v>1456</v>
      </c>
      <c r="Q3598" s="2"/>
      <c r="R3598" s="5"/>
      <c r="S3598" s="14"/>
      <c r="T3598" s="14"/>
      <c r="U3598" s="14">
        <v>1315843</v>
      </c>
      <c r="V3598" s="14">
        <f>U3598*1.12</f>
        <v>1473744.1600000001</v>
      </c>
      <c r="W3598" s="2" t="s">
        <v>1521</v>
      </c>
      <c r="X3598" s="2">
        <v>2016</v>
      </c>
      <c r="Y3598" s="15"/>
    </row>
    <row r="3599" spans="1:25" s="12" customFormat="1" ht="178.5" customHeight="1" outlineLevel="1" x14ac:dyDescent="0.25">
      <c r="B3599" s="2" t="s">
        <v>1522</v>
      </c>
      <c r="C3599" s="5" t="s">
        <v>83</v>
      </c>
      <c r="D3599" s="5" t="s">
        <v>1523</v>
      </c>
      <c r="E3599" s="5" t="s">
        <v>1524</v>
      </c>
      <c r="F3599" s="5" t="s">
        <v>1525</v>
      </c>
      <c r="G3599" s="5" t="s">
        <v>1526</v>
      </c>
      <c r="H3599" s="2" t="s">
        <v>694</v>
      </c>
      <c r="I3599" s="4">
        <v>1</v>
      </c>
      <c r="J3599" s="13">
        <v>710000000</v>
      </c>
      <c r="K3599" s="5" t="s">
        <v>89</v>
      </c>
      <c r="L3599" s="5" t="s">
        <v>90</v>
      </c>
      <c r="M3599" s="6" t="s">
        <v>1527</v>
      </c>
      <c r="N3599" s="2"/>
      <c r="O3599" s="5" t="s">
        <v>697</v>
      </c>
      <c r="P3599" s="5" t="s">
        <v>1456</v>
      </c>
      <c r="Q3599" s="2"/>
      <c r="R3599" s="5"/>
      <c r="S3599" s="14"/>
      <c r="T3599" s="14"/>
      <c r="U3599" s="18">
        <v>446428.57</v>
      </c>
      <c r="V3599" s="18">
        <f t="shared" ref="V3599:V3604" si="2527">U3599*1.12</f>
        <v>499999.99840000004</v>
      </c>
      <c r="W3599" s="2" t="s">
        <v>1521</v>
      </c>
      <c r="X3599" s="2">
        <v>2016</v>
      </c>
      <c r="Y3599" s="15"/>
    </row>
    <row r="3600" spans="1:25" s="12" customFormat="1" ht="127.5" customHeight="1" outlineLevel="1" x14ac:dyDescent="0.2">
      <c r="A3600" s="24"/>
      <c r="B3600" s="2" t="s">
        <v>1528</v>
      </c>
      <c r="C3600" s="5" t="s">
        <v>83</v>
      </c>
      <c r="D3600" s="5" t="s">
        <v>1529</v>
      </c>
      <c r="E3600" s="5" t="s">
        <v>1530</v>
      </c>
      <c r="F3600" s="5" t="s">
        <v>1530</v>
      </c>
      <c r="G3600" s="5" t="s">
        <v>1531</v>
      </c>
      <c r="H3600" s="2" t="s">
        <v>765</v>
      </c>
      <c r="I3600" s="4">
        <v>0.5</v>
      </c>
      <c r="J3600" s="13">
        <v>710000000</v>
      </c>
      <c r="K3600" s="5" t="s">
        <v>89</v>
      </c>
      <c r="L3600" s="5" t="s">
        <v>90</v>
      </c>
      <c r="M3600" s="6" t="s">
        <v>1527</v>
      </c>
      <c r="N3600" s="2"/>
      <c r="O3600" s="5" t="s">
        <v>697</v>
      </c>
      <c r="P3600" s="5" t="s">
        <v>1456</v>
      </c>
      <c r="Q3600" s="2"/>
      <c r="R3600" s="5"/>
      <c r="S3600" s="14"/>
      <c r="T3600" s="14"/>
      <c r="U3600" s="14">
        <v>0</v>
      </c>
      <c r="V3600" s="14">
        <f t="shared" si="2527"/>
        <v>0</v>
      </c>
      <c r="W3600" s="2" t="s">
        <v>1521</v>
      </c>
      <c r="X3600" s="2">
        <v>2016</v>
      </c>
      <c r="Y3600" s="15" t="s">
        <v>1590</v>
      </c>
    </row>
    <row r="3601" spans="1:25" s="12" customFormat="1" ht="127.5" customHeight="1" outlineLevel="1" x14ac:dyDescent="0.25">
      <c r="B3601" s="2" t="s">
        <v>7495</v>
      </c>
      <c r="C3601" s="5" t="s">
        <v>83</v>
      </c>
      <c r="D3601" s="5" t="s">
        <v>1529</v>
      </c>
      <c r="E3601" s="5" t="s">
        <v>1530</v>
      </c>
      <c r="F3601" s="5" t="s">
        <v>1530</v>
      </c>
      <c r="G3601" s="5" t="s">
        <v>1531</v>
      </c>
      <c r="H3601" s="2" t="s">
        <v>765</v>
      </c>
      <c r="I3601" s="4">
        <v>0.5</v>
      </c>
      <c r="J3601" s="13">
        <v>710000000</v>
      </c>
      <c r="K3601" s="5" t="s">
        <v>89</v>
      </c>
      <c r="L3601" s="5" t="s">
        <v>754</v>
      </c>
      <c r="M3601" s="6" t="s">
        <v>1527</v>
      </c>
      <c r="N3601" s="2"/>
      <c r="O3601" s="5" t="s">
        <v>697</v>
      </c>
      <c r="P3601" s="5" t="s">
        <v>1456</v>
      </c>
      <c r="Q3601" s="2"/>
      <c r="R3601" s="5"/>
      <c r="S3601" s="14"/>
      <c r="T3601" s="14"/>
      <c r="U3601" s="14">
        <v>0</v>
      </c>
      <c r="V3601" s="14">
        <f t="shared" ref="V3601" si="2528">U3601*1.12</f>
        <v>0</v>
      </c>
      <c r="W3601" s="2" t="s">
        <v>1521</v>
      </c>
      <c r="X3601" s="2">
        <v>2016</v>
      </c>
      <c r="Y3601" s="15" t="s">
        <v>9109</v>
      </c>
    </row>
    <row r="3602" spans="1:25" s="12" customFormat="1" ht="127.5" customHeight="1" outlineLevel="1" x14ac:dyDescent="0.25">
      <c r="B3602" s="2" t="s">
        <v>9107</v>
      </c>
      <c r="C3602" s="5" t="s">
        <v>83</v>
      </c>
      <c r="D3602" s="5" t="s">
        <v>1529</v>
      </c>
      <c r="E3602" s="5" t="s">
        <v>1530</v>
      </c>
      <c r="F3602" s="5" t="s">
        <v>1530</v>
      </c>
      <c r="G3602" s="5" t="s">
        <v>9108</v>
      </c>
      <c r="H3602" s="2" t="s">
        <v>765</v>
      </c>
      <c r="I3602" s="4">
        <v>0.5</v>
      </c>
      <c r="J3602" s="13">
        <v>710000000</v>
      </c>
      <c r="K3602" s="5" t="s">
        <v>89</v>
      </c>
      <c r="L3602" s="5" t="s">
        <v>1738</v>
      </c>
      <c r="M3602" s="6" t="s">
        <v>1527</v>
      </c>
      <c r="N3602" s="2"/>
      <c r="O3602" s="5" t="s">
        <v>697</v>
      </c>
      <c r="P3602" s="5" t="s">
        <v>1456</v>
      </c>
      <c r="Q3602" s="2"/>
      <c r="R3602" s="5"/>
      <c r="S3602" s="14"/>
      <c r="T3602" s="14"/>
      <c r="U3602" s="14">
        <v>5803571.4299999997</v>
      </c>
      <c r="V3602" s="14">
        <f t="shared" ref="V3602" si="2529">U3602*1.12</f>
        <v>6500000.0016000001</v>
      </c>
      <c r="W3602" s="2" t="s">
        <v>1521</v>
      </c>
      <c r="X3602" s="2">
        <v>2016</v>
      </c>
      <c r="Y3602" s="15"/>
    </row>
    <row r="3603" spans="1:25" s="12" customFormat="1" ht="63.75" customHeight="1" outlineLevel="1" x14ac:dyDescent="0.25">
      <c r="B3603" s="2" t="s">
        <v>1532</v>
      </c>
      <c r="C3603" s="3" t="s">
        <v>83</v>
      </c>
      <c r="D3603" s="3" t="s">
        <v>1533</v>
      </c>
      <c r="E3603" s="3" t="s">
        <v>1534</v>
      </c>
      <c r="F3603" s="3" t="s">
        <v>1534</v>
      </c>
      <c r="G3603" s="5" t="s">
        <v>1535</v>
      </c>
      <c r="H3603" s="5" t="s">
        <v>88</v>
      </c>
      <c r="I3603" s="4">
        <v>0.5</v>
      </c>
      <c r="J3603" s="13">
        <v>710000000</v>
      </c>
      <c r="K3603" s="5" t="s">
        <v>89</v>
      </c>
      <c r="L3603" s="5" t="s">
        <v>1466</v>
      </c>
      <c r="M3603" s="6" t="s">
        <v>1527</v>
      </c>
      <c r="N3603" s="2"/>
      <c r="O3603" s="5" t="s">
        <v>697</v>
      </c>
      <c r="P3603" s="5" t="s">
        <v>1456</v>
      </c>
      <c r="Q3603" s="2"/>
      <c r="R3603" s="2"/>
      <c r="S3603" s="14"/>
      <c r="T3603" s="14"/>
      <c r="U3603" s="14">
        <v>41904090</v>
      </c>
      <c r="V3603" s="14">
        <f t="shared" si="2527"/>
        <v>46932580.800000004</v>
      </c>
      <c r="W3603" s="2" t="s">
        <v>1521</v>
      </c>
      <c r="X3603" s="2">
        <v>2016</v>
      </c>
      <c r="Y3603" s="15"/>
    </row>
    <row r="3604" spans="1:25" s="12" customFormat="1" ht="63.75" customHeight="1" outlineLevel="1" x14ac:dyDescent="0.25">
      <c r="B3604" s="2" t="s">
        <v>1536</v>
      </c>
      <c r="C3604" s="3" t="s">
        <v>83</v>
      </c>
      <c r="D3604" s="3" t="s">
        <v>1537</v>
      </c>
      <c r="E3604" s="3" t="s">
        <v>1538</v>
      </c>
      <c r="F3604" s="3" t="s">
        <v>1538</v>
      </c>
      <c r="G3604" s="5"/>
      <c r="H3604" s="5" t="s">
        <v>694</v>
      </c>
      <c r="I3604" s="4">
        <v>0.5</v>
      </c>
      <c r="J3604" s="13">
        <v>710000000</v>
      </c>
      <c r="K3604" s="5" t="s">
        <v>89</v>
      </c>
      <c r="L3604" s="5" t="s">
        <v>90</v>
      </c>
      <c r="M3604" s="6" t="s">
        <v>1481</v>
      </c>
      <c r="N3604" s="2"/>
      <c r="O3604" s="5" t="s">
        <v>697</v>
      </c>
      <c r="P3604" s="5" t="s">
        <v>1456</v>
      </c>
      <c r="Q3604" s="2"/>
      <c r="R3604" s="2"/>
      <c r="S3604" s="14"/>
      <c r="T3604" s="14"/>
      <c r="U3604" s="14">
        <v>135000</v>
      </c>
      <c r="V3604" s="14">
        <f t="shared" si="2527"/>
        <v>151200</v>
      </c>
      <c r="W3604" s="2" t="s">
        <v>1521</v>
      </c>
      <c r="X3604" s="2">
        <v>2016</v>
      </c>
      <c r="Y3604" s="15"/>
    </row>
    <row r="3605" spans="1:25" s="12" customFormat="1" ht="51" customHeight="1" outlineLevel="1" x14ac:dyDescent="0.25">
      <c r="B3605" s="2" t="s">
        <v>1539</v>
      </c>
      <c r="C3605" s="5" t="s">
        <v>83</v>
      </c>
      <c r="D3605" s="5" t="s">
        <v>1540</v>
      </c>
      <c r="E3605" s="5" t="s">
        <v>1541</v>
      </c>
      <c r="F3605" s="5" t="s">
        <v>1541</v>
      </c>
      <c r="G3605" s="5" t="s">
        <v>1542</v>
      </c>
      <c r="H3605" s="2" t="s">
        <v>694</v>
      </c>
      <c r="I3605" s="4">
        <v>1</v>
      </c>
      <c r="J3605" s="13">
        <v>710000000</v>
      </c>
      <c r="K3605" s="5" t="s">
        <v>89</v>
      </c>
      <c r="L3605" s="5" t="s">
        <v>90</v>
      </c>
      <c r="M3605" s="5" t="s">
        <v>787</v>
      </c>
      <c r="N3605" s="2"/>
      <c r="O3605" s="5" t="s">
        <v>697</v>
      </c>
      <c r="P3605" s="5" t="s">
        <v>1456</v>
      </c>
      <c r="Q3605" s="2"/>
      <c r="R3605" s="5"/>
      <c r="S3605" s="14"/>
      <c r="T3605" s="14"/>
      <c r="U3605" s="14">
        <v>920089.29</v>
      </c>
      <c r="V3605" s="14">
        <f>U3605*1.12</f>
        <v>1030500.0048000001</v>
      </c>
      <c r="W3605" s="2" t="s">
        <v>1521</v>
      </c>
      <c r="X3605" s="2">
        <v>2016</v>
      </c>
      <c r="Y3605" s="15"/>
    </row>
    <row r="3606" spans="1:25" s="12" customFormat="1" ht="51" customHeight="1" outlineLevel="1" x14ac:dyDescent="0.25">
      <c r="B3606" s="2" t="s">
        <v>1543</v>
      </c>
      <c r="C3606" s="5" t="s">
        <v>83</v>
      </c>
      <c r="D3606" s="5" t="s">
        <v>1544</v>
      </c>
      <c r="E3606" s="5" t="s">
        <v>1545</v>
      </c>
      <c r="F3606" s="5" t="s">
        <v>1545</v>
      </c>
      <c r="G3606" s="5" t="s">
        <v>1546</v>
      </c>
      <c r="H3606" s="2" t="s">
        <v>694</v>
      </c>
      <c r="I3606" s="4">
        <v>1</v>
      </c>
      <c r="J3606" s="13">
        <v>710000000</v>
      </c>
      <c r="K3606" s="5" t="s">
        <v>89</v>
      </c>
      <c r="L3606" s="5" t="s">
        <v>90</v>
      </c>
      <c r="M3606" s="5" t="s">
        <v>696</v>
      </c>
      <c r="N3606" s="2"/>
      <c r="O3606" s="5" t="s">
        <v>697</v>
      </c>
      <c r="P3606" s="5" t="s">
        <v>1456</v>
      </c>
      <c r="Q3606" s="2"/>
      <c r="R3606" s="5"/>
      <c r="S3606" s="14"/>
      <c r="T3606" s="14"/>
      <c r="U3606" s="14">
        <v>160000</v>
      </c>
      <c r="V3606" s="14">
        <f>U3606*1.12</f>
        <v>179200.00000000003</v>
      </c>
      <c r="W3606" s="2" t="s">
        <v>1521</v>
      </c>
      <c r="X3606" s="2">
        <v>2016</v>
      </c>
      <c r="Y3606" s="15"/>
    </row>
    <row r="3607" spans="1:25" s="12" customFormat="1" ht="102" customHeight="1" outlineLevel="1" x14ac:dyDescent="0.25">
      <c r="B3607" s="2" t="s">
        <v>2020</v>
      </c>
      <c r="C3607" s="5" t="s">
        <v>83</v>
      </c>
      <c r="D3607" s="5" t="s">
        <v>2021</v>
      </c>
      <c r="E3607" s="5" t="s">
        <v>2022</v>
      </c>
      <c r="F3607" s="5" t="s">
        <v>2022</v>
      </c>
      <c r="G3607" s="5"/>
      <c r="H3607" s="2" t="s">
        <v>694</v>
      </c>
      <c r="I3607" s="4">
        <v>0.5</v>
      </c>
      <c r="J3607" s="13">
        <v>710000000</v>
      </c>
      <c r="K3607" s="5" t="s">
        <v>89</v>
      </c>
      <c r="L3607" s="5" t="s">
        <v>90</v>
      </c>
      <c r="M3607" s="5" t="s">
        <v>1819</v>
      </c>
      <c r="N3607" s="2"/>
      <c r="O3607" s="5" t="s">
        <v>697</v>
      </c>
      <c r="P3607" s="5" t="s">
        <v>1456</v>
      </c>
      <c r="Q3607" s="2"/>
      <c r="R3607" s="5"/>
      <c r="S3607" s="14"/>
      <c r="T3607" s="14"/>
      <c r="U3607" s="14">
        <v>0</v>
      </c>
      <c r="V3607" s="14">
        <f t="shared" ref="V3607:V3609" si="2530">U3607*1.12</f>
        <v>0</v>
      </c>
      <c r="W3607" s="2" t="s">
        <v>1521</v>
      </c>
      <c r="X3607" s="2">
        <v>2016</v>
      </c>
      <c r="Y3607" s="15" t="s">
        <v>8800</v>
      </c>
    </row>
    <row r="3608" spans="1:25" s="12" customFormat="1" ht="102" customHeight="1" outlineLevel="1" x14ac:dyDescent="0.25">
      <c r="B3608" s="2" t="s">
        <v>8709</v>
      </c>
      <c r="C3608" s="5" t="s">
        <v>83</v>
      </c>
      <c r="D3608" s="5" t="s">
        <v>2021</v>
      </c>
      <c r="E3608" s="5" t="s">
        <v>2022</v>
      </c>
      <c r="F3608" s="5" t="s">
        <v>2022</v>
      </c>
      <c r="G3608" s="5" t="s">
        <v>8799</v>
      </c>
      <c r="H3608" s="2" t="s">
        <v>694</v>
      </c>
      <c r="I3608" s="4">
        <v>0.5</v>
      </c>
      <c r="J3608" s="13">
        <v>710000000</v>
      </c>
      <c r="K3608" s="5" t="s">
        <v>89</v>
      </c>
      <c r="L3608" s="5" t="s">
        <v>8710</v>
      </c>
      <c r="M3608" s="5" t="s">
        <v>1819</v>
      </c>
      <c r="N3608" s="2"/>
      <c r="O3608" s="5" t="s">
        <v>697</v>
      </c>
      <c r="P3608" s="5" t="s">
        <v>1456</v>
      </c>
      <c r="Q3608" s="2"/>
      <c r="R3608" s="5"/>
      <c r="S3608" s="14"/>
      <c r="T3608" s="14"/>
      <c r="U3608" s="14">
        <v>1477610</v>
      </c>
      <c r="V3608" s="14">
        <f t="shared" ref="V3608" si="2531">U3608*1.12</f>
        <v>1654923.2000000002</v>
      </c>
      <c r="W3608" s="2" t="s">
        <v>1521</v>
      </c>
      <c r="X3608" s="2">
        <v>2016</v>
      </c>
      <c r="Y3608" s="15"/>
    </row>
    <row r="3609" spans="1:25" s="12" customFormat="1" ht="63.75" customHeight="1" outlineLevel="1" x14ac:dyDescent="0.25">
      <c r="B3609" s="2" t="s">
        <v>2023</v>
      </c>
      <c r="C3609" s="5" t="s">
        <v>83</v>
      </c>
      <c r="D3609" s="5" t="s">
        <v>2024</v>
      </c>
      <c r="E3609" s="5" t="s">
        <v>2025</v>
      </c>
      <c r="F3609" s="5" t="s">
        <v>2025</v>
      </c>
      <c r="G3609" s="5"/>
      <c r="H3609" s="2" t="s">
        <v>694</v>
      </c>
      <c r="I3609" s="4">
        <v>0.5</v>
      </c>
      <c r="J3609" s="13">
        <v>710000000</v>
      </c>
      <c r="K3609" s="5" t="s">
        <v>89</v>
      </c>
      <c r="L3609" s="5" t="s">
        <v>90</v>
      </c>
      <c r="M3609" s="5" t="s">
        <v>1819</v>
      </c>
      <c r="N3609" s="2"/>
      <c r="O3609" s="5" t="s">
        <v>697</v>
      </c>
      <c r="P3609" s="5" t="s">
        <v>1456</v>
      </c>
      <c r="Q3609" s="2"/>
      <c r="R3609" s="5"/>
      <c r="S3609" s="14"/>
      <c r="T3609" s="14"/>
      <c r="U3609" s="14">
        <v>510918.74999999994</v>
      </c>
      <c r="V3609" s="14">
        <f t="shared" si="2530"/>
        <v>572229</v>
      </c>
      <c r="W3609" s="2" t="s">
        <v>1521</v>
      </c>
      <c r="X3609" s="2">
        <v>2016</v>
      </c>
      <c r="Y3609" s="15"/>
    </row>
    <row r="3610" spans="1:25" s="12" customFormat="1" ht="89.25" customHeight="1" outlineLevel="1" x14ac:dyDescent="0.2">
      <c r="A3610" s="24"/>
      <c r="B3610" s="2" t="s">
        <v>2333</v>
      </c>
      <c r="C3610" s="5" t="s">
        <v>83</v>
      </c>
      <c r="D3610" s="5" t="s">
        <v>1496</v>
      </c>
      <c r="E3610" s="5" t="s">
        <v>1497</v>
      </c>
      <c r="F3610" s="5" t="s">
        <v>1498</v>
      </c>
      <c r="G3610" s="5" t="s">
        <v>2332</v>
      </c>
      <c r="H3610" s="5" t="s">
        <v>694</v>
      </c>
      <c r="I3610" s="4">
        <v>1</v>
      </c>
      <c r="J3610" s="13">
        <v>710000000</v>
      </c>
      <c r="K3610" s="5" t="s">
        <v>89</v>
      </c>
      <c r="L3610" s="5" t="s">
        <v>1466</v>
      </c>
      <c r="M3610" s="5" t="s">
        <v>1520</v>
      </c>
      <c r="N3610" s="2"/>
      <c r="O3610" s="5" t="s">
        <v>2018</v>
      </c>
      <c r="P3610" s="5" t="s">
        <v>2334</v>
      </c>
      <c r="Q3610" s="2"/>
      <c r="R3610" s="5"/>
      <c r="S3610" s="18"/>
      <c r="T3610" s="18"/>
      <c r="U3610" s="18">
        <v>0</v>
      </c>
      <c r="V3610" s="18">
        <f t="shared" ref="V3610:V3616" si="2532">U3610*1.12</f>
        <v>0</v>
      </c>
      <c r="W3610" s="18" t="s">
        <v>1521</v>
      </c>
      <c r="X3610" s="2">
        <v>2016</v>
      </c>
      <c r="Y3610" s="15" t="s">
        <v>1590</v>
      </c>
    </row>
    <row r="3611" spans="1:25" s="12" customFormat="1" ht="89.25" customHeight="1" outlineLevel="1" x14ac:dyDescent="0.25">
      <c r="B3611" s="2" t="s">
        <v>7512</v>
      </c>
      <c r="C3611" s="5" t="s">
        <v>83</v>
      </c>
      <c r="D3611" s="5" t="s">
        <v>1496</v>
      </c>
      <c r="E3611" s="5" t="s">
        <v>1497</v>
      </c>
      <c r="F3611" s="5" t="s">
        <v>1498</v>
      </c>
      <c r="G3611" s="5" t="s">
        <v>2332</v>
      </c>
      <c r="H3611" s="5" t="s">
        <v>694</v>
      </c>
      <c r="I3611" s="4">
        <v>1</v>
      </c>
      <c r="J3611" s="13">
        <v>710000000</v>
      </c>
      <c r="K3611" s="5" t="s">
        <v>89</v>
      </c>
      <c r="L3611" s="5" t="s">
        <v>754</v>
      </c>
      <c r="M3611" s="5" t="s">
        <v>1520</v>
      </c>
      <c r="N3611" s="2"/>
      <c r="O3611" s="5" t="s">
        <v>2018</v>
      </c>
      <c r="P3611" s="5" t="s">
        <v>2334</v>
      </c>
      <c r="Q3611" s="2"/>
      <c r="R3611" s="5"/>
      <c r="S3611" s="18"/>
      <c r="T3611" s="18"/>
      <c r="U3611" s="18">
        <v>800000</v>
      </c>
      <c r="V3611" s="18">
        <f t="shared" si="2532"/>
        <v>896000.00000000012</v>
      </c>
      <c r="W3611" s="18" t="s">
        <v>1521</v>
      </c>
      <c r="X3611" s="2">
        <v>2016</v>
      </c>
      <c r="Y3611" s="15"/>
    </row>
    <row r="3612" spans="1:25" s="12" customFormat="1" ht="114.75" customHeight="1" outlineLevel="1" x14ac:dyDescent="0.25">
      <c r="B3612" s="2" t="s">
        <v>7485</v>
      </c>
      <c r="C3612" s="5" t="s">
        <v>83</v>
      </c>
      <c r="D3612" s="5" t="s">
        <v>7487</v>
      </c>
      <c r="E3612" s="5" t="s">
        <v>7488</v>
      </c>
      <c r="F3612" s="5" t="s">
        <v>7488</v>
      </c>
      <c r="G3612" s="5" t="s">
        <v>7486</v>
      </c>
      <c r="H3612" s="5" t="s">
        <v>694</v>
      </c>
      <c r="I3612" s="4">
        <v>1</v>
      </c>
      <c r="J3612" s="13">
        <v>710000000</v>
      </c>
      <c r="K3612" s="5" t="s">
        <v>89</v>
      </c>
      <c r="L3612" s="5" t="s">
        <v>754</v>
      </c>
      <c r="M3612" s="5" t="s">
        <v>672</v>
      </c>
      <c r="N3612" s="2"/>
      <c r="O3612" s="5" t="s">
        <v>2018</v>
      </c>
      <c r="P3612" s="5" t="s">
        <v>2334</v>
      </c>
      <c r="Q3612" s="2"/>
      <c r="R3612" s="5"/>
      <c r="S3612" s="18"/>
      <c r="T3612" s="18"/>
      <c r="U3612" s="18">
        <v>1662928.57</v>
      </c>
      <c r="V3612" s="18">
        <f t="shared" si="2532"/>
        <v>1862479.9984000002</v>
      </c>
      <c r="W3612" s="18" t="s">
        <v>1521</v>
      </c>
      <c r="X3612" s="2">
        <v>2016</v>
      </c>
      <c r="Y3612" s="15"/>
    </row>
    <row r="3613" spans="1:25" s="12" customFormat="1" ht="63.75" customHeight="1" outlineLevel="1" x14ac:dyDescent="0.25">
      <c r="B3613" s="2" t="s">
        <v>7730</v>
      </c>
      <c r="C3613" s="5" t="s">
        <v>83</v>
      </c>
      <c r="D3613" s="5" t="s">
        <v>7731</v>
      </c>
      <c r="E3613" s="5" t="s">
        <v>7732</v>
      </c>
      <c r="F3613" s="5" t="s">
        <v>7732</v>
      </c>
      <c r="G3613" s="5"/>
      <c r="H3613" s="5" t="s">
        <v>694</v>
      </c>
      <c r="I3613" s="4">
        <v>1</v>
      </c>
      <c r="J3613" s="13">
        <v>710000000</v>
      </c>
      <c r="K3613" s="5" t="s">
        <v>89</v>
      </c>
      <c r="L3613" s="5" t="s">
        <v>754</v>
      </c>
      <c r="M3613" s="5" t="s">
        <v>696</v>
      </c>
      <c r="N3613" s="2"/>
      <c r="O3613" s="5" t="s">
        <v>2018</v>
      </c>
      <c r="P3613" s="5" t="s">
        <v>2334</v>
      </c>
      <c r="Q3613" s="2"/>
      <c r="R3613" s="5"/>
      <c r="S3613" s="18"/>
      <c r="T3613" s="18"/>
      <c r="U3613" s="18">
        <v>0</v>
      </c>
      <c r="V3613" s="18">
        <f t="shared" si="2532"/>
        <v>0</v>
      </c>
      <c r="W3613" s="18" t="s">
        <v>1521</v>
      </c>
      <c r="X3613" s="2">
        <v>2016</v>
      </c>
      <c r="Y3613" s="15" t="s">
        <v>8482</v>
      </c>
    </row>
    <row r="3614" spans="1:25" s="12" customFormat="1" ht="63.75" customHeight="1" outlineLevel="1" x14ac:dyDescent="0.25">
      <c r="B3614" s="2" t="s">
        <v>8961</v>
      </c>
      <c r="C3614" s="5" t="s">
        <v>83</v>
      </c>
      <c r="D3614" s="5" t="s">
        <v>7731</v>
      </c>
      <c r="E3614" s="5" t="s">
        <v>7732</v>
      </c>
      <c r="F3614" s="5" t="s">
        <v>7732</v>
      </c>
      <c r="G3614" s="5"/>
      <c r="H3614" s="5" t="s">
        <v>694</v>
      </c>
      <c r="I3614" s="4">
        <v>1</v>
      </c>
      <c r="J3614" s="13">
        <v>710000000</v>
      </c>
      <c r="K3614" s="5" t="s">
        <v>89</v>
      </c>
      <c r="L3614" s="5" t="s">
        <v>8491</v>
      </c>
      <c r="M3614" s="5" t="s">
        <v>696</v>
      </c>
      <c r="N3614" s="2"/>
      <c r="O3614" s="5" t="s">
        <v>2018</v>
      </c>
      <c r="P3614" s="5" t="s">
        <v>2334</v>
      </c>
      <c r="Q3614" s="2"/>
      <c r="R3614" s="5"/>
      <c r="S3614" s="18"/>
      <c r="T3614" s="18"/>
      <c r="U3614" s="18">
        <f>200000+200000</f>
        <v>400000</v>
      </c>
      <c r="V3614" s="18">
        <f t="shared" ref="V3614" si="2533">U3614*1.12</f>
        <v>448000.00000000006</v>
      </c>
      <c r="W3614" s="18"/>
      <c r="X3614" s="2">
        <v>2016</v>
      </c>
      <c r="Y3614" s="15"/>
    </row>
    <row r="3615" spans="1:25" s="12" customFormat="1" ht="51" customHeight="1" outlineLevel="1" x14ac:dyDescent="0.25">
      <c r="B3615" s="2" t="s">
        <v>7751</v>
      </c>
      <c r="C3615" s="5" t="s">
        <v>83</v>
      </c>
      <c r="D3615" s="5" t="s">
        <v>7748</v>
      </c>
      <c r="E3615" s="5" t="s">
        <v>7749</v>
      </c>
      <c r="F3615" s="5" t="s">
        <v>7749</v>
      </c>
      <c r="G3615" s="5" t="s">
        <v>7750</v>
      </c>
      <c r="H3615" s="5" t="s">
        <v>694</v>
      </c>
      <c r="I3615" s="4">
        <v>1</v>
      </c>
      <c r="J3615" s="13">
        <v>710000000</v>
      </c>
      <c r="K3615" s="5" t="s">
        <v>89</v>
      </c>
      <c r="L3615" s="5" t="s">
        <v>754</v>
      </c>
      <c r="M3615" s="5" t="s">
        <v>696</v>
      </c>
      <c r="N3615" s="2"/>
      <c r="O3615" s="5" t="s">
        <v>2018</v>
      </c>
      <c r="P3615" s="5" t="s">
        <v>2334</v>
      </c>
      <c r="Q3615" s="2"/>
      <c r="R3615" s="5"/>
      <c r="S3615" s="18"/>
      <c r="T3615" s="18"/>
      <c r="U3615" s="18">
        <v>1505653.92</v>
      </c>
      <c r="V3615" s="18">
        <f>U3615*1.12</f>
        <v>1686332.3904000001</v>
      </c>
      <c r="W3615" s="18" t="s">
        <v>1521</v>
      </c>
      <c r="X3615" s="2">
        <v>2016</v>
      </c>
      <c r="Y3615" s="15"/>
    </row>
    <row r="3616" spans="1:25" s="12" customFormat="1" ht="38.25" customHeight="1" outlineLevel="1" x14ac:dyDescent="0.25">
      <c r="B3616" s="2" t="s">
        <v>7814</v>
      </c>
      <c r="C3616" s="5" t="s">
        <v>83</v>
      </c>
      <c r="D3616" s="5" t="s">
        <v>7815</v>
      </c>
      <c r="E3616" s="5" t="s">
        <v>7816</v>
      </c>
      <c r="F3616" s="5" t="s">
        <v>7817</v>
      </c>
      <c r="G3616" s="5" t="s">
        <v>7818</v>
      </c>
      <c r="H3616" s="5" t="s">
        <v>694</v>
      </c>
      <c r="I3616" s="4">
        <v>1</v>
      </c>
      <c r="J3616" s="13">
        <v>710000000</v>
      </c>
      <c r="K3616" s="5" t="s">
        <v>89</v>
      </c>
      <c r="L3616" s="5" t="s">
        <v>754</v>
      </c>
      <c r="M3616" s="5" t="s">
        <v>1520</v>
      </c>
      <c r="N3616" s="2"/>
      <c r="O3616" s="5" t="s">
        <v>2018</v>
      </c>
      <c r="P3616" s="5" t="s">
        <v>2334</v>
      </c>
      <c r="Q3616" s="2"/>
      <c r="R3616" s="5"/>
      <c r="S3616" s="18"/>
      <c r="T3616" s="18"/>
      <c r="U3616" s="18">
        <v>0</v>
      </c>
      <c r="V3616" s="18">
        <f t="shared" si="2532"/>
        <v>0</v>
      </c>
      <c r="W3616" s="18"/>
      <c r="X3616" s="2">
        <v>2016</v>
      </c>
      <c r="Y3616" s="15" t="s">
        <v>8847</v>
      </c>
    </row>
    <row r="3617" spans="2:25" s="12" customFormat="1" ht="38.25" customHeight="1" outlineLevel="1" x14ac:dyDescent="0.25">
      <c r="B3617" s="2" t="s">
        <v>8712</v>
      </c>
      <c r="C3617" s="5" t="s">
        <v>83</v>
      </c>
      <c r="D3617" s="5" t="s">
        <v>7815</v>
      </c>
      <c r="E3617" s="5" t="s">
        <v>7816</v>
      </c>
      <c r="F3617" s="5" t="s">
        <v>7817</v>
      </c>
      <c r="G3617" s="5" t="s">
        <v>8713</v>
      </c>
      <c r="H3617" s="5" t="s">
        <v>694</v>
      </c>
      <c r="I3617" s="4">
        <v>1</v>
      </c>
      <c r="J3617" s="13">
        <v>710000000</v>
      </c>
      <c r="K3617" s="5" t="s">
        <v>89</v>
      </c>
      <c r="L3617" s="5" t="s">
        <v>8710</v>
      </c>
      <c r="M3617" s="5" t="s">
        <v>1494</v>
      </c>
      <c r="N3617" s="2"/>
      <c r="O3617" s="5" t="s">
        <v>2018</v>
      </c>
      <c r="P3617" s="5" t="s">
        <v>2334</v>
      </c>
      <c r="Q3617" s="2"/>
      <c r="R3617" s="5"/>
      <c r="S3617" s="18"/>
      <c r="T3617" s="18"/>
      <c r="U3617" s="18">
        <v>47321.428500000002</v>
      </c>
      <c r="V3617" s="18">
        <f t="shared" ref="V3617" si="2534">U3617*1.12</f>
        <v>52999.999920000009</v>
      </c>
      <c r="W3617" s="18"/>
      <c r="X3617" s="2">
        <v>2016</v>
      </c>
      <c r="Y3617" s="15"/>
    </row>
    <row r="3618" spans="2:25" s="12" customFormat="1" ht="76.5" customHeight="1" outlineLevel="1" x14ac:dyDescent="0.25">
      <c r="B3618" s="2" t="s">
        <v>8428</v>
      </c>
      <c r="C3618" s="5" t="s">
        <v>83</v>
      </c>
      <c r="D3618" s="5" t="s">
        <v>8429</v>
      </c>
      <c r="E3618" s="5" t="s">
        <v>8430</v>
      </c>
      <c r="F3618" s="5" t="s">
        <v>8430</v>
      </c>
      <c r="G3618" s="5" t="s">
        <v>8431</v>
      </c>
      <c r="H3618" s="5" t="s">
        <v>694</v>
      </c>
      <c r="I3618" s="4">
        <v>0</v>
      </c>
      <c r="J3618" s="13">
        <v>710000000</v>
      </c>
      <c r="K3618" s="5" t="s">
        <v>89</v>
      </c>
      <c r="L3618" s="5" t="s">
        <v>1735</v>
      </c>
      <c r="M3618" s="5" t="s">
        <v>1481</v>
      </c>
      <c r="N3618" s="2"/>
      <c r="O3618" s="5" t="s">
        <v>2018</v>
      </c>
      <c r="P3618" s="5" t="s">
        <v>2334</v>
      </c>
      <c r="Q3618" s="2"/>
      <c r="R3618" s="5"/>
      <c r="S3618" s="18"/>
      <c r="T3618" s="18"/>
      <c r="U3618" s="18">
        <v>25358</v>
      </c>
      <c r="V3618" s="18">
        <f t="shared" ref="V3618" si="2535">U3618*1.12</f>
        <v>28400.960000000003</v>
      </c>
      <c r="W3618" s="18"/>
      <c r="X3618" s="2">
        <v>2016</v>
      </c>
      <c r="Y3618" s="15"/>
    </row>
    <row r="3619" spans="2:25" s="12" customFormat="1" ht="76.5" customHeight="1" outlineLevel="1" x14ac:dyDescent="0.25">
      <c r="B3619" s="2" t="s">
        <v>8432</v>
      </c>
      <c r="C3619" s="5" t="s">
        <v>83</v>
      </c>
      <c r="D3619" s="5" t="s">
        <v>8433</v>
      </c>
      <c r="E3619" s="5" t="s">
        <v>8434</v>
      </c>
      <c r="F3619" s="5" t="s">
        <v>8434</v>
      </c>
      <c r="G3619" s="5" t="s">
        <v>8438</v>
      </c>
      <c r="H3619" s="5" t="s">
        <v>694</v>
      </c>
      <c r="I3619" s="4">
        <v>0</v>
      </c>
      <c r="J3619" s="13">
        <v>710000000</v>
      </c>
      <c r="K3619" s="5" t="s">
        <v>89</v>
      </c>
      <c r="L3619" s="5" t="s">
        <v>1735</v>
      </c>
      <c r="M3619" s="5" t="s">
        <v>1481</v>
      </c>
      <c r="N3619" s="2"/>
      <c r="O3619" s="5" t="s">
        <v>2018</v>
      </c>
      <c r="P3619" s="5" t="s">
        <v>2334</v>
      </c>
      <c r="Q3619" s="2"/>
      <c r="R3619" s="5"/>
      <c r="S3619" s="18"/>
      <c r="T3619" s="18"/>
      <c r="U3619" s="18">
        <v>1536160.71</v>
      </c>
      <c r="V3619" s="18">
        <f t="shared" ref="V3619:V3620" si="2536">U3619*1.12</f>
        <v>1720499.9952000002</v>
      </c>
      <c r="W3619" s="18"/>
      <c r="X3619" s="2">
        <v>2016</v>
      </c>
      <c r="Y3619" s="15"/>
    </row>
    <row r="3620" spans="2:25" s="12" customFormat="1" ht="63.75" customHeight="1" outlineLevel="1" x14ac:dyDescent="0.25">
      <c r="B3620" s="2" t="s">
        <v>8480</v>
      </c>
      <c r="C3620" s="3" t="s">
        <v>83</v>
      </c>
      <c r="D3620" s="3" t="s">
        <v>1537</v>
      </c>
      <c r="E3620" s="3" t="s">
        <v>1538</v>
      </c>
      <c r="F3620" s="3" t="s">
        <v>1538</v>
      </c>
      <c r="G3620" s="5" t="s">
        <v>8481</v>
      </c>
      <c r="H3620" s="5" t="s">
        <v>694</v>
      </c>
      <c r="I3620" s="4">
        <v>0</v>
      </c>
      <c r="J3620" s="13">
        <v>710000000</v>
      </c>
      <c r="K3620" s="5" t="s">
        <v>89</v>
      </c>
      <c r="L3620" s="5" t="s">
        <v>1735</v>
      </c>
      <c r="M3620" s="6" t="s">
        <v>1481</v>
      </c>
      <c r="N3620" s="2"/>
      <c r="O3620" s="5" t="s">
        <v>697</v>
      </c>
      <c r="P3620" s="5" t="s">
        <v>1456</v>
      </c>
      <c r="Q3620" s="2"/>
      <c r="R3620" s="2"/>
      <c r="S3620" s="14"/>
      <c r="T3620" s="14"/>
      <c r="U3620" s="14">
        <v>687366.07</v>
      </c>
      <c r="V3620" s="14">
        <f t="shared" si="2536"/>
        <v>769849.99840000004</v>
      </c>
      <c r="W3620" s="2"/>
      <c r="X3620" s="2">
        <v>2016</v>
      </c>
      <c r="Y3620" s="15"/>
    </row>
    <row r="3621" spans="2:25" s="12" customFormat="1" ht="89.25" customHeight="1" outlineLevel="1" x14ac:dyDescent="0.25">
      <c r="B3621" s="2" t="s">
        <v>8483</v>
      </c>
      <c r="C3621" s="3" t="s">
        <v>83</v>
      </c>
      <c r="D3621" s="3" t="s">
        <v>8484</v>
      </c>
      <c r="E3621" s="3" t="s">
        <v>8485</v>
      </c>
      <c r="F3621" s="3" t="s">
        <v>8485</v>
      </c>
      <c r="G3621" s="5" t="s">
        <v>8486</v>
      </c>
      <c r="H3621" s="5" t="s">
        <v>694</v>
      </c>
      <c r="I3621" s="4">
        <v>0</v>
      </c>
      <c r="J3621" s="13">
        <v>710000000</v>
      </c>
      <c r="K3621" s="5" t="s">
        <v>89</v>
      </c>
      <c r="L3621" s="5" t="s">
        <v>1735</v>
      </c>
      <c r="M3621" s="6" t="s">
        <v>1481</v>
      </c>
      <c r="N3621" s="2"/>
      <c r="O3621" s="5" t="s">
        <v>697</v>
      </c>
      <c r="P3621" s="5" t="s">
        <v>1456</v>
      </c>
      <c r="Q3621" s="2"/>
      <c r="R3621" s="2"/>
      <c r="S3621" s="14"/>
      <c r="T3621" s="14"/>
      <c r="U3621" s="14">
        <v>1810000</v>
      </c>
      <c r="V3621" s="14">
        <f t="shared" ref="V3621" si="2537">U3621*1.12</f>
        <v>2027200.0000000002</v>
      </c>
      <c r="W3621" s="2"/>
      <c r="X3621" s="2">
        <v>2016</v>
      </c>
      <c r="Y3621" s="15"/>
    </row>
    <row r="3622" spans="2:25" s="12" customFormat="1" ht="63.75" customHeight="1" outlineLevel="1" x14ac:dyDescent="0.25">
      <c r="B3622" s="2" t="s">
        <v>8487</v>
      </c>
      <c r="C3622" s="3" t="s">
        <v>83</v>
      </c>
      <c r="D3622" s="3" t="s">
        <v>1489</v>
      </c>
      <c r="E3622" s="3" t="s">
        <v>1490</v>
      </c>
      <c r="F3622" s="3" t="s">
        <v>1490</v>
      </c>
      <c r="G3622" s="5" t="s">
        <v>8497</v>
      </c>
      <c r="H3622" s="5" t="s">
        <v>694</v>
      </c>
      <c r="I3622" s="4">
        <v>0</v>
      </c>
      <c r="J3622" s="13">
        <v>710000000</v>
      </c>
      <c r="K3622" s="5" t="s">
        <v>89</v>
      </c>
      <c r="L3622" s="5" t="s">
        <v>1735</v>
      </c>
      <c r="M3622" s="6" t="s">
        <v>1481</v>
      </c>
      <c r="N3622" s="2"/>
      <c r="O3622" s="5" t="s">
        <v>697</v>
      </c>
      <c r="P3622" s="5" t="s">
        <v>1456</v>
      </c>
      <c r="Q3622" s="2"/>
      <c r="R3622" s="2"/>
      <c r="S3622" s="14"/>
      <c r="T3622" s="14"/>
      <c r="U3622" s="14">
        <v>1183035.71</v>
      </c>
      <c r="V3622" s="14">
        <f t="shared" ref="V3622" si="2538">U3622*1.12</f>
        <v>1324999.9952</v>
      </c>
      <c r="W3622" s="2"/>
      <c r="X3622" s="2">
        <v>2016</v>
      </c>
      <c r="Y3622" s="15"/>
    </row>
    <row r="3623" spans="2:25" s="12" customFormat="1" ht="178.5" customHeight="1" outlineLevel="1" x14ac:dyDescent="0.25">
      <c r="B3623" s="2" t="s">
        <v>8488</v>
      </c>
      <c r="C3623" s="3" t="s">
        <v>83</v>
      </c>
      <c r="D3623" s="3" t="s">
        <v>1523</v>
      </c>
      <c r="E3623" s="3" t="s">
        <v>1524</v>
      </c>
      <c r="F3623" s="3" t="s">
        <v>1525</v>
      </c>
      <c r="G3623" s="5" t="s">
        <v>8489</v>
      </c>
      <c r="H3623" s="5" t="s">
        <v>694</v>
      </c>
      <c r="I3623" s="4">
        <v>0</v>
      </c>
      <c r="J3623" s="13">
        <v>710000000</v>
      </c>
      <c r="K3623" s="5" t="s">
        <v>89</v>
      </c>
      <c r="L3623" s="5" t="s">
        <v>1735</v>
      </c>
      <c r="M3623" s="6" t="s">
        <v>1481</v>
      </c>
      <c r="N3623" s="2"/>
      <c r="O3623" s="5" t="s">
        <v>8498</v>
      </c>
      <c r="P3623" s="5" t="s">
        <v>1456</v>
      </c>
      <c r="Q3623" s="2"/>
      <c r="R3623" s="2"/>
      <c r="S3623" s="14"/>
      <c r="T3623" s="14"/>
      <c r="U3623" s="14">
        <v>0</v>
      </c>
      <c r="V3623" s="14">
        <f t="shared" ref="V3623" si="2539">U3623*1.12</f>
        <v>0</v>
      </c>
      <c r="W3623" s="2"/>
      <c r="X3623" s="2">
        <v>2016</v>
      </c>
      <c r="Y3623" s="15" t="s">
        <v>8706</v>
      </c>
    </row>
    <row r="3624" spans="2:25" s="12" customFormat="1" ht="178.5" customHeight="1" outlineLevel="1" x14ac:dyDescent="0.25">
      <c r="B3624" s="2" t="s">
        <v>8704</v>
      </c>
      <c r="C3624" s="3" t="s">
        <v>83</v>
      </c>
      <c r="D3624" s="3" t="s">
        <v>1523</v>
      </c>
      <c r="E3624" s="3" t="s">
        <v>1524</v>
      </c>
      <c r="F3624" s="3" t="s">
        <v>1525</v>
      </c>
      <c r="G3624" s="5" t="s">
        <v>8705</v>
      </c>
      <c r="H3624" s="5" t="s">
        <v>694</v>
      </c>
      <c r="I3624" s="4">
        <v>0</v>
      </c>
      <c r="J3624" s="13">
        <v>710000000</v>
      </c>
      <c r="K3624" s="5" t="s">
        <v>89</v>
      </c>
      <c r="L3624" s="5" t="s">
        <v>1735</v>
      </c>
      <c r="M3624" s="6" t="s">
        <v>1481</v>
      </c>
      <c r="N3624" s="2"/>
      <c r="O3624" s="5" t="s">
        <v>8498</v>
      </c>
      <c r="P3624" s="5" t="s">
        <v>1456</v>
      </c>
      <c r="Q3624" s="2"/>
      <c r="R3624" s="2"/>
      <c r="S3624" s="14"/>
      <c r="T3624" s="14"/>
      <c r="U3624" s="18">
        <v>1800000</v>
      </c>
      <c r="V3624" s="18">
        <f t="shared" ref="V3624" si="2540">U3624*1.12</f>
        <v>2016000.0000000002</v>
      </c>
      <c r="W3624" s="2"/>
      <c r="X3624" s="2">
        <v>2016</v>
      </c>
      <c r="Y3624" s="15"/>
    </row>
    <row r="3625" spans="2:25" s="12" customFormat="1" ht="76.5" customHeight="1" outlineLevel="1" x14ac:dyDescent="0.25">
      <c r="B3625" s="2" t="s">
        <v>8567</v>
      </c>
      <c r="C3625" s="3" t="s">
        <v>83</v>
      </c>
      <c r="D3625" s="3" t="s">
        <v>8568</v>
      </c>
      <c r="E3625" s="3" t="s">
        <v>8569</v>
      </c>
      <c r="F3625" s="3" t="s">
        <v>8569</v>
      </c>
      <c r="G3625" s="5" t="s">
        <v>8815</v>
      </c>
      <c r="H3625" s="5" t="s">
        <v>694</v>
      </c>
      <c r="I3625" s="4">
        <v>0</v>
      </c>
      <c r="J3625" s="13">
        <v>710000000</v>
      </c>
      <c r="K3625" s="5" t="s">
        <v>89</v>
      </c>
      <c r="L3625" s="5" t="s">
        <v>1735</v>
      </c>
      <c r="M3625" s="6" t="s">
        <v>1481</v>
      </c>
      <c r="N3625" s="2"/>
      <c r="O3625" s="5" t="s">
        <v>697</v>
      </c>
      <c r="P3625" s="5" t="s">
        <v>1456</v>
      </c>
      <c r="Q3625" s="2"/>
      <c r="R3625" s="2"/>
      <c r="S3625" s="14"/>
      <c r="T3625" s="14"/>
      <c r="U3625" s="14">
        <v>665000</v>
      </c>
      <c r="V3625" s="14">
        <f t="shared" ref="V3625" si="2541">U3625*1.12</f>
        <v>744800.00000000012</v>
      </c>
      <c r="W3625" s="2"/>
      <c r="X3625" s="2">
        <v>2016</v>
      </c>
      <c r="Y3625" s="15"/>
    </row>
    <row r="3626" spans="2:25" s="12" customFormat="1" ht="89.25" customHeight="1" outlineLevel="1" x14ac:dyDescent="0.25">
      <c r="B3626" s="2" t="s">
        <v>9015</v>
      </c>
      <c r="C3626" s="3" t="s">
        <v>83</v>
      </c>
      <c r="D3626" s="3" t="s">
        <v>1470</v>
      </c>
      <c r="E3626" s="3" t="s">
        <v>1471</v>
      </c>
      <c r="F3626" s="3" t="s">
        <v>1471</v>
      </c>
      <c r="G3626" s="5" t="s">
        <v>9016</v>
      </c>
      <c r="H3626" s="5" t="s">
        <v>694</v>
      </c>
      <c r="I3626" s="4">
        <v>0</v>
      </c>
      <c r="J3626" s="13">
        <v>710000000</v>
      </c>
      <c r="K3626" s="5" t="s">
        <v>89</v>
      </c>
      <c r="L3626" s="5" t="s">
        <v>1735</v>
      </c>
      <c r="M3626" s="6" t="s">
        <v>1481</v>
      </c>
      <c r="N3626" s="2"/>
      <c r="O3626" s="5" t="s">
        <v>697</v>
      </c>
      <c r="P3626" s="5" t="s">
        <v>1456</v>
      </c>
      <c r="Q3626" s="2"/>
      <c r="R3626" s="2"/>
      <c r="S3626" s="14"/>
      <c r="T3626" s="14"/>
      <c r="U3626" s="14">
        <v>0</v>
      </c>
      <c r="V3626" s="14">
        <f t="shared" ref="V3626" si="2542">U3626*1.12</f>
        <v>0</v>
      </c>
      <c r="W3626" s="2"/>
      <c r="X3626" s="2">
        <v>2016</v>
      </c>
      <c r="Y3626" s="15" t="s">
        <v>8800</v>
      </c>
    </row>
    <row r="3627" spans="2:25" s="12" customFormat="1" ht="89.25" customHeight="1" outlineLevel="1" x14ac:dyDescent="0.25">
      <c r="B3627" s="2" t="s">
        <v>9637</v>
      </c>
      <c r="C3627" s="3" t="s">
        <v>83</v>
      </c>
      <c r="D3627" s="3" t="s">
        <v>1470</v>
      </c>
      <c r="E3627" s="3" t="s">
        <v>1471</v>
      </c>
      <c r="F3627" s="3" t="s">
        <v>1471</v>
      </c>
      <c r="G3627" s="5" t="s">
        <v>9639</v>
      </c>
      <c r="H3627" s="5" t="s">
        <v>694</v>
      </c>
      <c r="I3627" s="4">
        <v>0</v>
      </c>
      <c r="J3627" s="13">
        <v>710000000</v>
      </c>
      <c r="K3627" s="5" t="s">
        <v>89</v>
      </c>
      <c r="L3627" s="5" t="s">
        <v>9638</v>
      </c>
      <c r="M3627" s="6" t="s">
        <v>1481</v>
      </c>
      <c r="N3627" s="2"/>
      <c r="O3627" s="5" t="s">
        <v>697</v>
      </c>
      <c r="P3627" s="5" t="s">
        <v>1456</v>
      </c>
      <c r="Q3627" s="2"/>
      <c r="R3627" s="2"/>
      <c r="S3627" s="14"/>
      <c r="T3627" s="14"/>
      <c r="U3627" s="14">
        <f>308035.71+410714.29</f>
        <v>718750</v>
      </c>
      <c r="V3627" s="14">
        <f t="shared" ref="V3627" si="2543">U3627*1.12</f>
        <v>805000.00000000012</v>
      </c>
      <c r="W3627" s="2"/>
      <c r="X3627" s="2">
        <v>2016</v>
      </c>
      <c r="Y3627" s="15"/>
    </row>
    <row r="3628" spans="2:25" s="12" customFormat="1" ht="89.25" customHeight="1" outlineLevel="1" x14ac:dyDescent="0.25">
      <c r="B3628" s="2" t="s">
        <v>9276</v>
      </c>
      <c r="C3628" s="5" t="s">
        <v>83</v>
      </c>
      <c r="D3628" s="5" t="s">
        <v>1502</v>
      </c>
      <c r="E3628" s="5" t="s">
        <v>1503</v>
      </c>
      <c r="F3628" s="5" t="s">
        <v>1503</v>
      </c>
      <c r="G3628" s="5" t="s">
        <v>9277</v>
      </c>
      <c r="H3628" s="2" t="s">
        <v>765</v>
      </c>
      <c r="I3628" s="4">
        <v>0.5</v>
      </c>
      <c r="J3628" s="13">
        <v>710000000</v>
      </c>
      <c r="K3628" s="5" t="s">
        <v>89</v>
      </c>
      <c r="L3628" s="5" t="s">
        <v>1738</v>
      </c>
      <c r="M3628" s="6" t="s">
        <v>9278</v>
      </c>
      <c r="N3628" s="2"/>
      <c r="O3628" s="5" t="s">
        <v>697</v>
      </c>
      <c r="P3628" s="5" t="s">
        <v>1456</v>
      </c>
      <c r="Q3628" s="2"/>
      <c r="R3628" s="5"/>
      <c r="S3628" s="14"/>
      <c r="T3628" s="14"/>
      <c r="U3628" s="18">
        <v>3070749.11</v>
      </c>
      <c r="V3628" s="18">
        <f>U3628*1.12</f>
        <v>3439239.0032000002</v>
      </c>
      <c r="W3628" s="2"/>
      <c r="X3628" s="2">
        <v>2016</v>
      </c>
      <c r="Y3628" s="15"/>
    </row>
    <row r="3629" spans="2:25" s="12" customFormat="1" ht="153" customHeight="1" outlineLevel="1" x14ac:dyDescent="0.25">
      <c r="B3629" s="2" t="s">
        <v>9291</v>
      </c>
      <c r="C3629" s="5" t="s">
        <v>83</v>
      </c>
      <c r="D3629" s="5" t="s">
        <v>9297</v>
      </c>
      <c r="E3629" s="5" t="s">
        <v>9298</v>
      </c>
      <c r="F3629" s="5" t="s">
        <v>9299</v>
      </c>
      <c r="G3629" s="5" t="s">
        <v>9303</v>
      </c>
      <c r="H3629" s="5" t="s">
        <v>88</v>
      </c>
      <c r="I3629" s="4">
        <v>1</v>
      </c>
      <c r="J3629" s="13">
        <v>710000000</v>
      </c>
      <c r="K3629" s="5" t="s">
        <v>89</v>
      </c>
      <c r="L3629" s="5" t="s">
        <v>1872</v>
      </c>
      <c r="M3629" s="6" t="s">
        <v>9278</v>
      </c>
      <c r="N3629" s="2"/>
      <c r="O3629" s="5" t="s">
        <v>2018</v>
      </c>
      <c r="P3629" s="5" t="s">
        <v>1456</v>
      </c>
      <c r="Q3629" s="2"/>
      <c r="R3629" s="5"/>
      <c r="S3629" s="14"/>
      <c r="T3629" s="14"/>
      <c r="U3629" s="14">
        <v>20280875</v>
      </c>
      <c r="V3629" s="14">
        <f>U3629*1.12</f>
        <v>22714580.000000004</v>
      </c>
      <c r="W3629" s="2"/>
      <c r="X3629" s="2">
        <v>2016</v>
      </c>
      <c r="Y3629" s="15"/>
    </row>
    <row r="3630" spans="2:25" s="12" customFormat="1" ht="114.75" customHeight="1" outlineLevel="1" x14ac:dyDescent="0.25">
      <c r="B3630" s="2" t="s">
        <v>9292</v>
      </c>
      <c r="C3630" s="5" t="s">
        <v>83</v>
      </c>
      <c r="D3630" s="5" t="s">
        <v>7487</v>
      </c>
      <c r="E3630" s="5" t="s">
        <v>7488</v>
      </c>
      <c r="F3630" s="5" t="s">
        <v>7488</v>
      </c>
      <c r="G3630" s="5" t="s">
        <v>9293</v>
      </c>
      <c r="H3630" s="5" t="s">
        <v>694</v>
      </c>
      <c r="I3630" s="4">
        <v>1</v>
      </c>
      <c r="J3630" s="13">
        <v>710000000</v>
      </c>
      <c r="K3630" s="5" t="s">
        <v>89</v>
      </c>
      <c r="L3630" s="5" t="s">
        <v>1872</v>
      </c>
      <c r="M3630" s="5" t="s">
        <v>1481</v>
      </c>
      <c r="N3630" s="2"/>
      <c r="O3630" s="5" t="s">
        <v>2018</v>
      </c>
      <c r="P3630" s="5" t="s">
        <v>2334</v>
      </c>
      <c r="Q3630" s="2"/>
      <c r="R3630" s="5"/>
      <c r="S3630" s="18"/>
      <c r="T3630" s="18"/>
      <c r="U3630" s="18">
        <v>1450000</v>
      </c>
      <c r="V3630" s="18">
        <f t="shared" ref="V3630:V3634" si="2544">U3630*1.12</f>
        <v>1624000.0000000002</v>
      </c>
      <c r="W3630" s="18"/>
      <c r="X3630" s="2">
        <v>2016</v>
      </c>
      <c r="Y3630" s="15"/>
    </row>
    <row r="3631" spans="2:25" s="12" customFormat="1" ht="76.5" customHeight="1" outlineLevel="1" x14ac:dyDescent="0.25">
      <c r="B3631" s="2" t="s">
        <v>9321</v>
      </c>
      <c r="C3631" s="5" t="s">
        <v>83</v>
      </c>
      <c r="D3631" s="5" t="s">
        <v>8484</v>
      </c>
      <c r="E3631" s="5" t="s">
        <v>8485</v>
      </c>
      <c r="F3631" s="5" t="s">
        <v>8485</v>
      </c>
      <c r="G3631" s="5" t="s">
        <v>9317</v>
      </c>
      <c r="H3631" s="2" t="s">
        <v>765</v>
      </c>
      <c r="I3631" s="4">
        <v>0.5</v>
      </c>
      <c r="J3631" s="13">
        <v>710000000</v>
      </c>
      <c r="K3631" s="5" t="s">
        <v>89</v>
      </c>
      <c r="L3631" s="5" t="s">
        <v>1872</v>
      </c>
      <c r="M3631" s="6" t="s">
        <v>682</v>
      </c>
      <c r="N3631" s="2"/>
      <c r="O3631" s="5" t="s">
        <v>2018</v>
      </c>
      <c r="P3631" s="5" t="s">
        <v>2334</v>
      </c>
      <c r="Q3631" s="2"/>
      <c r="R3631" s="5"/>
      <c r="S3631" s="18"/>
      <c r="T3631" s="18"/>
      <c r="U3631" s="18">
        <v>7500000</v>
      </c>
      <c r="V3631" s="18">
        <f t="shared" si="2544"/>
        <v>8400000</v>
      </c>
      <c r="W3631" s="18"/>
      <c r="X3631" s="2">
        <v>2016</v>
      </c>
      <c r="Y3631" s="15"/>
    </row>
    <row r="3632" spans="2:25" s="12" customFormat="1" ht="102" customHeight="1" outlineLevel="1" x14ac:dyDescent="0.25">
      <c r="B3632" s="2" t="s">
        <v>9339</v>
      </c>
      <c r="C3632" s="3" t="s">
        <v>83</v>
      </c>
      <c r="D3632" s="3" t="s">
        <v>9353</v>
      </c>
      <c r="E3632" s="3" t="s">
        <v>9354</v>
      </c>
      <c r="F3632" s="3" t="s">
        <v>9354</v>
      </c>
      <c r="G3632" s="5" t="s">
        <v>9355</v>
      </c>
      <c r="H3632" s="5" t="s">
        <v>765</v>
      </c>
      <c r="I3632" s="4">
        <v>0.5</v>
      </c>
      <c r="J3632" s="13">
        <v>710000000</v>
      </c>
      <c r="K3632" s="5" t="s">
        <v>89</v>
      </c>
      <c r="L3632" s="5" t="s">
        <v>1730</v>
      </c>
      <c r="M3632" s="6" t="s">
        <v>1481</v>
      </c>
      <c r="N3632" s="2"/>
      <c r="O3632" s="5" t="s">
        <v>697</v>
      </c>
      <c r="P3632" s="5" t="s">
        <v>1456</v>
      </c>
      <c r="Q3632" s="2"/>
      <c r="R3632" s="2"/>
      <c r="S3632" s="14"/>
      <c r="T3632" s="14"/>
      <c r="U3632" s="14">
        <v>3400863</v>
      </c>
      <c r="V3632" s="14">
        <f t="shared" ref="V3632" si="2545">U3632*1.12</f>
        <v>3808966.5600000005</v>
      </c>
      <c r="W3632" s="2"/>
      <c r="X3632" s="2">
        <v>2016</v>
      </c>
      <c r="Y3632" s="15"/>
    </row>
    <row r="3633" spans="1:31" s="12" customFormat="1" ht="127.5" customHeight="1" outlineLevel="1" x14ac:dyDescent="0.25">
      <c r="B3633" s="2" t="s">
        <v>9340</v>
      </c>
      <c r="C3633" s="3" t="s">
        <v>83</v>
      </c>
      <c r="D3633" s="3" t="s">
        <v>9348</v>
      </c>
      <c r="E3633" s="3" t="s">
        <v>9349</v>
      </c>
      <c r="F3633" s="3" t="s">
        <v>9349</v>
      </c>
      <c r="G3633" s="5" t="s">
        <v>9350</v>
      </c>
      <c r="H3633" s="5" t="s">
        <v>694</v>
      </c>
      <c r="I3633" s="4">
        <v>0.5</v>
      </c>
      <c r="J3633" s="13">
        <v>710000000</v>
      </c>
      <c r="K3633" s="5" t="s">
        <v>89</v>
      </c>
      <c r="L3633" s="5" t="s">
        <v>1730</v>
      </c>
      <c r="M3633" s="6" t="s">
        <v>1481</v>
      </c>
      <c r="N3633" s="2"/>
      <c r="O3633" s="5" t="s">
        <v>697</v>
      </c>
      <c r="P3633" s="5" t="s">
        <v>1456</v>
      </c>
      <c r="Q3633" s="2"/>
      <c r="R3633" s="2"/>
      <c r="S3633" s="14"/>
      <c r="T3633" s="14"/>
      <c r="U3633" s="14">
        <v>103000</v>
      </c>
      <c r="V3633" s="14">
        <f t="shared" si="2544"/>
        <v>115360.00000000001</v>
      </c>
      <c r="W3633" s="2"/>
      <c r="X3633" s="2">
        <v>2016</v>
      </c>
      <c r="Y3633" s="15"/>
    </row>
    <row r="3634" spans="1:31" s="12" customFormat="1" ht="191.25" customHeight="1" outlineLevel="1" x14ac:dyDescent="0.25">
      <c r="B3634" s="2" t="s">
        <v>9347</v>
      </c>
      <c r="C3634" s="5" t="s">
        <v>83</v>
      </c>
      <c r="D3634" s="5" t="s">
        <v>9341</v>
      </c>
      <c r="E3634" s="5" t="s">
        <v>9342</v>
      </c>
      <c r="F3634" s="5" t="s">
        <v>9342</v>
      </c>
      <c r="G3634" s="5" t="s">
        <v>9351</v>
      </c>
      <c r="H3634" s="2" t="s">
        <v>694</v>
      </c>
      <c r="I3634" s="4">
        <v>0.5</v>
      </c>
      <c r="J3634" s="13">
        <v>710000000</v>
      </c>
      <c r="K3634" s="5" t="s">
        <v>89</v>
      </c>
      <c r="L3634" s="5" t="s">
        <v>1730</v>
      </c>
      <c r="M3634" s="3" t="s">
        <v>9343</v>
      </c>
      <c r="N3634" s="2"/>
      <c r="O3634" s="5" t="s">
        <v>2018</v>
      </c>
      <c r="P3634" s="5" t="s">
        <v>2334</v>
      </c>
      <c r="Q3634" s="2"/>
      <c r="R3634" s="5"/>
      <c r="S3634" s="18"/>
      <c r="T3634" s="18"/>
      <c r="U3634" s="18">
        <v>1431320</v>
      </c>
      <c r="V3634" s="18">
        <f t="shared" si="2544"/>
        <v>1603078.4000000001</v>
      </c>
      <c r="W3634" s="18"/>
      <c r="X3634" s="2">
        <v>2016</v>
      </c>
      <c r="Y3634" s="15"/>
    </row>
    <row r="3635" spans="1:31" s="12" customFormat="1" ht="51" customHeight="1" outlineLevel="1" x14ac:dyDescent="0.25">
      <c r="B3635" s="2" t="s">
        <v>9352</v>
      </c>
      <c r="C3635" s="5" t="s">
        <v>83</v>
      </c>
      <c r="D3635" s="5" t="s">
        <v>9337</v>
      </c>
      <c r="E3635" s="5" t="s">
        <v>9338</v>
      </c>
      <c r="F3635" s="5" t="s">
        <v>9338</v>
      </c>
      <c r="G3635" s="5" t="s">
        <v>9356</v>
      </c>
      <c r="H3635" s="2" t="s">
        <v>765</v>
      </c>
      <c r="I3635" s="4">
        <v>0.5</v>
      </c>
      <c r="J3635" s="13">
        <v>710000000</v>
      </c>
      <c r="K3635" s="5" t="s">
        <v>89</v>
      </c>
      <c r="L3635" s="5" t="s">
        <v>1730</v>
      </c>
      <c r="M3635" s="3" t="s">
        <v>9278</v>
      </c>
      <c r="N3635" s="2"/>
      <c r="O3635" s="5" t="s">
        <v>2018</v>
      </c>
      <c r="P3635" s="5" t="s">
        <v>2334</v>
      </c>
      <c r="Q3635" s="2"/>
      <c r="R3635" s="5"/>
      <c r="S3635" s="18"/>
      <c r="T3635" s="18"/>
      <c r="U3635" s="18">
        <v>6734046.4299999997</v>
      </c>
      <c r="V3635" s="18">
        <f t="shared" ref="V3635" si="2546">U3635*1.12</f>
        <v>7542132.0016000001</v>
      </c>
      <c r="W3635" s="18"/>
      <c r="X3635" s="2">
        <v>2016</v>
      </c>
      <c r="Y3635" s="15"/>
    </row>
    <row r="3636" spans="1:31" s="12" customFormat="1" ht="165.75" customHeight="1" outlineLevel="1" x14ac:dyDescent="0.2">
      <c r="A3636" s="24"/>
      <c r="B3636" s="2" t="s">
        <v>9416</v>
      </c>
      <c r="C3636" s="5" t="s">
        <v>83</v>
      </c>
      <c r="D3636" s="5" t="s">
        <v>9297</v>
      </c>
      <c r="E3636" s="5" t="s">
        <v>9298</v>
      </c>
      <c r="F3636" s="5" t="s">
        <v>9299</v>
      </c>
      <c r="G3636" s="5" t="s">
        <v>9404</v>
      </c>
      <c r="H3636" s="5" t="s">
        <v>88</v>
      </c>
      <c r="I3636" s="4">
        <v>0.5</v>
      </c>
      <c r="J3636" s="13">
        <v>710000000</v>
      </c>
      <c r="K3636" s="5" t="s">
        <v>89</v>
      </c>
      <c r="L3636" s="5" t="s">
        <v>1872</v>
      </c>
      <c r="M3636" s="6" t="s">
        <v>1481</v>
      </c>
      <c r="N3636" s="2"/>
      <c r="O3636" s="5" t="s">
        <v>2018</v>
      </c>
      <c r="P3636" s="5" t="s">
        <v>1456</v>
      </c>
      <c r="Q3636" s="2"/>
      <c r="R3636" s="5"/>
      <c r="S3636" s="14"/>
      <c r="T3636" s="14"/>
      <c r="U3636" s="14">
        <v>0</v>
      </c>
      <c r="V3636" s="14">
        <f>U3636*1.12</f>
        <v>0</v>
      </c>
      <c r="W3636" s="2"/>
      <c r="X3636" s="2">
        <v>2016</v>
      </c>
      <c r="Y3636" s="15" t="s">
        <v>9635</v>
      </c>
    </row>
    <row r="3637" spans="1:31" s="12" customFormat="1" ht="165.75" customHeight="1" outlineLevel="1" x14ac:dyDescent="0.25">
      <c r="B3637" s="2" t="s">
        <v>9682</v>
      </c>
      <c r="C3637" s="5" t="s">
        <v>83</v>
      </c>
      <c r="D3637" s="5" t="s">
        <v>9297</v>
      </c>
      <c r="E3637" s="5" t="s">
        <v>9298</v>
      </c>
      <c r="F3637" s="5" t="s">
        <v>9299</v>
      </c>
      <c r="G3637" s="5" t="s">
        <v>9404</v>
      </c>
      <c r="H3637" s="5" t="s">
        <v>88</v>
      </c>
      <c r="I3637" s="4">
        <v>0.5</v>
      </c>
      <c r="J3637" s="13">
        <v>710000000</v>
      </c>
      <c r="K3637" s="5" t="s">
        <v>89</v>
      </c>
      <c r="L3637" s="5" t="s">
        <v>1741</v>
      </c>
      <c r="M3637" s="6" t="s">
        <v>1481</v>
      </c>
      <c r="N3637" s="2"/>
      <c r="O3637" s="5" t="s">
        <v>9636</v>
      </c>
      <c r="P3637" s="5" t="s">
        <v>9623</v>
      </c>
      <c r="Q3637" s="2"/>
      <c r="R3637" s="5"/>
      <c r="S3637" s="14"/>
      <c r="T3637" s="14"/>
      <c r="U3637" s="14">
        <v>67771401</v>
      </c>
      <c r="V3637" s="14">
        <f>U3637*1.12</f>
        <v>75903969.120000005</v>
      </c>
      <c r="W3637" s="2"/>
      <c r="X3637" s="2">
        <v>2016</v>
      </c>
      <c r="Y3637" s="15"/>
    </row>
    <row r="3638" spans="1:31" s="12" customFormat="1" ht="76.5" customHeight="1" outlineLevel="1" x14ac:dyDescent="0.25">
      <c r="B3638" s="72" t="s">
        <v>9579</v>
      </c>
      <c r="C3638" s="5" t="s">
        <v>83</v>
      </c>
      <c r="D3638" s="5" t="s">
        <v>9580</v>
      </c>
      <c r="E3638" s="5" t="s">
        <v>9581</v>
      </c>
      <c r="F3638" s="5" t="s">
        <v>9581</v>
      </c>
      <c r="G3638" s="5" t="s">
        <v>9582</v>
      </c>
      <c r="H3638" s="5" t="s">
        <v>88</v>
      </c>
      <c r="I3638" s="4">
        <v>0.5</v>
      </c>
      <c r="J3638" s="13">
        <v>710000000</v>
      </c>
      <c r="K3638" s="5" t="s">
        <v>89</v>
      </c>
      <c r="L3638" s="5" t="s">
        <v>1741</v>
      </c>
      <c r="M3638" s="6" t="s">
        <v>1481</v>
      </c>
      <c r="N3638" s="2"/>
      <c r="O3638" s="5" t="s">
        <v>2018</v>
      </c>
      <c r="P3638" s="5" t="s">
        <v>1456</v>
      </c>
      <c r="Q3638" s="2"/>
      <c r="R3638" s="5"/>
      <c r="S3638" s="14"/>
      <c r="T3638" s="14"/>
      <c r="U3638" s="14">
        <v>9487008.0399999991</v>
      </c>
      <c r="V3638" s="14">
        <f>U3638*1.12</f>
        <v>10625449.004799999</v>
      </c>
      <c r="W3638" s="72"/>
      <c r="X3638" s="2">
        <v>2016</v>
      </c>
      <c r="Y3638" s="15"/>
    </row>
    <row r="3639" spans="1:31" s="12" customFormat="1" ht="409.5" customHeight="1" outlineLevel="1" x14ac:dyDescent="0.2">
      <c r="A3639" s="24"/>
      <c r="B3639" s="5" t="s">
        <v>9587</v>
      </c>
      <c r="C3639" s="5" t="s">
        <v>83</v>
      </c>
      <c r="D3639" s="5" t="s">
        <v>9583</v>
      </c>
      <c r="E3639" s="5" t="s">
        <v>9584</v>
      </c>
      <c r="F3639" s="5" t="s">
        <v>9584</v>
      </c>
      <c r="G3639" s="5" t="s">
        <v>9628</v>
      </c>
      <c r="H3639" s="5" t="s">
        <v>88</v>
      </c>
      <c r="I3639" s="4">
        <v>0.8</v>
      </c>
      <c r="J3639" s="13">
        <v>710000000</v>
      </c>
      <c r="K3639" s="5" t="s">
        <v>89</v>
      </c>
      <c r="L3639" s="5" t="s">
        <v>1741</v>
      </c>
      <c r="M3639" s="6" t="s">
        <v>9585</v>
      </c>
      <c r="N3639" s="2"/>
      <c r="O3639" s="5" t="s">
        <v>9586</v>
      </c>
      <c r="P3639" s="5" t="s">
        <v>1456</v>
      </c>
      <c r="Q3639" s="2"/>
      <c r="R3639" s="5"/>
      <c r="S3639" s="14"/>
      <c r="T3639" s="14"/>
      <c r="U3639" s="14">
        <v>0</v>
      </c>
      <c r="V3639" s="14">
        <f>U3639*1.12</f>
        <v>0</v>
      </c>
      <c r="W3639" s="72"/>
      <c r="X3639" s="2">
        <v>2016</v>
      </c>
      <c r="Y3639" s="15" t="s">
        <v>2030</v>
      </c>
    </row>
    <row r="3640" spans="1:31" s="12" customFormat="1" ht="409.5" customHeight="1" outlineLevel="1" x14ac:dyDescent="0.25">
      <c r="B3640" s="5" t="s">
        <v>9629</v>
      </c>
      <c r="C3640" s="5" t="s">
        <v>83</v>
      </c>
      <c r="D3640" s="5" t="s">
        <v>9583</v>
      </c>
      <c r="E3640" s="5" t="s">
        <v>9584</v>
      </c>
      <c r="F3640" s="5" t="s">
        <v>9584</v>
      </c>
      <c r="G3640" s="5" t="s">
        <v>9628</v>
      </c>
      <c r="H3640" s="5" t="s">
        <v>765</v>
      </c>
      <c r="I3640" s="4">
        <v>0.8</v>
      </c>
      <c r="J3640" s="13">
        <v>710000000</v>
      </c>
      <c r="K3640" s="5" t="s">
        <v>89</v>
      </c>
      <c r="L3640" s="5" t="s">
        <v>1741</v>
      </c>
      <c r="M3640" s="6" t="s">
        <v>9585</v>
      </c>
      <c r="N3640" s="2"/>
      <c r="O3640" s="5" t="s">
        <v>9586</v>
      </c>
      <c r="P3640" s="5" t="s">
        <v>1456</v>
      </c>
      <c r="Q3640" s="2"/>
      <c r="R3640" s="5"/>
      <c r="S3640" s="14"/>
      <c r="T3640" s="14"/>
      <c r="U3640" s="14">
        <f>V3640/1.12</f>
        <v>7544642.8571428563</v>
      </c>
      <c r="V3640" s="73">
        <v>8450000</v>
      </c>
      <c r="W3640" s="72"/>
      <c r="X3640" s="2">
        <v>2016</v>
      </c>
      <c r="Y3640" s="15"/>
    </row>
    <row r="3641" spans="1:31" s="12" customFormat="1" ht="89.25" customHeight="1" outlineLevel="1" x14ac:dyDescent="0.25">
      <c r="B3641" s="2" t="s">
        <v>9602</v>
      </c>
      <c r="C3641" s="3" t="s">
        <v>83</v>
      </c>
      <c r="D3641" s="3" t="s">
        <v>1489</v>
      </c>
      <c r="E3641" s="3" t="s">
        <v>1490</v>
      </c>
      <c r="F3641" s="3" t="s">
        <v>1490</v>
      </c>
      <c r="G3641" s="5" t="s">
        <v>9603</v>
      </c>
      <c r="H3641" s="5" t="s">
        <v>765</v>
      </c>
      <c r="I3641" s="4">
        <v>0.5</v>
      </c>
      <c r="J3641" s="13">
        <v>710000000</v>
      </c>
      <c r="K3641" s="5" t="s">
        <v>89</v>
      </c>
      <c r="L3641" s="5" t="s">
        <v>1741</v>
      </c>
      <c r="M3641" s="6" t="s">
        <v>1494</v>
      </c>
      <c r="N3641" s="2"/>
      <c r="O3641" s="5" t="s">
        <v>697</v>
      </c>
      <c r="P3641" s="5" t="s">
        <v>1456</v>
      </c>
      <c r="Q3641" s="2"/>
      <c r="R3641" s="2"/>
      <c r="S3641" s="14"/>
      <c r="T3641" s="14"/>
      <c r="U3641" s="14">
        <v>1800000</v>
      </c>
      <c r="V3641" s="14">
        <f>U3641*1.12</f>
        <v>2016000.0000000002</v>
      </c>
      <c r="W3641" s="2"/>
      <c r="X3641" s="2">
        <v>2016</v>
      </c>
      <c r="Y3641" s="15"/>
    </row>
    <row r="3642" spans="1:31" s="12" customFormat="1" ht="63.75" customHeight="1" outlineLevel="1" x14ac:dyDescent="0.25">
      <c r="B3642" s="2" t="s">
        <v>9620</v>
      </c>
      <c r="C3642" s="3" t="s">
        <v>83</v>
      </c>
      <c r="D3642" s="3" t="s">
        <v>1537</v>
      </c>
      <c r="E3642" s="3" t="s">
        <v>1538</v>
      </c>
      <c r="F3642" s="3" t="s">
        <v>1538</v>
      </c>
      <c r="G3642" s="5" t="s">
        <v>9630</v>
      </c>
      <c r="H3642" s="5" t="s">
        <v>765</v>
      </c>
      <c r="I3642" s="4">
        <v>0</v>
      </c>
      <c r="J3642" s="13">
        <v>710000000</v>
      </c>
      <c r="K3642" s="5" t="s">
        <v>89</v>
      </c>
      <c r="L3642" s="5" t="s">
        <v>1741</v>
      </c>
      <c r="M3642" s="6" t="s">
        <v>1481</v>
      </c>
      <c r="N3642" s="2"/>
      <c r="O3642" s="5" t="s">
        <v>697</v>
      </c>
      <c r="P3642" s="5" t="s">
        <v>1456</v>
      </c>
      <c r="Q3642" s="2"/>
      <c r="R3642" s="2"/>
      <c r="S3642" s="14"/>
      <c r="T3642" s="14"/>
      <c r="U3642" s="14">
        <v>1942113.39</v>
      </c>
      <c r="V3642" s="14">
        <f t="shared" ref="V3642:V3643" si="2547">U3642*1.12</f>
        <v>2175166.9968000003</v>
      </c>
      <c r="W3642" s="2"/>
      <c r="X3642" s="2">
        <v>2016</v>
      </c>
      <c r="Y3642" s="15"/>
    </row>
    <row r="3643" spans="1:31" s="12" customFormat="1" ht="63.75" customHeight="1" outlineLevel="1" x14ac:dyDescent="0.25">
      <c r="B3643" s="2" t="s">
        <v>9743</v>
      </c>
      <c r="C3643" s="3" t="s">
        <v>83</v>
      </c>
      <c r="D3643" s="3" t="s">
        <v>9753</v>
      </c>
      <c r="E3643" s="3" t="s">
        <v>9754</v>
      </c>
      <c r="F3643" s="3" t="s">
        <v>9755</v>
      </c>
      <c r="G3643" s="5" t="s">
        <v>9757</v>
      </c>
      <c r="H3643" s="5" t="s">
        <v>694</v>
      </c>
      <c r="I3643" s="4">
        <v>0</v>
      </c>
      <c r="J3643" s="13">
        <v>710000000</v>
      </c>
      <c r="K3643" s="5" t="s">
        <v>89</v>
      </c>
      <c r="L3643" s="5" t="s">
        <v>1723</v>
      </c>
      <c r="M3643" s="3" t="s">
        <v>9756</v>
      </c>
      <c r="N3643" s="2"/>
      <c r="O3643" s="5" t="s">
        <v>697</v>
      </c>
      <c r="P3643" s="5" t="s">
        <v>1456</v>
      </c>
      <c r="Q3643" s="2"/>
      <c r="R3643" s="2"/>
      <c r="S3643" s="14"/>
      <c r="T3643" s="14"/>
      <c r="U3643" s="14">
        <v>797000</v>
      </c>
      <c r="V3643" s="14">
        <f t="shared" si="2547"/>
        <v>892640.00000000012</v>
      </c>
      <c r="W3643" s="2"/>
      <c r="X3643" s="2">
        <v>2016</v>
      </c>
      <c r="Y3643" s="15"/>
    </row>
    <row r="3644" spans="1:31" s="12" customFormat="1" ht="63.75" customHeight="1" outlineLevel="1" x14ac:dyDescent="0.25">
      <c r="B3644" s="2" t="s">
        <v>9752</v>
      </c>
      <c r="C3644" s="3" t="s">
        <v>83</v>
      </c>
      <c r="D3644" s="3" t="s">
        <v>9744</v>
      </c>
      <c r="E3644" s="3" t="s">
        <v>9745</v>
      </c>
      <c r="F3644" s="3" t="s">
        <v>9746</v>
      </c>
      <c r="G3644" s="5" t="s">
        <v>9747</v>
      </c>
      <c r="H3644" s="5" t="s">
        <v>694</v>
      </c>
      <c r="I3644" s="4">
        <v>0</v>
      </c>
      <c r="J3644" s="13">
        <v>710000000</v>
      </c>
      <c r="K3644" s="5" t="s">
        <v>89</v>
      </c>
      <c r="L3644" s="5" t="s">
        <v>1723</v>
      </c>
      <c r="M3644" s="3" t="s">
        <v>9278</v>
      </c>
      <c r="N3644" s="2"/>
      <c r="O3644" s="5" t="s">
        <v>697</v>
      </c>
      <c r="P3644" s="5" t="s">
        <v>1456</v>
      </c>
      <c r="Q3644" s="2"/>
      <c r="R3644" s="2"/>
      <c r="S3644" s="14"/>
      <c r="T3644" s="14"/>
      <c r="U3644" s="14">
        <v>413241.07</v>
      </c>
      <c r="V3644" s="14">
        <f t="shared" ref="V3644" si="2548">U3644*1.12</f>
        <v>462829.99840000004</v>
      </c>
      <c r="W3644" s="2"/>
      <c r="X3644" s="2">
        <v>2016</v>
      </c>
      <c r="Y3644" s="15"/>
    </row>
    <row r="3645" spans="1:31" s="12" customFormat="1" ht="12.75" customHeight="1" x14ac:dyDescent="0.25">
      <c r="A3645" s="1"/>
      <c r="B3645" s="101" t="s">
        <v>35</v>
      </c>
      <c r="C3645" s="102"/>
      <c r="D3645" s="103"/>
      <c r="E3645" s="95"/>
      <c r="F3645" s="95"/>
      <c r="G3645" s="95"/>
      <c r="H3645" s="95"/>
      <c r="I3645" s="95"/>
      <c r="J3645" s="95"/>
      <c r="K3645" s="95"/>
      <c r="L3645" s="5"/>
      <c r="M3645" s="95"/>
      <c r="N3645" s="95"/>
      <c r="O3645" s="95"/>
      <c r="P3645" s="95"/>
      <c r="Q3645" s="95"/>
      <c r="R3645" s="95"/>
      <c r="S3645" s="95"/>
      <c r="T3645" s="95"/>
      <c r="U3645" s="106">
        <f>SUM(U3560:U3644)</f>
        <v>308256779.6856429</v>
      </c>
      <c r="V3645" s="106">
        <f>SUM(V3560:V3644)</f>
        <v>345247593.24792004</v>
      </c>
      <c r="W3645" s="105"/>
      <c r="X3645" s="96"/>
      <c r="Y3645" s="96"/>
    </row>
    <row r="3646" spans="1:31" s="12" customFormat="1" ht="12.75" customHeight="1" x14ac:dyDescent="0.25">
      <c r="A3646" s="1"/>
      <c r="B3646" s="90" t="s">
        <v>36</v>
      </c>
      <c r="C3646" s="91"/>
      <c r="D3646" s="91"/>
      <c r="E3646" s="91"/>
      <c r="F3646" s="91"/>
      <c r="G3646" s="92"/>
      <c r="H3646" s="91"/>
      <c r="I3646" s="91"/>
      <c r="J3646" s="91"/>
      <c r="K3646" s="91"/>
      <c r="L3646" s="5"/>
      <c r="M3646" s="91"/>
      <c r="N3646" s="91"/>
      <c r="O3646" s="91"/>
      <c r="P3646" s="91"/>
      <c r="Q3646" s="91"/>
      <c r="R3646" s="91"/>
      <c r="S3646" s="91"/>
      <c r="T3646" s="91"/>
      <c r="U3646" s="91"/>
      <c r="V3646" s="93"/>
      <c r="W3646" s="93"/>
      <c r="X3646" s="94"/>
      <c r="Y3646" s="94"/>
    </row>
    <row r="3647" spans="1:31" ht="76.5" customHeight="1" x14ac:dyDescent="0.25">
      <c r="A3647" s="12"/>
      <c r="B3647" s="2" t="s">
        <v>37</v>
      </c>
      <c r="C3647" s="5" t="s">
        <v>83</v>
      </c>
      <c r="D3647" s="5" t="s">
        <v>1547</v>
      </c>
      <c r="E3647" s="5" t="s">
        <v>1548</v>
      </c>
      <c r="F3647" s="5" t="s">
        <v>1548</v>
      </c>
      <c r="G3647" s="5" t="s">
        <v>1549</v>
      </c>
      <c r="H3647" s="2" t="s">
        <v>765</v>
      </c>
      <c r="I3647" s="4">
        <v>1</v>
      </c>
      <c r="J3647" s="13">
        <v>710000000</v>
      </c>
      <c r="K3647" s="5" t="s">
        <v>89</v>
      </c>
      <c r="L3647" s="5" t="s">
        <v>1455</v>
      </c>
      <c r="M3647" s="5" t="s">
        <v>696</v>
      </c>
      <c r="N3647" s="2"/>
      <c r="O3647" s="5" t="s">
        <v>697</v>
      </c>
      <c r="P3647" s="5" t="s">
        <v>1550</v>
      </c>
      <c r="Q3647" s="2"/>
      <c r="R3647" s="5"/>
      <c r="S3647" s="18"/>
      <c r="T3647" s="18"/>
      <c r="U3647" s="18">
        <v>2829080</v>
      </c>
      <c r="V3647" s="18">
        <f t="shared" ref="V3647:V3683" si="2549">U3647*1.12</f>
        <v>3168569.6</v>
      </c>
      <c r="W3647" s="18" t="s">
        <v>1521</v>
      </c>
      <c r="X3647" s="2">
        <v>2016</v>
      </c>
      <c r="Y3647" s="15"/>
      <c r="Z3647" s="81"/>
      <c r="AA3647" s="81"/>
      <c r="AB3647" s="81"/>
      <c r="AC3647" s="81"/>
      <c r="AD3647" s="81"/>
      <c r="AE3647" s="81"/>
    </row>
    <row r="3648" spans="1:31" ht="114.75" customHeight="1" x14ac:dyDescent="0.25">
      <c r="A3648" s="12"/>
      <c r="B3648" s="2" t="s">
        <v>38</v>
      </c>
      <c r="C3648" s="3" t="s">
        <v>83</v>
      </c>
      <c r="D3648" s="3" t="s">
        <v>1551</v>
      </c>
      <c r="E3648" s="5" t="s">
        <v>1552</v>
      </c>
      <c r="F3648" s="5" t="s">
        <v>1552</v>
      </c>
      <c r="G3648" s="5" t="s">
        <v>9626</v>
      </c>
      <c r="H3648" s="5" t="s">
        <v>88</v>
      </c>
      <c r="I3648" s="4">
        <v>1</v>
      </c>
      <c r="J3648" s="13">
        <v>710000000</v>
      </c>
      <c r="K3648" s="5" t="s">
        <v>89</v>
      </c>
      <c r="L3648" s="5" t="s">
        <v>1455</v>
      </c>
      <c r="M3648" s="6" t="s">
        <v>703</v>
      </c>
      <c r="N3648" s="2"/>
      <c r="O3648" s="5" t="s">
        <v>697</v>
      </c>
      <c r="P3648" s="5" t="s">
        <v>1550</v>
      </c>
      <c r="Q3648" s="2"/>
      <c r="R3648" s="5"/>
      <c r="S3648" s="18"/>
      <c r="T3648" s="18"/>
      <c r="U3648" s="18">
        <v>2789295</v>
      </c>
      <c r="V3648" s="18">
        <f t="shared" si="2549"/>
        <v>3124010.4000000004</v>
      </c>
      <c r="W3648" s="2" t="s">
        <v>1521</v>
      </c>
      <c r="X3648" s="2">
        <v>2016</v>
      </c>
      <c r="Y3648" s="15"/>
      <c r="Z3648" s="81"/>
      <c r="AA3648" s="81"/>
      <c r="AB3648" s="81"/>
      <c r="AC3648" s="81"/>
      <c r="AD3648" s="81"/>
      <c r="AE3648" s="81"/>
    </row>
    <row r="3649" spans="1:25" s="12" customFormat="1" ht="63.75" customHeight="1" x14ac:dyDescent="0.25">
      <c r="B3649" s="2" t="s">
        <v>39</v>
      </c>
      <c r="C3649" s="5" t="s">
        <v>83</v>
      </c>
      <c r="D3649" s="5" t="s">
        <v>1551</v>
      </c>
      <c r="E3649" s="5" t="s">
        <v>1552</v>
      </c>
      <c r="F3649" s="5" t="s">
        <v>1552</v>
      </c>
      <c r="G3649" s="5" t="s">
        <v>1553</v>
      </c>
      <c r="H3649" s="5" t="s">
        <v>88</v>
      </c>
      <c r="I3649" s="4">
        <v>1</v>
      </c>
      <c r="J3649" s="13">
        <v>710000000</v>
      </c>
      <c r="K3649" s="5" t="s">
        <v>89</v>
      </c>
      <c r="L3649" s="5" t="s">
        <v>1455</v>
      </c>
      <c r="M3649" s="5" t="s">
        <v>730</v>
      </c>
      <c r="N3649" s="2"/>
      <c r="O3649" s="5" t="s">
        <v>697</v>
      </c>
      <c r="P3649" s="5" t="s">
        <v>1550</v>
      </c>
      <c r="Q3649" s="2"/>
      <c r="R3649" s="5"/>
      <c r="S3649" s="18"/>
      <c r="T3649" s="18"/>
      <c r="U3649" s="18">
        <v>650000</v>
      </c>
      <c r="V3649" s="18">
        <f t="shared" si="2549"/>
        <v>728000.00000000012</v>
      </c>
      <c r="W3649" s="18" t="s">
        <v>1521</v>
      </c>
      <c r="X3649" s="2">
        <v>2016</v>
      </c>
      <c r="Y3649" s="15"/>
    </row>
    <row r="3650" spans="1:25" s="12" customFormat="1" ht="331.5" customHeight="1" x14ac:dyDescent="0.25">
      <c r="B3650" s="2" t="s">
        <v>1554</v>
      </c>
      <c r="C3650" s="5" t="s">
        <v>83</v>
      </c>
      <c r="D3650" s="5" t="s">
        <v>1555</v>
      </c>
      <c r="E3650" s="5" t="s">
        <v>1556</v>
      </c>
      <c r="F3650" s="5" t="s">
        <v>1556</v>
      </c>
      <c r="G3650" s="5" t="s">
        <v>1557</v>
      </c>
      <c r="H3650" s="5" t="s">
        <v>88</v>
      </c>
      <c r="I3650" s="27">
        <v>0.5</v>
      </c>
      <c r="J3650" s="5">
        <v>710000000</v>
      </c>
      <c r="K3650" s="5" t="s">
        <v>89</v>
      </c>
      <c r="L3650" s="5" t="s">
        <v>1455</v>
      </c>
      <c r="M3650" s="5" t="s">
        <v>1558</v>
      </c>
      <c r="N3650" s="2"/>
      <c r="O3650" s="5" t="s">
        <v>697</v>
      </c>
      <c r="P3650" s="5" t="s">
        <v>1550</v>
      </c>
      <c r="Q3650" s="65"/>
      <c r="R3650" s="5"/>
      <c r="S3650" s="18"/>
      <c r="T3650" s="18"/>
      <c r="U3650" s="18">
        <v>209974545</v>
      </c>
      <c r="V3650" s="18">
        <f t="shared" si="2549"/>
        <v>235171490.40000004</v>
      </c>
      <c r="W3650" s="2" t="s">
        <v>1521</v>
      </c>
      <c r="X3650" s="2">
        <v>2016</v>
      </c>
      <c r="Y3650" s="15"/>
    </row>
    <row r="3651" spans="1:25" s="12" customFormat="1" ht="331.5" customHeight="1" x14ac:dyDescent="0.2">
      <c r="A3651" s="24"/>
      <c r="B3651" s="2" t="s">
        <v>1559</v>
      </c>
      <c r="C3651" s="5" t="s">
        <v>83</v>
      </c>
      <c r="D3651" s="5" t="s">
        <v>1560</v>
      </c>
      <c r="E3651" s="5" t="s">
        <v>1561</v>
      </c>
      <c r="F3651" s="5" t="s">
        <v>1562</v>
      </c>
      <c r="G3651" s="5" t="s">
        <v>1563</v>
      </c>
      <c r="H3651" s="5" t="s">
        <v>88</v>
      </c>
      <c r="I3651" s="27">
        <v>0.3</v>
      </c>
      <c r="J3651" s="5">
        <v>710000000</v>
      </c>
      <c r="K3651" s="5" t="s">
        <v>89</v>
      </c>
      <c r="L3651" s="5" t="s">
        <v>1455</v>
      </c>
      <c r="M3651" s="5" t="s">
        <v>1558</v>
      </c>
      <c r="N3651" s="2"/>
      <c r="O3651" s="5" t="s">
        <v>697</v>
      </c>
      <c r="P3651" s="5" t="s">
        <v>1550</v>
      </c>
      <c r="Q3651" s="2"/>
      <c r="R3651" s="5"/>
      <c r="S3651" s="18"/>
      <c r="T3651" s="18"/>
      <c r="U3651" s="18">
        <v>0</v>
      </c>
      <c r="V3651" s="18">
        <f t="shared" si="2549"/>
        <v>0</v>
      </c>
      <c r="W3651" s="18" t="s">
        <v>1521</v>
      </c>
      <c r="X3651" s="2">
        <v>2016</v>
      </c>
      <c r="Y3651" s="15" t="s">
        <v>1564</v>
      </c>
    </row>
    <row r="3652" spans="1:25" s="12" customFormat="1" ht="331.5" customHeight="1" x14ac:dyDescent="0.25">
      <c r="B3652" s="2" t="s">
        <v>1565</v>
      </c>
      <c r="C3652" s="5" t="s">
        <v>83</v>
      </c>
      <c r="D3652" s="5" t="s">
        <v>1560</v>
      </c>
      <c r="E3652" s="5" t="s">
        <v>1561</v>
      </c>
      <c r="F3652" s="5" t="s">
        <v>1562</v>
      </c>
      <c r="G3652" s="5" t="s">
        <v>1563</v>
      </c>
      <c r="H3652" s="5" t="s">
        <v>88</v>
      </c>
      <c r="I3652" s="27">
        <v>0.3</v>
      </c>
      <c r="J3652" s="5">
        <v>710000000</v>
      </c>
      <c r="K3652" s="5" t="s">
        <v>89</v>
      </c>
      <c r="L3652" s="5" t="s">
        <v>1566</v>
      </c>
      <c r="M3652" s="5" t="s">
        <v>1558</v>
      </c>
      <c r="N3652" s="2"/>
      <c r="O3652" s="5" t="s">
        <v>697</v>
      </c>
      <c r="P3652" s="5" t="s">
        <v>1550</v>
      </c>
      <c r="Q3652" s="2"/>
      <c r="R3652" s="5"/>
      <c r="S3652" s="18"/>
      <c r="T3652" s="18"/>
      <c r="U3652" s="18">
        <v>2135421</v>
      </c>
      <c r="V3652" s="18">
        <f t="shared" si="2549"/>
        <v>2391671.52</v>
      </c>
      <c r="W3652" s="2" t="s">
        <v>1521</v>
      </c>
      <c r="X3652" s="2">
        <v>2016</v>
      </c>
      <c r="Y3652" s="15"/>
    </row>
    <row r="3653" spans="1:25" s="12" customFormat="1" ht="331.5" customHeight="1" x14ac:dyDescent="0.25">
      <c r="B3653" s="2" t="s">
        <v>1567</v>
      </c>
      <c r="C3653" s="5" t="s">
        <v>83</v>
      </c>
      <c r="D3653" s="5" t="s">
        <v>1568</v>
      </c>
      <c r="E3653" s="5" t="s">
        <v>1569</v>
      </c>
      <c r="F3653" s="5" t="s">
        <v>1569</v>
      </c>
      <c r="G3653" s="5" t="s">
        <v>1570</v>
      </c>
      <c r="H3653" s="5" t="s">
        <v>88</v>
      </c>
      <c r="I3653" s="4">
        <v>1</v>
      </c>
      <c r="J3653" s="13">
        <v>710000000</v>
      </c>
      <c r="K3653" s="5" t="s">
        <v>89</v>
      </c>
      <c r="L3653" s="5" t="s">
        <v>1455</v>
      </c>
      <c r="M3653" s="5" t="s">
        <v>1558</v>
      </c>
      <c r="N3653" s="2"/>
      <c r="O3653" s="5" t="s">
        <v>697</v>
      </c>
      <c r="P3653" s="5" t="s">
        <v>1550</v>
      </c>
      <c r="Q3653" s="2"/>
      <c r="R3653" s="5"/>
      <c r="S3653" s="18"/>
      <c r="T3653" s="18"/>
      <c r="U3653" s="18">
        <v>22573363</v>
      </c>
      <c r="V3653" s="18">
        <f t="shared" si="2549"/>
        <v>25282166.560000002</v>
      </c>
      <c r="W3653" s="18" t="s">
        <v>1521</v>
      </c>
      <c r="X3653" s="2">
        <v>2016</v>
      </c>
      <c r="Y3653" s="15"/>
    </row>
    <row r="3654" spans="1:25" s="12" customFormat="1" ht="331.5" customHeight="1" x14ac:dyDescent="0.2">
      <c r="A3654" s="24"/>
      <c r="B3654" s="2" t="s">
        <v>1571</v>
      </c>
      <c r="C3654" s="5" t="s">
        <v>83</v>
      </c>
      <c r="D3654" s="5" t="s">
        <v>1572</v>
      </c>
      <c r="E3654" s="5" t="s">
        <v>1573</v>
      </c>
      <c r="F3654" s="5" t="s">
        <v>1573</v>
      </c>
      <c r="G3654" s="5" t="s">
        <v>1574</v>
      </c>
      <c r="H3654" s="5" t="s">
        <v>88</v>
      </c>
      <c r="I3654" s="4">
        <v>0.5</v>
      </c>
      <c r="J3654" s="13">
        <v>710000000</v>
      </c>
      <c r="K3654" s="5" t="s">
        <v>89</v>
      </c>
      <c r="L3654" s="5" t="s">
        <v>1455</v>
      </c>
      <c r="M3654" s="5" t="s">
        <v>1558</v>
      </c>
      <c r="N3654" s="2"/>
      <c r="O3654" s="5" t="s">
        <v>697</v>
      </c>
      <c r="P3654" s="5" t="s">
        <v>1550</v>
      </c>
      <c r="Q3654" s="2"/>
      <c r="R3654" s="5"/>
      <c r="S3654" s="18"/>
      <c r="T3654" s="18"/>
      <c r="U3654" s="18">
        <v>0</v>
      </c>
      <c r="V3654" s="18">
        <f t="shared" si="2549"/>
        <v>0</v>
      </c>
      <c r="W3654" s="2" t="s">
        <v>1521</v>
      </c>
      <c r="X3654" s="2">
        <v>2016</v>
      </c>
      <c r="Y3654" s="15" t="s">
        <v>1564</v>
      </c>
    </row>
    <row r="3655" spans="1:25" s="12" customFormat="1" ht="331.5" customHeight="1" x14ac:dyDescent="0.25">
      <c r="B3655" s="2" t="s">
        <v>1575</v>
      </c>
      <c r="C3655" s="5" t="s">
        <v>83</v>
      </c>
      <c r="D3655" s="5" t="s">
        <v>1572</v>
      </c>
      <c r="E3655" s="5" t="s">
        <v>1573</v>
      </c>
      <c r="F3655" s="5" t="s">
        <v>1573</v>
      </c>
      <c r="G3655" s="5" t="s">
        <v>1574</v>
      </c>
      <c r="H3655" s="5" t="s">
        <v>88</v>
      </c>
      <c r="I3655" s="4">
        <v>0.5</v>
      </c>
      <c r="J3655" s="13">
        <v>710000000</v>
      </c>
      <c r="K3655" s="5" t="s">
        <v>89</v>
      </c>
      <c r="L3655" s="5" t="s">
        <v>1566</v>
      </c>
      <c r="M3655" s="5" t="s">
        <v>1558</v>
      </c>
      <c r="N3655" s="2"/>
      <c r="O3655" s="5" t="s">
        <v>697</v>
      </c>
      <c r="P3655" s="5" t="s">
        <v>1550</v>
      </c>
      <c r="Q3655" s="2"/>
      <c r="R3655" s="5"/>
      <c r="S3655" s="18"/>
      <c r="T3655" s="18"/>
      <c r="U3655" s="18">
        <f>1757471+101864</f>
        <v>1859335</v>
      </c>
      <c r="V3655" s="18">
        <f t="shared" si="2549"/>
        <v>2082455.2000000002</v>
      </c>
      <c r="W3655" s="18" t="s">
        <v>1521</v>
      </c>
      <c r="X3655" s="2">
        <v>2016</v>
      </c>
      <c r="Y3655" s="15"/>
    </row>
    <row r="3656" spans="1:25" s="12" customFormat="1" ht="331.5" customHeight="1" x14ac:dyDescent="0.2">
      <c r="A3656" s="24"/>
      <c r="B3656" s="2" t="s">
        <v>1576</v>
      </c>
      <c r="C3656" s="5" t="s">
        <v>83</v>
      </c>
      <c r="D3656" s="5" t="s">
        <v>1577</v>
      </c>
      <c r="E3656" s="5" t="s">
        <v>1578</v>
      </c>
      <c r="F3656" s="5" t="s">
        <v>1578</v>
      </c>
      <c r="G3656" s="5" t="s">
        <v>1579</v>
      </c>
      <c r="H3656" s="5" t="s">
        <v>88</v>
      </c>
      <c r="I3656" s="27">
        <v>1</v>
      </c>
      <c r="J3656" s="5">
        <v>710000000</v>
      </c>
      <c r="K3656" s="5" t="s">
        <v>89</v>
      </c>
      <c r="L3656" s="5" t="s">
        <v>1455</v>
      </c>
      <c r="M3656" s="5" t="s">
        <v>1558</v>
      </c>
      <c r="N3656" s="2"/>
      <c r="O3656" s="5" t="s">
        <v>697</v>
      </c>
      <c r="P3656" s="5" t="s">
        <v>1550</v>
      </c>
      <c r="Q3656" s="2"/>
      <c r="R3656" s="5"/>
      <c r="S3656" s="18"/>
      <c r="T3656" s="18"/>
      <c r="U3656" s="18">
        <v>0</v>
      </c>
      <c r="V3656" s="18">
        <f t="shared" si="2549"/>
        <v>0</v>
      </c>
      <c r="W3656" s="2" t="s">
        <v>1521</v>
      </c>
      <c r="X3656" s="2">
        <v>2016</v>
      </c>
      <c r="Y3656" s="15" t="s">
        <v>1564</v>
      </c>
    </row>
    <row r="3657" spans="1:25" s="12" customFormat="1" ht="331.5" customHeight="1" x14ac:dyDescent="0.25">
      <c r="B3657" s="2" t="s">
        <v>1580</v>
      </c>
      <c r="C3657" s="5" t="s">
        <v>83</v>
      </c>
      <c r="D3657" s="5" t="s">
        <v>1577</v>
      </c>
      <c r="E3657" s="5" t="s">
        <v>1578</v>
      </c>
      <c r="F3657" s="5" t="s">
        <v>1578</v>
      </c>
      <c r="G3657" s="5" t="s">
        <v>1579</v>
      </c>
      <c r="H3657" s="5" t="s">
        <v>88</v>
      </c>
      <c r="I3657" s="27">
        <v>1</v>
      </c>
      <c r="J3657" s="5">
        <v>710000000</v>
      </c>
      <c r="K3657" s="5" t="s">
        <v>89</v>
      </c>
      <c r="L3657" s="5" t="s">
        <v>1566</v>
      </c>
      <c r="M3657" s="5" t="s">
        <v>1558</v>
      </c>
      <c r="N3657" s="2"/>
      <c r="O3657" s="5" t="s">
        <v>697</v>
      </c>
      <c r="P3657" s="5" t="s">
        <v>1550</v>
      </c>
      <c r="Q3657" s="2"/>
      <c r="R3657" s="5"/>
      <c r="S3657" s="18"/>
      <c r="T3657" s="18"/>
      <c r="U3657" s="18">
        <v>7464777</v>
      </c>
      <c r="V3657" s="18">
        <f t="shared" si="2549"/>
        <v>8360550.2400000012</v>
      </c>
      <c r="W3657" s="18" t="s">
        <v>1521</v>
      </c>
      <c r="X3657" s="2">
        <v>2016</v>
      </c>
      <c r="Y3657" s="15"/>
    </row>
    <row r="3658" spans="1:25" s="12" customFormat="1" ht="331.5" customHeight="1" x14ac:dyDescent="0.2">
      <c r="A3658" s="24"/>
      <c r="B3658" s="2" t="s">
        <v>1581</v>
      </c>
      <c r="C3658" s="5" t="s">
        <v>83</v>
      </c>
      <c r="D3658" s="5" t="s">
        <v>1582</v>
      </c>
      <c r="E3658" s="5" t="s">
        <v>1583</v>
      </c>
      <c r="F3658" s="5" t="s">
        <v>1583</v>
      </c>
      <c r="G3658" s="5" t="s">
        <v>1584</v>
      </c>
      <c r="H3658" s="5" t="s">
        <v>88</v>
      </c>
      <c r="I3658" s="4">
        <v>1</v>
      </c>
      <c r="J3658" s="13">
        <v>710000000</v>
      </c>
      <c r="K3658" s="5" t="s">
        <v>89</v>
      </c>
      <c r="L3658" s="5" t="s">
        <v>1455</v>
      </c>
      <c r="M3658" s="5" t="s">
        <v>1558</v>
      </c>
      <c r="N3658" s="2"/>
      <c r="O3658" s="5" t="s">
        <v>697</v>
      </c>
      <c r="P3658" s="5" t="s">
        <v>1550</v>
      </c>
      <c r="Q3658" s="2"/>
      <c r="R3658" s="5"/>
      <c r="S3658" s="18"/>
      <c r="T3658" s="18"/>
      <c r="U3658" s="18">
        <v>0</v>
      </c>
      <c r="V3658" s="18">
        <f t="shared" si="2549"/>
        <v>0</v>
      </c>
      <c r="W3658" s="2" t="s">
        <v>1521</v>
      </c>
      <c r="X3658" s="2">
        <v>2016</v>
      </c>
      <c r="Y3658" s="15" t="s">
        <v>1564</v>
      </c>
    </row>
    <row r="3659" spans="1:25" s="12" customFormat="1" ht="331.5" customHeight="1" x14ac:dyDescent="0.25">
      <c r="B3659" s="2" t="s">
        <v>1585</v>
      </c>
      <c r="C3659" s="5" t="s">
        <v>83</v>
      </c>
      <c r="D3659" s="5" t="s">
        <v>1582</v>
      </c>
      <c r="E3659" s="5" t="s">
        <v>1583</v>
      </c>
      <c r="F3659" s="5" t="s">
        <v>1583</v>
      </c>
      <c r="G3659" s="5" t="s">
        <v>1584</v>
      </c>
      <c r="H3659" s="5" t="s">
        <v>88</v>
      </c>
      <c r="I3659" s="4">
        <v>1</v>
      </c>
      <c r="J3659" s="13">
        <v>710000000</v>
      </c>
      <c r="K3659" s="5" t="s">
        <v>89</v>
      </c>
      <c r="L3659" s="5" t="s">
        <v>1566</v>
      </c>
      <c r="M3659" s="5" t="s">
        <v>1558</v>
      </c>
      <c r="N3659" s="2"/>
      <c r="O3659" s="5" t="s">
        <v>697</v>
      </c>
      <c r="P3659" s="5" t="s">
        <v>1550</v>
      </c>
      <c r="Q3659" s="2"/>
      <c r="R3659" s="5"/>
      <c r="S3659" s="18"/>
      <c r="T3659" s="18"/>
      <c r="U3659" s="18">
        <v>2340941</v>
      </c>
      <c r="V3659" s="18">
        <f t="shared" si="2549"/>
        <v>2621853.9200000004</v>
      </c>
      <c r="W3659" s="18" t="s">
        <v>1521</v>
      </c>
      <c r="X3659" s="2">
        <v>2016</v>
      </c>
      <c r="Y3659" s="15"/>
    </row>
    <row r="3660" spans="1:25" s="12" customFormat="1" ht="51" customHeight="1" x14ac:dyDescent="0.2">
      <c r="A3660" s="24"/>
      <c r="B3660" s="2" t="s">
        <v>1586</v>
      </c>
      <c r="C3660" s="5" t="s">
        <v>83</v>
      </c>
      <c r="D3660" s="5" t="s">
        <v>1587</v>
      </c>
      <c r="E3660" s="5" t="s">
        <v>1588</v>
      </c>
      <c r="F3660" s="5" t="s">
        <v>1588</v>
      </c>
      <c r="G3660" s="5" t="s">
        <v>1589</v>
      </c>
      <c r="H3660" s="5" t="s">
        <v>88</v>
      </c>
      <c r="I3660" s="4">
        <v>1</v>
      </c>
      <c r="J3660" s="13">
        <v>710000000</v>
      </c>
      <c r="K3660" s="5" t="s">
        <v>89</v>
      </c>
      <c r="L3660" s="5" t="s">
        <v>1455</v>
      </c>
      <c r="M3660" s="6" t="s">
        <v>703</v>
      </c>
      <c r="N3660" s="2"/>
      <c r="O3660" s="5" t="s">
        <v>697</v>
      </c>
      <c r="P3660" s="5" t="s">
        <v>1550</v>
      </c>
      <c r="Q3660" s="2"/>
      <c r="R3660" s="5"/>
      <c r="S3660" s="18"/>
      <c r="T3660" s="18"/>
      <c r="U3660" s="18">
        <v>0</v>
      </c>
      <c r="V3660" s="18">
        <f t="shared" si="2549"/>
        <v>0</v>
      </c>
      <c r="W3660" s="2" t="s">
        <v>1521</v>
      </c>
      <c r="X3660" s="2">
        <v>2016</v>
      </c>
      <c r="Y3660" s="15" t="s">
        <v>1590</v>
      </c>
    </row>
    <row r="3661" spans="1:25" s="12" customFormat="1" ht="51" customHeight="1" x14ac:dyDescent="0.2">
      <c r="A3661" s="24"/>
      <c r="B3661" s="2" t="s">
        <v>1591</v>
      </c>
      <c r="C3661" s="5" t="s">
        <v>83</v>
      </c>
      <c r="D3661" s="5" t="s">
        <v>1587</v>
      </c>
      <c r="E3661" s="5" t="s">
        <v>1588</v>
      </c>
      <c r="F3661" s="5" t="s">
        <v>1588</v>
      </c>
      <c r="G3661" s="5" t="s">
        <v>1589</v>
      </c>
      <c r="H3661" s="5" t="s">
        <v>88</v>
      </c>
      <c r="I3661" s="4">
        <v>1</v>
      </c>
      <c r="J3661" s="13">
        <v>710000000</v>
      </c>
      <c r="K3661" s="5" t="s">
        <v>89</v>
      </c>
      <c r="L3661" s="5" t="s">
        <v>1566</v>
      </c>
      <c r="M3661" s="6" t="s">
        <v>703</v>
      </c>
      <c r="N3661" s="2"/>
      <c r="O3661" s="5" t="s">
        <v>697</v>
      </c>
      <c r="P3661" s="5" t="s">
        <v>1550</v>
      </c>
      <c r="Q3661" s="2"/>
      <c r="R3661" s="5"/>
      <c r="S3661" s="18"/>
      <c r="T3661" s="18"/>
      <c r="U3661" s="18">
        <v>0</v>
      </c>
      <c r="V3661" s="18">
        <f t="shared" si="2549"/>
        <v>0</v>
      </c>
      <c r="W3661" s="18" t="s">
        <v>1521</v>
      </c>
      <c r="X3661" s="2">
        <v>2016</v>
      </c>
      <c r="Y3661" s="15" t="s">
        <v>1590</v>
      </c>
    </row>
    <row r="3662" spans="1:25" s="12" customFormat="1" ht="51" customHeight="1" x14ac:dyDescent="0.25">
      <c r="B3662" s="2" t="s">
        <v>7686</v>
      </c>
      <c r="C3662" s="5" t="s">
        <v>83</v>
      </c>
      <c r="D3662" s="5" t="s">
        <v>1587</v>
      </c>
      <c r="E3662" s="5" t="s">
        <v>1588</v>
      </c>
      <c r="F3662" s="5" t="s">
        <v>1588</v>
      </c>
      <c r="G3662" s="5" t="s">
        <v>1589</v>
      </c>
      <c r="H3662" s="5" t="s">
        <v>88</v>
      </c>
      <c r="I3662" s="4">
        <v>1</v>
      </c>
      <c r="J3662" s="13">
        <v>710000000</v>
      </c>
      <c r="K3662" s="5" t="s">
        <v>89</v>
      </c>
      <c r="L3662" s="5" t="s">
        <v>7685</v>
      </c>
      <c r="M3662" s="6" t="s">
        <v>703</v>
      </c>
      <c r="N3662" s="2"/>
      <c r="O3662" s="5" t="s">
        <v>697</v>
      </c>
      <c r="P3662" s="5" t="s">
        <v>1550</v>
      </c>
      <c r="Q3662" s="2"/>
      <c r="R3662" s="5"/>
      <c r="S3662" s="18"/>
      <c r="T3662" s="18"/>
      <c r="U3662" s="18">
        <v>2549000</v>
      </c>
      <c r="V3662" s="18">
        <f t="shared" ref="V3662" si="2550">U3662*1.12</f>
        <v>2854880.0000000005</v>
      </c>
      <c r="W3662" s="18" t="s">
        <v>1521</v>
      </c>
      <c r="X3662" s="2">
        <v>2016</v>
      </c>
      <c r="Y3662" s="15"/>
    </row>
    <row r="3663" spans="1:25" s="12" customFormat="1" ht="51" customHeight="1" x14ac:dyDescent="0.2">
      <c r="A3663" s="24"/>
      <c r="B3663" s="2" t="s">
        <v>1592</v>
      </c>
      <c r="C3663" s="3" t="s">
        <v>83</v>
      </c>
      <c r="D3663" s="5" t="s">
        <v>1587</v>
      </c>
      <c r="E3663" s="5" t="s">
        <v>1588</v>
      </c>
      <c r="F3663" s="5" t="s">
        <v>1588</v>
      </c>
      <c r="G3663" s="5" t="s">
        <v>1593</v>
      </c>
      <c r="H3663" s="5" t="s">
        <v>88</v>
      </c>
      <c r="I3663" s="4">
        <v>1</v>
      </c>
      <c r="J3663" s="13">
        <v>710000000</v>
      </c>
      <c r="K3663" s="5" t="s">
        <v>89</v>
      </c>
      <c r="L3663" s="5" t="s">
        <v>1455</v>
      </c>
      <c r="M3663" s="6" t="s">
        <v>730</v>
      </c>
      <c r="N3663" s="2"/>
      <c r="O3663" s="5" t="s">
        <v>697</v>
      </c>
      <c r="P3663" s="5" t="s">
        <v>1550</v>
      </c>
      <c r="Q3663" s="2"/>
      <c r="R3663" s="5"/>
      <c r="S3663" s="18"/>
      <c r="T3663" s="18"/>
      <c r="U3663" s="18">
        <v>0</v>
      </c>
      <c r="V3663" s="18">
        <f t="shared" si="2549"/>
        <v>0</v>
      </c>
      <c r="W3663" s="2" t="s">
        <v>1521</v>
      </c>
      <c r="X3663" s="2">
        <v>2016</v>
      </c>
      <c r="Y3663" s="15" t="s">
        <v>1590</v>
      </c>
    </row>
    <row r="3664" spans="1:25" s="12" customFormat="1" ht="51" customHeight="1" x14ac:dyDescent="0.2">
      <c r="A3664" s="24"/>
      <c r="B3664" s="2" t="s">
        <v>1594</v>
      </c>
      <c r="C3664" s="3" t="s">
        <v>83</v>
      </c>
      <c r="D3664" s="5" t="s">
        <v>1587</v>
      </c>
      <c r="E3664" s="5" t="s">
        <v>1588</v>
      </c>
      <c r="F3664" s="5" t="s">
        <v>1588</v>
      </c>
      <c r="G3664" s="5" t="s">
        <v>1593</v>
      </c>
      <c r="H3664" s="5" t="s">
        <v>88</v>
      </c>
      <c r="I3664" s="4">
        <v>1</v>
      </c>
      <c r="J3664" s="13">
        <v>710000000</v>
      </c>
      <c r="K3664" s="5" t="s">
        <v>89</v>
      </c>
      <c r="L3664" s="5" t="s">
        <v>1566</v>
      </c>
      <c r="M3664" s="6" t="s">
        <v>730</v>
      </c>
      <c r="N3664" s="2"/>
      <c r="O3664" s="5" t="s">
        <v>697</v>
      </c>
      <c r="P3664" s="5" t="s">
        <v>1550</v>
      </c>
      <c r="Q3664" s="2"/>
      <c r="R3664" s="5"/>
      <c r="S3664" s="18"/>
      <c r="T3664" s="18"/>
      <c r="U3664" s="18">
        <v>0</v>
      </c>
      <c r="V3664" s="18">
        <f t="shared" si="2549"/>
        <v>0</v>
      </c>
      <c r="W3664" s="18" t="s">
        <v>1521</v>
      </c>
      <c r="X3664" s="2">
        <v>2016</v>
      </c>
      <c r="Y3664" s="15" t="s">
        <v>1590</v>
      </c>
    </row>
    <row r="3665" spans="1:25" s="12" customFormat="1" ht="51" customHeight="1" x14ac:dyDescent="0.25">
      <c r="B3665" s="2" t="s">
        <v>7687</v>
      </c>
      <c r="C3665" s="3" t="s">
        <v>83</v>
      </c>
      <c r="D3665" s="5" t="s">
        <v>1587</v>
      </c>
      <c r="E3665" s="5" t="s">
        <v>1588</v>
      </c>
      <c r="F3665" s="5" t="s">
        <v>1588</v>
      </c>
      <c r="G3665" s="5" t="s">
        <v>1593</v>
      </c>
      <c r="H3665" s="5" t="s">
        <v>88</v>
      </c>
      <c r="I3665" s="4">
        <v>1</v>
      </c>
      <c r="J3665" s="13">
        <v>710000000</v>
      </c>
      <c r="K3665" s="5" t="s">
        <v>89</v>
      </c>
      <c r="L3665" s="5" t="s">
        <v>7685</v>
      </c>
      <c r="M3665" s="6" t="s">
        <v>730</v>
      </c>
      <c r="N3665" s="2"/>
      <c r="O3665" s="5" t="s">
        <v>697</v>
      </c>
      <c r="P3665" s="5" t="s">
        <v>1550</v>
      </c>
      <c r="Q3665" s="2"/>
      <c r="R3665" s="5"/>
      <c r="S3665" s="18"/>
      <c r="T3665" s="18"/>
      <c r="U3665" s="18">
        <v>1673000</v>
      </c>
      <c r="V3665" s="18">
        <f t="shared" ref="V3665" si="2551">U3665*1.12</f>
        <v>1873760.0000000002</v>
      </c>
      <c r="W3665" s="18" t="s">
        <v>1521</v>
      </c>
      <c r="X3665" s="2">
        <v>2016</v>
      </c>
      <c r="Y3665" s="15"/>
    </row>
    <row r="3666" spans="1:25" s="12" customFormat="1" ht="127.5" customHeight="1" x14ac:dyDescent="0.25">
      <c r="B3666" s="2" t="s">
        <v>1595</v>
      </c>
      <c r="C3666" s="3" t="s">
        <v>83</v>
      </c>
      <c r="D3666" s="5" t="s">
        <v>1596</v>
      </c>
      <c r="E3666" s="5" t="s">
        <v>1597</v>
      </c>
      <c r="F3666" s="5" t="s">
        <v>1597</v>
      </c>
      <c r="G3666" s="5" t="s">
        <v>1598</v>
      </c>
      <c r="H3666" s="5" t="s">
        <v>88</v>
      </c>
      <c r="I3666" s="4">
        <v>1</v>
      </c>
      <c r="J3666" s="13">
        <v>710000000</v>
      </c>
      <c r="K3666" s="5" t="s">
        <v>89</v>
      </c>
      <c r="L3666" s="5" t="s">
        <v>1455</v>
      </c>
      <c r="M3666" s="6" t="s">
        <v>730</v>
      </c>
      <c r="N3666" s="2"/>
      <c r="O3666" s="5" t="s">
        <v>697</v>
      </c>
      <c r="P3666" s="5" t="s">
        <v>1550</v>
      </c>
      <c r="Q3666" s="2"/>
      <c r="R3666" s="5"/>
      <c r="S3666" s="18"/>
      <c r="T3666" s="18"/>
      <c r="U3666" s="18">
        <v>1505000</v>
      </c>
      <c r="V3666" s="18">
        <f t="shared" si="2549"/>
        <v>1685600.0000000002</v>
      </c>
      <c r="W3666" s="2" t="s">
        <v>1521</v>
      </c>
      <c r="X3666" s="2">
        <v>2016</v>
      </c>
      <c r="Y3666" s="15"/>
    </row>
    <row r="3667" spans="1:25" s="12" customFormat="1" ht="153" customHeight="1" x14ac:dyDescent="0.25">
      <c r="B3667" s="2" t="s">
        <v>1599</v>
      </c>
      <c r="C3667" s="3" t="s">
        <v>83</v>
      </c>
      <c r="D3667" s="5" t="s">
        <v>1596</v>
      </c>
      <c r="E3667" s="5" t="s">
        <v>1597</v>
      </c>
      <c r="F3667" s="5" t="s">
        <v>1597</v>
      </c>
      <c r="G3667" s="5" t="s">
        <v>1600</v>
      </c>
      <c r="H3667" s="5" t="s">
        <v>88</v>
      </c>
      <c r="I3667" s="4">
        <v>1</v>
      </c>
      <c r="J3667" s="13">
        <v>710000000</v>
      </c>
      <c r="K3667" s="5" t="s">
        <v>89</v>
      </c>
      <c r="L3667" s="5" t="s">
        <v>1455</v>
      </c>
      <c r="M3667" s="6" t="s">
        <v>703</v>
      </c>
      <c r="N3667" s="2"/>
      <c r="O3667" s="5" t="s">
        <v>697</v>
      </c>
      <c r="P3667" s="5" t="s">
        <v>1550</v>
      </c>
      <c r="Q3667" s="2"/>
      <c r="R3667" s="5"/>
      <c r="S3667" s="18"/>
      <c r="T3667" s="18"/>
      <c r="U3667" s="18">
        <v>4248000</v>
      </c>
      <c r="V3667" s="18">
        <f t="shared" si="2549"/>
        <v>4757760</v>
      </c>
      <c r="W3667" s="18" t="s">
        <v>1521</v>
      </c>
      <c r="X3667" s="2">
        <v>2016</v>
      </c>
      <c r="Y3667" s="15"/>
    </row>
    <row r="3668" spans="1:25" s="12" customFormat="1" ht="102" customHeight="1" x14ac:dyDescent="0.25">
      <c r="B3668" s="2" t="s">
        <v>1601</v>
      </c>
      <c r="C3668" s="5" t="s">
        <v>83</v>
      </c>
      <c r="D3668" s="5" t="s">
        <v>1602</v>
      </c>
      <c r="E3668" s="5" t="s">
        <v>1603</v>
      </c>
      <c r="F3668" s="5" t="s">
        <v>1603</v>
      </c>
      <c r="G3668" s="5" t="s">
        <v>1604</v>
      </c>
      <c r="H3668" s="5" t="s">
        <v>88</v>
      </c>
      <c r="I3668" s="4">
        <v>1</v>
      </c>
      <c r="J3668" s="13">
        <v>710000000</v>
      </c>
      <c r="K3668" s="5" t="s">
        <v>89</v>
      </c>
      <c r="L3668" s="5" t="s">
        <v>1455</v>
      </c>
      <c r="M3668" s="5" t="s">
        <v>696</v>
      </c>
      <c r="N3668" s="2"/>
      <c r="O3668" s="5" t="s">
        <v>697</v>
      </c>
      <c r="P3668" s="5" t="s">
        <v>1550</v>
      </c>
      <c r="Q3668" s="2"/>
      <c r="R3668" s="5"/>
      <c r="S3668" s="18"/>
      <c r="T3668" s="18"/>
      <c r="U3668" s="18">
        <v>0</v>
      </c>
      <c r="V3668" s="18">
        <f t="shared" si="2549"/>
        <v>0</v>
      </c>
      <c r="W3668" s="2" t="s">
        <v>1521</v>
      </c>
      <c r="X3668" s="2">
        <v>2016</v>
      </c>
      <c r="Y3668" s="15" t="s">
        <v>8412</v>
      </c>
    </row>
    <row r="3669" spans="1:25" s="12" customFormat="1" ht="102" customHeight="1" x14ac:dyDescent="0.25">
      <c r="B3669" s="2" t="s">
        <v>8410</v>
      </c>
      <c r="C3669" s="5" t="s">
        <v>83</v>
      </c>
      <c r="D3669" s="5" t="s">
        <v>1602</v>
      </c>
      <c r="E3669" s="5" t="s">
        <v>1603</v>
      </c>
      <c r="F3669" s="5" t="s">
        <v>1603</v>
      </c>
      <c r="G3669" s="5" t="s">
        <v>8411</v>
      </c>
      <c r="H3669" s="5" t="s">
        <v>88</v>
      </c>
      <c r="I3669" s="4">
        <v>1</v>
      </c>
      <c r="J3669" s="13">
        <v>710000000</v>
      </c>
      <c r="K3669" s="5" t="s">
        <v>89</v>
      </c>
      <c r="L3669" s="5" t="s">
        <v>1455</v>
      </c>
      <c r="M3669" s="5" t="s">
        <v>696</v>
      </c>
      <c r="N3669" s="2"/>
      <c r="O3669" s="5" t="s">
        <v>697</v>
      </c>
      <c r="P3669" s="5" t="s">
        <v>1550</v>
      </c>
      <c r="Q3669" s="2"/>
      <c r="R3669" s="5"/>
      <c r="S3669" s="18"/>
      <c r="T3669" s="18"/>
      <c r="U3669" s="18">
        <v>41014393</v>
      </c>
      <c r="V3669" s="18">
        <v>45936120.160000004</v>
      </c>
      <c r="W3669" s="2" t="s">
        <v>1521</v>
      </c>
      <c r="X3669" s="2">
        <v>2016</v>
      </c>
      <c r="Y3669" s="15"/>
    </row>
    <row r="3670" spans="1:25" s="12" customFormat="1" ht="102" customHeight="1" x14ac:dyDescent="0.25">
      <c r="B3670" s="2" t="s">
        <v>1605</v>
      </c>
      <c r="C3670" s="5" t="s">
        <v>83</v>
      </c>
      <c r="D3670" s="5" t="s">
        <v>1602</v>
      </c>
      <c r="E3670" s="5" t="s">
        <v>1603</v>
      </c>
      <c r="F3670" s="5" t="s">
        <v>1603</v>
      </c>
      <c r="G3670" s="5" t="s">
        <v>1606</v>
      </c>
      <c r="H3670" s="5" t="s">
        <v>88</v>
      </c>
      <c r="I3670" s="4">
        <v>1</v>
      </c>
      <c r="J3670" s="13">
        <v>710000000</v>
      </c>
      <c r="K3670" s="5" t="s">
        <v>89</v>
      </c>
      <c r="L3670" s="5" t="s">
        <v>1455</v>
      </c>
      <c r="M3670" s="5" t="s">
        <v>696</v>
      </c>
      <c r="N3670" s="2"/>
      <c r="O3670" s="5" t="s">
        <v>697</v>
      </c>
      <c r="P3670" s="5" t="s">
        <v>1550</v>
      </c>
      <c r="Q3670" s="2"/>
      <c r="R3670" s="5"/>
      <c r="S3670" s="18"/>
      <c r="T3670" s="18"/>
      <c r="U3670" s="18">
        <v>17400000</v>
      </c>
      <c r="V3670" s="18">
        <f t="shared" si="2549"/>
        <v>19488000</v>
      </c>
      <c r="W3670" s="18" t="s">
        <v>1521</v>
      </c>
      <c r="X3670" s="2">
        <v>2016</v>
      </c>
      <c r="Y3670" s="15"/>
    </row>
    <row r="3671" spans="1:25" s="12" customFormat="1" ht="102" customHeight="1" x14ac:dyDescent="0.25">
      <c r="B3671" s="2" t="s">
        <v>1607</v>
      </c>
      <c r="C3671" s="5" t="s">
        <v>83</v>
      </c>
      <c r="D3671" s="5" t="s">
        <v>1602</v>
      </c>
      <c r="E3671" s="5" t="s">
        <v>1603</v>
      </c>
      <c r="F3671" s="5" t="s">
        <v>1603</v>
      </c>
      <c r="G3671" s="5" t="s">
        <v>1608</v>
      </c>
      <c r="H3671" s="5" t="s">
        <v>88</v>
      </c>
      <c r="I3671" s="4">
        <v>1</v>
      </c>
      <c r="J3671" s="13">
        <v>710000000</v>
      </c>
      <c r="K3671" s="5" t="s">
        <v>89</v>
      </c>
      <c r="L3671" s="5" t="s">
        <v>1455</v>
      </c>
      <c r="M3671" s="5" t="s">
        <v>696</v>
      </c>
      <c r="N3671" s="2"/>
      <c r="O3671" s="5" t="s">
        <v>697</v>
      </c>
      <c r="P3671" s="5" t="s">
        <v>1550</v>
      </c>
      <c r="Q3671" s="2"/>
      <c r="R3671" s="5"/>
      <c r="S3671" s="18"/>
      <c r="T3671" s="18"/>
      <c r="U3671" s="18">
        <v>17640000</v>
      </c>
      <c r="V3671" s="18">
        <f t="shared" si="2549"/>
        <v>19756800.000000004</v>
      </c>
      <c r="W3671" s="2" t="s">
        <v>1521</v>
      </c>
      <c r="X3671" s="2">
        <v>2016</v>
      </c>
      <c r="Y3671" s="15"/>
    </row>
    <row r="3672" spans="1:25" s="12" customFormat="1" ht="89.25" customHeight="1" x14ac:dyDescent="0.25">
      <c r="B3672" s="2" t="s">
        <v>1609</v>
      </c>
      <c r="C3672" s="5" t="s">
        <v>83</v>
      </c>
      <c r="D3672" s="5" t="s">
        <v>1602</v>
      </c>
      <c r="E3672" s="5" t="s">
        <v>1603</v>
      </c>
      <c r="F3672" s="5" t="s">
        <v>1603</v>
      </c>
      <c r="G3672" s="5" t="s">
        <v>1610</v>
      </c>
      <c r="H3672" s="5" t="s">
        <v>88</v>
      </c>
      <c r="I3672" s="4">
        <v>1</v>
      </c>
      <c r="J3672" s="13">
        <v>710000000</v>
      </c>
      <c r="K3672" s="5" t="s">
        <v>89</v>
      </c>
      <c r="L3672" s="5" t="s">
        <v>1455</v>
      </c>
      <c r="M3672" s="5" t="s">
        <v>696</v>
      </c>
      <c r="N3672" s="2"/>
      <c r="O3672" s="5" t="s">
        <v>697</v>
      </c>
      <c r="P3672" s="5" t="s">
        <v>1550</v>
      </c>
      <c r="Q3672" s="2"/>
      <c r="R3672" s="5"/>
      <c r="S3672" s="18"/>
      <c r="T3672" s="18"/>
      <c r="U3672" s="18">
        <v>0</v>
      </c>
      <c r="V3672" s="18">
        <f t="shared" si="2549"/>
        <v>0</v>
      </c>
      <c r="W3672" s="18" t="s">
        <v>1521</v>
      </c>
      <c r="X3672" s="2">
        <v>2016</v>
      </c>
      <c r="Y3672" s="15" t="s">
        <v>7460</v>
      </c>
    </row>
    <row r="3673" spans="1:25" s="12" customFormat="1" ht="38.25" customHeight="1" x14ac:dyDescent="0.2">
      <c r="A3673" s="24"/>
      <c r="B3673" s="2" t="s">
        <v>1611</v>
      </c>
      <c r="C3673" s="5" t="s">
        <v>83</v>
      </c>
      <c r="D3673" s="5" t="s">
        <v>1612</v>
      </c>
      <c r="E3673" s="5" t="s">
        <v>1613</v>
      </c>
      <c r="F3673" s="5" t="s">
        <v>1613</v>
      </c>
      <c r="G3673" s="5" t="s">
        <v>1614</v>
      </c>
      <c r="H3673" s="5" t="s">
        <v>88</v>
      </c>
      <c r="I3673" s="4">
        <v>1</v>
      </c>
      <c r="J3673" s="13">
        <v>710000000</v>
      </c>
      <c r="K3673" s="5" t="s">
        <v>89</v>
      </c>
      <c r="L3673" s="5" t="s">
        <v>1455</v>
      </c>
      <c r="M3673" s="5" t="s">
        <v>696</v>
      </c>
      <c r="N3673" s="2"/>
      <c r="O3673" s="5" t="s">
        <v>697</v>
      </c>
      <c r="P3673" s="5" t="s">
        <v>1550</v>
      </c>
      <c r="Q3673" s="2"/>
      <c r="R3673" s="5"/>
      <c r="S3673" s="18"/>
      <c r="T3673" s="18"/>
      <c r="U3673" s="18">
        <v>0</v>
      </c>
      <c r="V3673" s="18">
        <f t="shared" si="2549"/>
        <v>0</v>
      </c>
      <c r="W3673" s="2" t="s">
        <v>1521</v>
      </c>
      <c r="X3673" s="2">
        <v>2016</v>
      </c>
      <c r="Y3673" s="15" t="s">
        <v>1564</v>
      </c>
    </row>
    <row r="3674" spans="1:25" s="12" customFormat="1" ht="38.25" customHeight="1" x14ac:dyDescent="0.2">
      <c r="A3674" s="24"/>
      <c r="B3674" s="2" t="s">
        <v>1615</v>
      </c>
      <c r="C3674" s="5" t="s">
        <v>83</v>
      </c>
      <c r="D3674" s="5" t="s">
        <v>1612</v>
      </c>
      <c r="E3674" s="5" t="s">
        <v>1613</v>
      </c>
      <c r="F3674" s="5" t="s">
        <v>1613</v>
      </c>
      <c r="G3674" s="5" t="s">
        <v>1614</v>
      </c>
      <c r="H3674" s="5" t="s">
        <v>88</v>
      </c>
      <c r="I3674" s="4">
        <v>1</v>
      </c>
      <c r="J3674" s="13">
        <v>710000000</v>
      </c>
      <c r="K3674" s="5" t="s">
        <v>89</v>
      </c>
      <c r="L3674" s="5" t="s">
        <v>1566</v>
      </c>
      <c r="M3674" s="5" t="s">
        <v>696</v>
      </c>
      <c r="N3674" s="2"/>
      <c r="O3674" s="5" t="s">
        <v>697</v>
      </c>
      <c r="P3674" s="5" t="s">
        <v>1550</v>
      </c>
      <c r="Q3674" s="2"/>
      <c r="R3674" s="5"/>
      <c r="S3674" s="18"/>
      <c r="T3674" s="18"/>
      <c r="U3674" s="18">
        <v>0</v>
      </c>
      <c r="V3674" s="18">
        <f t="shared" si="2549"/>
        <v>0</v>
      </c>
      <c r="W3674" s="18" t="s">
        <v>1521</v>
      </c>
      <c r="X3674" s="2">
        <v>2016</v>
      </c>
      <c r="Y3674" s="15" t="s">
        <v>9304</v>
      </c>
    </row>
    <row r="3675" spans="1:25" s="12" customFormat="1" ht="38.25" customHeight="1" x14ac:dyDescent="0.25">
      <c r="B3675" s="2" t="s">
        <v>9300</v>
      </c>
      <c r="C3675" s="5" t="s">
        <v>83</v>
      </c>
      <c r="D3675" s="5" t="s">
        <v>1612</v>
      </c>
      <c r="E3675" s="5" t="s">
        <v>1613</v>
      </c>
      <c r="F3675" s="5" t="s">
        <v>1613</v>
      </c>
      <c r="G3675" s="5" t="s">
        <v>1614</v>
      </c>
      <c r="H3675" s="5" t="s">
        <v>88</v>
      </c>
      <c r="I3675" s="4">
        <v>1</v>
      </c>
      <c r="J3675" s="13">
        <v>710000000</v>
      </c>
      <c r="K3675" s="5" t="s">
        <v>89</v>
      </c>
      <c r="L3675" s="5" t="s">
        <v>1566</v>
      </c>
      <c r="M3675" s="5" t="s">
        <v>696</v>
      </c>
      <c r="N3675" s="2"/>
      <c r="O3675" s="5" t="s">
        <v>9301</v>
      </c>
      <c r="P3675" s="5" t="s">
        <v>1550</v>
      </c>
      <c r="Q3675" s="2"/>
      <c r="R3675" s="5"/>
      <c r="S3675" s="18"/>
      <c r="T3675" s="18"/>
      <c r="U3675" s="18">
        <v>2535000</v>
      </c>
      <c r="V3675" s="18">
        <f>U3675*1.12</f>
        <v>2839200.0000000005</v>
      </c>
      <c r="W3675" s="18"/>
      <c r="X3675" s="2">
        <v>2016</v>
      </c>
      <c r="Y3675" s="15"/>
    </row>
    <row r="3676" spans="1:25" s="12" customFormat="1" ht="38.25" customHeight="1" x14ac:dyDescent="0.2">
      <c r="A3676" s="24"/>
      <c r="B3676" s="2" t="s">
        <v>1616</v>
      </c>
      <c r="C3676" s="5" t="s">
        <v>83</v>
      </c>
      <c r="D3676" s="5" t="s">
        <v>1617</v>
      </c>
      <c r="E3676" s="5" t="s">
        <v>1618</v>
      </c>
      <c r="F3676" s="5" t="s">
        <v>1618</v>
      </c>
      <c r="G3676" s="5" t="s">
        <v>1619</v>
      </c>
      <c r="H3676" s="5" t="s">
        <v>88</v>
      </c>
      <c r="I3676" s="4">
        <v>1</v>
      </c>
      <c r="J3676" s="13">
        <v>710000000</v>
      </c>
      <c r="K3676" s="5" t="s">
        <v>89</v>
      </c>
      <c r="L3676" s="5" t="s">
        <v>1455</v>
      </c>
      <c r="M3676" s="5" t="s">
        <v>696</v>
      </c>
      <c r="N3676" s="2"/>
      <c r="O3676" s="5" t="s">
        <v>697</v>
      </c>
      <c r="P3676" s="5" t="s">
        <v>1550</v>
      </c>
      <c r="Q3676" s="2"/>
      <c r="R3676" s="5"/>
      <c r="S3676" s="18"/>
      <c r="T3676" s="18"/>
      <c r="U3676" s="18">
        <v>0</v>
      </c>
      <c r="V3676" s="18">
        <f t="shared" si="2549"/>
        <v>0</v>
      </c>
      <c r="W3676" s="2" t="s">
        <v>1521</v>
      </c>
      <c r="X3676" s="2">
        <v>2016</v>
      </c>
      <c r="Y3676" s="15" t="s">
        <v>1564</v>
      </c>
    </row>
    <row r="3677" spans="1:25" s="12" customFormat="1" ht="38.25" customHeight="1" x14ac:dyDescent="0.2">
      <c r="A3677" s="24"/>
      <c r="B3677" s="2" t="s">
        <v>1620</v>
      </c>
      <c r="C3677" s="5" t="s">
        <v>83</v>
      </c>
      <c r="D3677" s="5" t="s">
        <v>1617</v>
      </c>
      <c r="E3677" s="5" t="s">
        <v>1618</v>
      </c>
      <c r="F3677" s="5" t="s">
        <v>1618</v>
      </c>
      <c r="G3677" s="5" t="s">
        <v>1619</v>
      </c>
      <c r="H3677" s="5" t="s">
        <v>88</v>
      </c>
      <c r="I3677" s="4">
        <v>1</v>
      </c>
      <c r="J3677" s="13">
        <v>710000000</v>
      </c>
      <c r="K3677" s="5" t="s">
        <v>89</v>
      </c>
      <c r="L3677" s="5" t="s">
        <v>1566</v>
      </c>
      <c r="M3677" s="5" t="s">
        <v>696</v>
      </c>
      <c r="N3677" s="2"/>
      <c r="O3677" s="5" t="s">
        <v>697</v>
      </c>
      <c r="P3677" s="5" t="s">
        <v>1550</v>
      </c>
      <c r="Q3677" s="2"/>
      <c r="R3677" s="5"/>
      <c r="S3677" s="18"/>
      <c r="T3677" s="18"/>
      <c r="U3677" s="18">
        <v>0</v>
      </c>
      <c r="V3677" s="18">
        <f t="shared" si="2549"/>
        <v>0</v>
      </c>
      <c r="W3677" s="18" t="s">
        <v>1521</v>
      </c>
      <c r="X3677" s="2">
        <v>2016</v>
      </c>
      <c r="Y3677" s="15" t="s">
        <v>1590</v>
      </c>
    </row>
    <row r="3678" spans="1:25" s="12" customFormat="1" ht="38.25" customHeight="1" x14ac:dyDescent="0.2">
      <c r="A3678" s="24"/>
      <c r="B3678" s="2" t="s">
        <v>7684</v>
      </c>
      <c r="C3678" s="5" t="s">
        <v>83</v>
      </c>
      <c r="D3678" s="5" t="s">
        <v>1617</v>
      </c>
      <c r="E3678" s="5" t="s">
        <v>1618</v>
      </c>
      <c r="F3678" s="5" t="s">
        <v>1618</v>
      </c>
      <c r="G3678" s="5" t="s">
        <v>1619</v>
      </c>
      <c r="H3678" s="5" t="s">
        <v>88</v>
      </c>
      <c r="I3678" s="4">
        <v>1</v>
      </c>
      <c r="J3678" s="13">
        <v>710000000</v>
      </c>
      <c r="K3678" s="5" t="s">
        <v>89</v>
      </c>
      <c r="L3678" s="5" t="s">
        <v>7685</v>
      </c>
      <c r="M3678" s="5" t="s">
        <v>696</v>
      </c>
      <c r="N3678" s="2"/>
      <c r="O3678" s="5" t="s">
        <v>697</v>
      </c>
      <c r="P3678" s="5" t="s">
        <v>1550</v>
      </c>
      <c r="Q3678" s="2"/>
      <c r="R3678" s="5"/>
      <c r="S3678" s="18"/>
      <c r="T3678" s="18"/>
      <c r="U3678" s="18">
        <v>0</v>
      </c>
      <c r="V3678" s="18">
        <f t="shared" ref="V3678" si="2552">U3678*1.12</f>
        <v>0</v>
      </c>
      <c r="W3678" s="18" t="s">
        <v>1521</v>
      </c>
      <c r="X3678" s="2">
        <v>2016</v>
      </c>
      <c r="Y3678" s="15" t="s">
        <v>8366</v>
      </c>
    </row>
    <row r="3679" spans="1:25" s="12" customFormat="1" ht="76.5" customHeight="1" x14ac:dyDescent="0.25">
      <c r="B3679" s="2" t="s">
        <v>7819</v>
      </c>
      <c r="C3679" s="5" t="s">
        <v>83</v>
      </c>
      <c r="D3679" s="5" t="s">
        <v>1617</v>
      </c>
      <c r="E3679" s="5" t="s">
        <v>1618</v>
      </c>
      <c r="F3679" s="5" t="s">
        <v>1618</v>
      </c>
      <c r="G3679" s="5" t="s">
        <v>7821</v>
      </c>
      <c r="H3679" s="5" t="s">
        <v>88</v>
      </c>
      <c r="I3679" s="4">
        <v>0</v>
      </c>
      <c r="J3679" s="13">
        <v>710000000</v>
      </c>
      <c r="K3679" s="5" t="s">
        <v>89</v>
      </c>
      <c r="L3679" s="5" t="s">
        <v>8365</v>
      </c>
      <c r="M3679" s="5" t="s">
        <v>696</v>
      </c>
      <c r="N3679" s="2"/>
      <c r="O3679" s="5" t="s">
        <v>7820</v>
      </c>
      <c r="P3679" s="5" t="s">
        <v>1550</v>
      </c>
      <c r="Q3679" s="2"/>
      <c r="R3679" s="5"/>
      <c r="S3679" s="18"/>
      <c r="T3679" s="18"/>
      <c r="U3679" s="18">
        <v>0</v>
      </c>
      <c r="V3679" s="18">
        <f t="shared" ref="V3679" si="2553">U3679*1.12</f>
        <v>0</v>
      </c>
      <c r="W3679" s="18"/>
      <c r="X3679" s="2">
        <v>2016</v>
      </c>
      <c r="Y3679" s="15" t="s">
        <v>8407</v>
      </c>
    </row>
    <row r="3680" spans="1:25" s="12" customFormat="1" ht="76.5" customHeight="1" x14ac:dyDescent="0.25">
      <c r="B3680" s="2" t="s">
        <v>8406</v>
      </c>
      <c r="C3680" s="5" t="s">
        <v>83</v>
      </c>
      <c r="D3680" s="5" t="s">
        <v>1617</v>
      </c>
      <c r="E3680" s="5" t="s">
        <v>1618</v>
      </c>
      <c r="F3680" s="5" t="s">
        <v>1618</v>
      </c>
      <c r="G3680" s="5" t="s">
        <v>7821</v>
      </c>
      <c r="H3680" s="5" t="s">
        <v>88</v>
      </c>
      <c r="I3680" s="4">
        <v>0</v>
      </c>
      <c r="J3680" s="13">
        <v>710000000</v>
      </c>
      <c r="K3680" s="5" t="s">
        <v>89</v>
      </c>
      <c r="L3680" s="5" t="s">
        <v>8365</v>
      </c>
      <c r="M3680" s="5" t="s">
        <v>696</v>
      </c>
      <c r="N3680" s="2"/>
      <c r="O3680" s="5" t="s">
        <v>697</v>
      </c>
      <c r="P3680" s="5" t="s">
        <v>1550</v>
      </c>
      <c r="Q3680" s="2"/>
      <c r="R3680" s="5"/>
      <c r="S3680" s="18"/>
      <c r="T3680" s="18"/>
      <c r="U3680" s="18">
        <v>0</v>
      </c>
      <c r="V3680" s="18">
        <f t="shared" ref="V3680" si="2554">U3680*1.12</f>
        <v>0</v>
      </c>
      <c r="W3680" s="18"/>
      <c r="X3680" s="2">
        <v>2016</v>
      </c>
      <c r="Y3680" s="15" t="s">
        <v>1590</v>
      </c>
    </row>
    <row r="3681" spans="1:25" s="12" customFormat="1" ht="76.5" customHeight="1" x14ac:dyDescent="0.25">
      <c r="B3681" s="2" t="s">
        <v>8728</v>
      </c>
      <c r="C3681" s="5" t="s">
        <v>83</v>
      </c>
      <c r="D3681" s="5" t="s">
        <v>1617</v>
      </c>
      <c r="E3681" s="5" t="s">
        <v>1618</v>
      </c>
      <c r="F3681" s="5" t="s">
        <v>1618</v>
      </c>
      <c r="G3681" s="5" t="s">
        <v>7821</v>
      </c>
      <c r="H3681" s="5" t="s">
        <v>88</v>
      </c>
      <c r="I3681" s="4">
        <v>0</v>
      </c>
      <c r="J3681" s="13">
        <v>710000000</v>
      </c>
      <c r="K3681" s="5" t="s">
        <v>89</v>
      </c>
      <c r="L3681" s="5" t="s">
        <v>8727</v>
      </c>
      <c r="M3681" s="5" t="s">
        <v>696</v>
      </c>
      <c r="N3681" s="2"/>
      <c r="O3681" s="5" t="s">
        <v>697</v>
      </c>
      <c r="P3681" s="5" t="s">
        <v>1550</v>
      </c>
      <c r="Q3681" s="2"/>
      <c r="R3681" s="5"/>
      <c r="S3681" s="18"/>
      <c r="T3681" s="18"/>
      <c r="U3681" s="18">
        <v>0</v>
      </c>
      <c r="V3681" s="18">
        <f t="shared" ref="V3681" si="2555">U3681*1.12</f>
        <v>0</v>
      </c>
      <c r="W3681" s="18"/>
      <c r="X3681" s="2">
        <v>2016</v>
      </c>
      <c r="Y3681" s="15" t="s">
        <v>7513</v>
      </c>
    </row>
    <row r="3682" spans="1:25" s="12" customFormat="1" ht="76.5" customHeight="1" x14ac:dyDescent="0.25">
      <c r="B3682" s="2" t="s">
        <v>9286</v>
      </c>
      <c r="C3682" s="5" t="s">
        <v>83</v>
      </c>
      <c r="D3682" s="5" t="s">
        <v>1617</v>
      </c>
      <c r="E3682" s="5" t="s">
        <v>1618</v>
      </c>
      <c r="F3682" s="5" t="s">
        <v>1618</v>
      </c>
      <c r="G3682" s="5" t="s">
        <v>7821</v>
      </c>
      <c r="H3682" s="5" t="s">
        <v>88</v>
      </c>
      <c r="I3682" s="4">
        <v>0</v>
      </c>
      <c r="J3682" s="13">
        <v>710000000</v>
      </c>
      <c r="K3682" s="5" t="s">
        <v>89</v>
      </c>
      <c r="L3682" s="5" t="s">
        <v>9287</v>
      </c>
      <c r="M3682" s="5" t="s">
        <v>696</v>
      </c>
      <c r="N3682" s="2"/>
      <c r="O3682" s="5" t="s">
        <v>697</v>
      </c>
      <c r="P3682" s="5" t="s">
        <v>1550</v>
      </c>
      <c r="Q3682" s="2"/>
      <c r="R3682" s="5"/>
      <c r="S3682" s="18"/>
      <c r="T3682" s="18"/>
      <c r="U3682" s="18">
        <v>6600000</v>
      </c>
      <c r="V3682" s="18">
        <f t="shared" ref="V3682:V3685" si="2556">U3682*1.12</f>
        <v>7392000.0000000009</v>
      </c>
      <c r="W3682" s="18"/>
      <c r="X3682" s="2">
        <v>2016</v>
      </c>
      <c r="Y3682" s="15"/>
    </row>
    <row r="3683" spans="1:25" s="12" customFormat="1" ht="51" customHeight="1" x14ac:dyDescent="0.25">
      <c r="B3683" s="2" t="s">
        <v>1621</v>
      </c>
      <c r="C3683" s="5" t="s">
        <v>83</v>
      </c>
      <c r="D3683" s="5" t="s">
        <v>1622</v>
      </c>
      <c r="E3683" s="5" t="s">
        <v>1623</v>
      </c>
      <c r="F3683" s="5" t="s">
        <v>1623</v>
      </c>
      <c r="G3683" s="5" t="s">
        <v>1624</v>
      </c>
      <c r="H3683" s="5" t="s">
        <v>88</v>
      </c>
      <c r="I3683" s="4">
        <v>1</v>
      </c>
      <c r="J3683" s="13">
        <v>710000000</v>
      </c>
      <c r="K3683" s="5" t="s">
        <v>89</v>
      </c>
      <c r="L3683" s="5" t="s">
        <v>1455</v>
      </c>
      <c r="M3683" s="5" t="s">
        <v>696</v>
      </c>
      <c r="N3683" s="2"/>
      <c r="O3683" s="5" t="s">
        <v>697</v>
      </c>
      <c r="P3683" s="5" t="s">
        <v>1550</v>
      </c>
      <c r="Q3683" s="2"/>
      <c r="R3683" s="5"/>
      <c r="S3683" s="18"/>
      <c r="T3683" s="18"/>
      <c r="U3683" s="18">
        <v>0</v>
      </c>
      <c r="V3683" s="18">
        <f t="shared" si="2549"/>
        <v>0</v>
      </c>
      <c r="W3683" s="2" t="s">
        <v>1521</v>
      </c>
      <c r="X3683" s="2">
        <v>2016</v>
      </c>
      <c r="Y3683" s="15" t="s">
        <v>8412</v>
      </c>
    </row>
    <row r="3684" spans="1:25" s="12" customFormat="1" ht="51" customHeight="1" x14ac:dyDescent="0.25">
      <c r="B3684" s="2" t="s">
        <v>8413</v>
      </c>
      <c r="C3684" s="5" t="s">
        <v>83</v>
      </c>
      <c r="D3684" s="5" t="s">
        <v>1622</v>
      </c>
      <c r="E3684" s="5" t="s">
        <v>1623</v>
      </c>
      <c r="F3684" s="5" t="s">
        <v>1623</v>
      </c>
      <c r="G3684" s="5" t="s">
        <v>8414</v>
      </c>
      <c r="H3684" s="5" t="s">
        <v>88</v>
      </c>
      <c r="I3684" s="4">
        <v>1</v>
      </c>
      <c r="J3684" s="13">
        <v>710000000</v>
      </c>
      <c r="K3684" s="5" t="s">
        <v>89</v>
      </c>
      <c r="L3684" s="5" t="s">
        <v>1455</v>
      </c>
      <c r="M3684" s="5" t="s">
        <v>696</v>
      </c>
      <c r="N3684" s="2"/>
      <c r="O3684" s="5" t="s">
        <v>697</v>
      </c>
      <c r="P3684" s="5" t="s">
        <v>1550</v>
      </c>
      <c r="Q3684" s="2"/>
      <c r="R3684" s="5"/>
      <c r="S3684" s="18"/>
      <c r="T3684" s="18"/>
      <c r="U3684" s="18">
        <v>0</v>
      </c>
      <c r="V3684" s="18">
        <f t="shared" si="2556"/>
        <v>0</v>
      </c>
      <c r="W3684" s="2" t="s">
        <v>1521</v>
      </c>
      <c r="X3684" s="2">
        <v>2016</v>
      </c>
      <c r="Y3684" s="15" t="s">
        <v>7667</v>
      </c>
    </row>
    <row r="3685" spans="1:25" s="12" customFormat="1" ht="51" customHeight="1" x14ac:dyDescent="0.25">
      <c r="B3685" s="2" t="s">
        <v>9680</v>
      </c>
      <c r="C3685" s="5" t="s">
        <v>83</v>
      </c>
      <c r="D3685" s="5" t="s">
        <v>1622</v>
      </c>
      <c r="E3685" s="5" t="s">
        <v>1623</v>
      </c>
      <c r="F3685" s="5" t="s">
        <v>1623</v>
      </c>
      <c r="G3685" s="5" t="s">
        <v>8414</v>
      </c>
      <c r="H3685" s="5" t="s">
        <v>88</v>
      </c>
      <c r="I3685" s="4">
        <v>1</v>
      </c>
      <c r="J3685" s="13">
        <v>710000000</v>
      </c>
      <c r="K3685" s="5" t="s">
        <v>89</v>
      </c>
      <c r="L3685" s="5" t="s">
        <v>1455</v>
      </c>
      <c r="M3685" s="5" t="s">
        <v>696</v>
      </c>
      <c r="N3685" s="2"/>
      <c r="O3685" s="5" t="s">
        <v>697</v>
      </c>
      <c r="P3685" s="5" t="s">
        <v>1550</v>
      </c>
      <c r="Q3685" s="2"/>
      <c r="R3685" s="5"/>
      <c r="S3685" s="18"/>
      <c r="T3685" s="18"/>
      <c r="U3685" s="18">
        <v>35617408.700000003</v>
      </c>
      <c r="V3685" s="18">
        <f t="shared" si="2556"/>
        <v>39891497.74400001</v>
      </c>
      <c r="W3685" s="2" t="s">
        <v>1521</v>
      </c>
      <c r="X3685" s="2">
        <v>2016</v>
      </c>
      <c r="Y3685" s="15"/>
    </row>
    <row r="3686" spans="1:25" s="12" customFormat="1" ht="51" customHeight="1" x14ac:dyDescent="0.2">
      <c r="A3686" s="24"/>
      <c r="B3686" s="2" t="s">
        <v>1625</v>
      </c>
      <c r="C3686" s="5" t="s">
        <v>83</v>
      </c>
      <c r="D3686" s="5" t="s">
        <v>1622</v>
      </c>
      <c r="E3686" s="5" t="s">
        <v>1623</v>
      </c>
      <c r="F3686" s="5" t="s">
        <v>1623</v>
      </c>
      <c r="G3686" s="5" t="s">
        <v>1626</v>
      </c>
      <c r="H3686" s="5" t="s">
        <v>88</v>
      </c>
      <c r="I3686" s="4">
        <v>1</v>
      </c>
      <c r="J3686" s="13">
        <v>710000000</v>
      </c>
      <c r="K3686" s="5" t="s">
        <v>89</v>
      </c>
      <c r="L3686" s="5" t="s">
        <v>90</v>
      </c>
      <c r="M3686" s="6" t="s">
        <v>728</v>
      </c>
      <c r="N3686" s="2"/>
      <c r="O3686" s="5" t="s">
        <v>697</v>
      </c>
      <c r="P3686" s="5" t="s">
        <v>1550</v>
      </c>
      <c r="Q3686" s="2"/>
      <c r="R3686" s="5"/>
      <c r="S3686" s="18"/>
      <c r="T3686" s="18"/>
      <c r="U3686" s="18">
        <v>0</v>
      </c>
      <c r="V3686" s="18">
        <f>U3686*1.12</f>
        <v>0</v>
      </c>
      <c r="W3686" s="18" t="s">
        <v>1521</v>
      </c>
      <c r="X3686" s="2">
        <v>2016</v>
      </c>
      <c r="Y3686" s="15" t="s">
        <v>1590</v>
      </c>
    </row>
    <row r="3687" spans="1:25" s="12" customFormat="1" ht="51" customHeight="1" x14ac:dyDescent="0.25">
      <c r="B3687" s="2" t="s">
        <v>7522</v>
      </c>
      <c r="C3687" s="5" t="s">
        <v>83</v>
      </c>
      <c r="D3687" s="5" t="s">
        <v>1622</v>
      </c>
      <c r="E3687" s="5" t="s">
        <v>1623</v>
      </c>
      <c r="F3687" s="5" t="s">
        <v>1623</v>
      </c>
      <c r="G3687" s="5" t="s">
        <v>1626</v>
      </c>
      <c r="H3687" s="5" t="s">
        <v>88</v>
      </c>
      <c r="I3687" s="4">
        <v>1</v>
      </c>
      <c r="J3687" s="13">
        <v>710000000</v>
      </c>
      <c r="K3687" s="5" t="s">
        <v>89</v>
      </c>
      <c r="L3687" s="5" t="s">
        <v>7470</v>
      </c>
      <c r="M3687" s="6" t="s">
        <v>728</v>
      </c>
      <c r="N3687" s="2"/>
      <c r="O3687" s="5" t="s">
        <v>697</v>
      </c>
      <c r="P3687" s="5" t="s">
        <v>1550</v>
      </c>
      <c r="Q3687" s="2"/>
      <c r="R3687" s="5"/>
      <c r="S3687" s="18"/>
      <c r="T3687" s="18"/>
      <c r="U3687" s="18">
        <f>825428.57+848357.14+160714.29</f>
        <v>1834500</v>
      </c>
      <c r="V3687" s="18">
        <f>U3687*1.12</f>
        <v>2054640.0000000002</v>
      </c>
      <c r="W3687" s="18" t="s">
        <v>1521</v>
      </c>
      <c r="X3687" s="2">
        <v>2016</v>
      </c>
      <c r="Y3687" s="15"/>
    </row>
    <row r="3688" spans="1:25" s="12" customFormat="1" ht="89.25" customHeight="1" x14ac:dyDescent="0.25">
      <c r="B3688" s="2" t="s">
        <v>1627</v>
      </c>
      <c r="C3688" s="5" t="s">
        <v>83</v>
      </c>
      <c r="D3688" s="5" t="s">
        <v>1628</v>
      </c>
      <c r="E3688" s="5" t="s">
        <v>1629</v>
      </c>
      <c r="F3688" s="5" t="s">
        <v>1630</v>
      </c>
      <c r="G3688" s="5"/>
      <c r="H3688" s="2" t="s">
        <v>694</v>
      </c>
      <c r="I3688" s="4">
        <v>1</v>
      </c>
      <c r="J3688" s="13">
        <v>710000000</v>
      </c>
      <c r="K3688" s="5" t="s">
        <v>89</v>
      </c>
      <c r="L3688" s="5" t="s">
        <v>90</v>
      </c>
      <c r="M3688" s="5" t="s">
        <v>696</v>
      </c>
      <c r="N3688" s="2"/>
      <c r="O3688" s="5" t="s">
        <v>697</v>
      </c>
      <c r="P3688" s="5" t="s">
        <v>1550</v>
      </c>
      <c r="Q3688" s="2"/>
      <c r="R3688" s="5"/>
      <c r="S3688" s="18"/>
      <c r="T3688" s="18"/>
      <c r="U3688" s="18">
        <v>16769474</v>
      </c>
      <c r="V3688" s="18">
        <f>U3688*1.12</f>
        <v>18781810.880000003</v>
      </c>
      <c r="W3688" s="2" t="s">
        <v>1521</v>
      </c>
      <c r="X3688" s="2">
        <v>2016</v>
      </c>
      <c r="Y3688" s="15"/>
    </row>
    <row r="3689" spans="1:25" s="12" customFormat="1" ht="89.25" customHeight="1" x14ac:dyDescent="0.25">
      <c r="B3689" s="2" t="s">
        <v>1631</v>
      </c>
      <c r="C3689" s="5" t="s">
        <v>83</v>
      </c>
      <c r="D3689" s="5" t="s">
        <v>1628</v>
      </c>
      <c r="E3689" s="5" t="s">
        <v>1629</v>
      </c>
      <c r="F3689" s="5" t="s">
        <v>1630</v>
      </c>
      <c r="G3689" s="5"/>
      <c r="H3689" s="2" t="s">
        <v>694</v>
      </c>
      <c r="I3689" s="4">
        <v>1</v>
      </c>
      <c r="J3689" s="13">
        <v>710000000</v>
      </c>
      <c r="K3689" s="5" t="s">
        <v>89</v>
      </c>
      <c r="L3689" s="5" t="s">
        <v>90</v>
      </c>
      <c r="M3689" s="6" t="s">
        <v>682</v>
      </c>
      <c r="N3689" s="2"/>
      <c r="O3689" s="5" t="s">
        <v>697</v>
      </c>
      <c r="P3689" s="5" t="s">
        <v>1550</v>
      </c>
      <c r="Q3689" s="2"/>
      <c r="R3689" s="5"/>
      <c r="S3689" s="18"/>
      <c r="T3689" s="18"/>
      <c r="U3689" s="18">
        <v>1336000</v>
      </c>
      <c r="V3689" s="18">
        <f>U3689*1.12</f>
        <v>1496320.0000000002</v>
      </c>
      <c r="W3689" s="18" t="s">
        <v>1521</v>
      </c>
      <c r="X3689" s="2">
        <v>2016</v>
      </c>
      <c r="Y3689" s="15"/>
    </row>
    <row r="3690" spans="1:25" s="12" customFormat="1" ht="89.25" customHeight="1" x14ac:dyDescent="0.25">
      <c r="B3690" s="2" t="s">
        <v>1632</v>
      </c>
      <c r="C3690" s="5" t="s">
        <v>83</v>
      </c>
      <c r="D3690" s="5" t="s">
        <v>1628</v>
      </c>
      <c r="E3690" s="5" t="s">
        <v>1629</v>
      </c>
      <c r="F3690" s="5" t="s">
        <v>1630</v>
      </c>
      <c r="G3690" s="5"/>
      <c r="H3690" s="2" t="s">
        <v>694</v>
      </c>
      <c r="I3690" s="4">
        <v>1</v>
      </c>
      <c r="J3690" s="13">
        <v>710000000</v>
      </c>
      <c r="K3690" s="5" t="s">
        <v>89</v>
      </c>
      <c r="L3690" s="5" t="s">
        <v>90</v>
      </c>
      <c r="M3690" s="6" t="s">
        <v>703</v>
      </c>
      <c r="N3690" s="2"/>
      <c r="O3690" s="5" t="s">
        <v>697</v>
      </c>
      <c r="P3690" s="5" t="s">
        <v>1550</v>
      </c>
      <c r="Q3690" s="2"/>
      <c r="R3690" s="5"/>
      <c r="S3690" s="18"/>
      <c r="T3690" s="18"/>
      <c r="U3690" s="18">
        <f>1192000+803000+1012000+180000</f>
        <v>3187000</v>
      </c>
      <c r="V3690" s="18">
        <f>U3690*1.12</f>
        <v>3569440.0000000005</v>
      </c>
      <c r="W3690" s="2" t="s">
        <v>1521</v>
      </c>
      <c r="X3690" s="2">
        <v>2016</v>
      </c>
      <c r="Y3690" s="15"/>
    </row>
    <row r="3691" spans="1:25" s="12" customFormat="1" ht="51" customHeight="1" x14ac:dyDescent="0.25">
      <c r="B3691" s="2" t="s">
        <v>1633</v>
      </c>
      <c r="C3691" s="5" t="s">
        <v>83</v>
      </c>
      <c r="D3691" s="5" t="s">
        <v>1634</v>
      </c>
      <c r="E3691" s="5" t="s">
        <v>1635</v>
      </c>
      <c r="F3691" s="5" t="s">
        <v>1636</v>
      </c>
      <c r="G3691" s="5"/>
      <c r="H3691" s="2" t="s">
        <v>694</v>
      </c>
      <c r="I3691" s="4">
        <v>1</v>
      </c>
      <c r="J3691" s="13">
        <v>710000000</v>
      </c>
      <c r="K3691" s="5" t="s">
        <v>89</v>
      </c>
      <c r="L3691" s="5" t="s">
        <v>90</v>
      </c>
      <c r="M3691" s="6" t="s">
        <v>701</v>
      </c>
      <c r="N3691" s="2"/>
      <c r="O3691" s="5" t="s">
        <v>697</v>
      </c>
      <c r="P3691" s="5" t="s">
        <v>1550</v>
      </c>
      <c r="Q3691" s="2"/>
      <c r="R3691" s="5"/>
      <c r="S3691" s="18"/>
      <c r="T3691" s="18"/>
      <c r="U3691" s="18">
        <v>0</v>
      </c>
      <c r="V3691" s="18">
        <f t="shared" ref="V3691:V3705" si="2557">U3691*1.12</f>
        <v>0</v>
      </c>
      <c r="W3691" s="18" t="s">
        <v>1521</v>
      </c>
      <c r="X3691" s="2">
        <v>2016</v>
      </c>
      <c r="Y3691" s="15" t="s">
        <v>1590</v>
      </c>
    </row>
    <row r="3692" spans="1:25" s="12" customFormat="1" ht="51" customHeight="1" x14ac:dyDescent="0.25">
      <c r="B3692" s="2" t="s">
        <v>8719</v>
      </c>
      <c r="C3692" s="5" t="s">
        <v>83</v>
      </c>
      <c r="D3692" s="5" t="s">
        <v>1634</v>
      </c>
      <c r="E3692" s="5" t="s">
        <v>1635</v>
      </c>
      <c r="F3692" s="5" t="s">
        <v>1636</v>
      </c>
      <c r="G3692" s="5"/>
      <c r="H3692" s="2" t="s">
        <v>694</v>
      </c>
      <c r="I3692" s="4">
        <v>1</v>
      </c>
      <c r="J3692" s="13">
        <v>710000000</v>
      </c>
      <c r="K3692" s="5" t="s">
        <v>89</v>
      </c>
      <c r="L3692" s="5" t="s">
        <v>8710</v>
      </c>
      <c r="M3692" s="6" t="s">
        <v>701</v>
      </c>
      <c r="N3692" s="2"/>
      <c r="O3692" s="5" t="s">
        <v>697</v>
      </c>
      <c r="P3692" s="5" t="s">
        <v>1550</v>
      </c>
      <c r="Q3692" s="2"/>
      <c r="R3692" s="5"/>
      <c r="S3692" s="18"/>
      <c r="T3692" s="18"/>
      <c r="U3692" s="18">
        <v>1150891</v>
      </c>
      <c r="V3692" s="18">
        <f t="shared" ref="V3692" si="2558">U3692*1.12</f>
        <v>1288997.9200000002</v>
      </c>
      <c r="W3692" s="18" t="s">
        <v>1521</v>
      </c>
      <c r="X3692" s="2">
        <v>2016</v>
      </c>
      <c r="Y3692" s="15"/>
    </row>
    <row r="3693" spans="1:25" s="12" customFormat="1" ht="51" customHeight="1" x14ac:dyDescent="0.25">
      <c r="B3693" s="2" t="s">
        <v>1637</v>
      </c>
      <c r="C3693" s="5" t="s">
        <v>83</v>
      </c>
      <c r="D3693" s="5" t="s">
        <v>1634</v>
      </c>
      <c r="E3693" s="5" t="s">
        <v>1635</v>
      </c>
      <c r="F3693" s="5" t="s">
        <v>1636</v>
      </c>
      <c r="G3693" s="5"/>
      <c r="H3693" s="2" t="s">
        <v>694</v>
      </c>
      <c r="I3693" s="4">
        <v>1</v>
      </c>
      <c r="J3693" s="13">
        <v>710000000</v>
      </c>
      <c r="K3693" s="5" t="s">
        <v>89</v>
      </c>
      <c r="L3693" s="5" t="s">
        <v>90</v>
      </c>
      <c r="M3693" s="3" t="s">
        <v>689</v>
      </c>
      <c r="N3693" s="2"/>
      <c r="O3693" s="5" t="s">
        <v>697</v>
      </c>
      <c r="P3693" s="5" t="s">
        <v>1550</v>
      </c>
      <c r="Q3693" s="2"/>
      <c r="R3693" s="5"/>
      <c r="S3693" s="18"/>
      <c r="T3693" s="18"/>
      <c r="U3693" s="18">
        <v>90000</v>
      </c>
      <c r="V3693" s="18">
        <f t="shared" si="2557"/>
        <v>100800.00000000001</v>
      </c>
      <c r="W3693" s="2" t="s">
        <v>1521</v>
      </c>
      <c r="X3693" s="2">
        <v>2016</v>
      </c>
      <c r="Y3693" s="15"/>
    </row>
    <row r="3694" spans="1:25" s="12" customFormat="1" ht="51" customHeight="1" x14ac:dyDescent="0.25">
      <c r="B3694" s="2" t="s">
        <v>1638</v>
      </c>
      <c r="C3694" s="5" t="s">
        <v>83</v>
      </c>
      <c r="D3694" s="5" t="s">
        <v>1634</v>
      </c>
      <c r="E3694" s="5" t="s">
        <v>1635</v>
      </c>
      <c r="F3694" s="5" t="s">
        <v>1636</v>
      </c>
      <c r="G3694" s="5"/>
      <c r="H3694" s="2" t="s">
        <v>694</v>
      </c>
      <c r="I3694" s="4">
        <v>1</v>
      </c>
      <c r="J3694" s="13">
        <v>710000000</v>
      </c>
      <c r="K3694" s="5" t="s">
        <v>89</v>
      </c>
      <c r="L3694" s="5" t="s">
        <v>90</v>
      </c>
      <c r="M3694" s="6" t="s">
        <v>682</v>
      </c>
      <c r="N3694" s="2"/>
      <c r="O3694" s="5" t="s">
        <v>697</v>
      </c>
      <c r="P3694" s="5" t="s">
        <v>1550</v>
      </c>
      <c r="Q3694" s="2"/>
      <c r="R3694" s="5"/>
      <c r="S3694" s="18"/>
      <c r="T3694" s="18"/>
      <c r="U3694" s="18">
        <v>500400</v>
      </c>
      <c r="V3694" s="18">
        <f t="shared" si="2557"/>
        <v>560448</v>
      </c>
      <c r="W3694" s="18" t="s">
        <v>1521</v>
      </c>
      <c r="X3694" s="2">
        <v>2016</v>
      </c>
      <c r="Y3694" s="15"/>
    </row>
    <row r="3695" spans="1:25" s="12" customFormat="1" ht="51" customHeight="1" x14ac:dyDescent="0.25">
      <c r="B3695" s="2" t="s">
        <v>1639</v>
      </c>
      <c r="C3695" s="5" t="s">
        <v>83</v>
      </c>
      <c r="D3695" s="5" t="s">
        <v>1634</v>
      </c>
      <c r="E3695" s="5" t="s">
        <v>1635</v>
      </c>
      <c r="F3695" s="5" t="s">
        <v>1636</v>
      </c>
      <c r="G3695" s="5"/>
      <c r="H3695" s="2" t="s">
        <v>694</v>
      </c>
      <c r="I3695" s="4">
        <v>1</v>
      </c>
      <c r="J3695" s="13">
        <v>710000000</v>
      </c>
      <c r="K3695" s="5" t="s">
        <v>89</v>
      </c>
      <c r="L3695" s="5" t="s">
        <v>90</v>
      </c>
      <c r="M3695" s="6" t="s">
        <v>714</v>
      </c>
      <c r="N3695" s="2"/>
      <c r="O3695" s="5" t="s">
        <v>697</v>
      </c>
      <c r="P3695" s="5" t="s">
        <v>1550</v>
      </c>
      <c r="Q3695" s="2"/>
      <c r="R3695" s="5"/>
      <c r="S3695" s="18"/>
      <c r="T3695" s="18"/>
      <c r="U3695" s="18">
        <v>4560000</v>
      </c>
      <c r="V3695" s="18">
        <f t="shared" si="2557"/>
        <v>5107200.0000000009</v>
      </c>
      <c r="W3695" s="2" t="s">
        <v>1521</v>
      </c>
      <c r="X3695" s="2">
        <v>2016</v>
      </c>
      <c r="Y3695" s="15"/>
    </row>
    <row r="3696" spans="1:25" s="12" customFormat="1" ht="51" customHeight="1" x14ac:dyDescent="0.25">
      <c r="B3696" s="2" t="s">
        <v>1640</v>
      </c>
      <c r="C3696" s="5" t="s">
        <v>83</v>
      </c>
      <c r="D3696" s="5" t="s">
        <v>1634</v>
      </c>
      <c r="E3696" s="5" t="s">
        <v>1635</v>
      </c>
      <c r="F3696" s="5" t="s">
        <v>1636</v>
      </c>
      <c r="G3696" s="5"/>
      <c r="H3696" s="2" t="s">
        <v>694</v>
      </c>
      <c r="I3696" s="4">
        <v>1</v>
      </c>
      <c r="J3696" s="13">
        <v>710000000</v>
      </c>
      <c r="K3696" s="5" t="s">
        <v>89</v>
      </c>
      <c r="L3696" s="5" t="s">
        <v>90</v>
      </c>
      <c r="M3696" s="6" t="s">
        <v>703</v>
      </c>
      <c r="N3696" s="2"/>
      <c r="O3696" s="5" t="s">
        <v>697</v>
      </c>
      <c r="P3696" s="5" t="s">
        <v>1550</v>
      </c>
      <c r="Q3696" s="2"/>
      <c r="R3696" s="5"/>
      <c r="S3696" s="18"/>
      <c r="T3696" s="18"/>
      <c r="U3696" s="18">
        <f>350000+470000</f>
        <v>820000</v>
      </c>
      <c r="V3696" s="18">
        <f t="shared" si="2557"/>
        <v>918400.00000000012</v>
      </c>
      <c r="W3696" s="18" t="s">
        <v>1521</v>
      </c>
      <c r="X3696" s="2">
        <v>2016</v>
      </c>
      <c r="Y3696" s="15"/>
    </row>
    <row r="3697" spans="1:190" s="12" customFormat="1" ht="51" customHeight="1" x14ac:dyDescent="0.25">
      <c r="B3697" s="2" t="s">
        <v>1641</v>
      </c>
      <c r="C3697" s="5" t="s">
        <v>83</v>
      </c>
      <c r="D3697" s="5" t="s">
        <v>1642</v>
      </c>
      <c r="E3697" s="5" t="s">
        <v>1643</v>
      </c>
      <c r="F3697" s="5" t="s">
        <v>1644</v>
      </c>
      <c r="G3697" s="5"/>
      <c r="H3697" s="2" t="s">
        <v>694</v>
      </c>
      <c r="I3697" s="4">
        <v>1</v>
      </c>
      <c r="J3697" s="13">
        <v>710000000</v>
      </c>
      <c r="K3697" s="5" t="s">
        <v>89</v>
      </c>
      <c r="L3697" s="5" t="s">
        <v>90</v>
      </c>
      <c r="M3697" s="5" t="s">
        <v>728</v>
      </c>
      <c r="N3697" s="2"/>
      <c r="O3697" s="5" t="s">
        <v>697</v>
      </c>
      <c r="P3697" s="5" t="s">
        <v>1550</v>
      </c>
      <c r="Q3697" s="2"/>
      <c r="R3697" s="5"/>
      <c r="S3697" s="18"/>
      <c r="T3697" s="18"/>
      <c r="U3697" s="18">
        <v>160500</v>
      </c>
      <c r="V3697" s="18">
        <f t="shared" si="2557"/>
        <v>179760.00000000003</v>
      </c>
      <c r="W3697" s="2" t="s">
        <v>1521</v>
      </c>
      <c r="X3697" s="2">
        <v>2016</v>
      </c>
      <c r="Y3697" s="15"/>
    </row>
    <row r="3698" spans="1:190" s="12" customFormat="1" ht="38.25" customHeight="1" x14ac:dyDescent="0.25">
      <c r="B3698" s="2" t="s">
        <v>1645</v>
      </c>
      <c r="C3698" s="5" t="s">
        <v>83</v>
      </c>
      <c r="D3698" s="5" t="s">
        <v>1646</v>
      </c>
      <c r="E3698" s="5" t="s">
        <v>1647</v>
      </c>
      <c r="F3698" s="5" t="s">
        <v>1647</v>
      </c>
      <c r="G3698" s="5"/>
      <c r="H3698" s="2" t="s">
        <v>694</v>
      </c>
      <c r="I3698" s="4">
        <v>1</v>
      </c>
      <c r="J3698" s="13">
        <v>710000000</v>
      </c>
      <c r="K3698" s="5" t="s">
        <v>89</v>
      </c>
      <c r="L3698" s="5" t="s">
        <v>90</v>
      </c>
      <c r="M3698" s="5" t="s">
        <v>696</v>
      </c>
      <c r="N3698" s="2"/>
      <c r="O3698" s="5" t="s">
        <v>697</v>
      </c>
      <c r="P3698" s="5" t="s">
        <v>1550</v>
      </c>
      <c r="Q3698" s="2"/>
      <c r="R3698" s="5"/>
      <c r="S3698" s="18"/>
      <c r="T3698" s="18"/>
      <c r="U3698" s="18">
        <v>1891071.43</v>
      </c>
      <c r="V3698" s="18">
        <f t="shared" si="2557"/>
        <v>2118000.0016000001</v>
      </c>
      <c r="W3698" s="18" t="s">
        <v>1521</v>
      </c>
      <c r="X3698" s="2">
        <v>2016</v>
      </c>
      <c r="Y3698" s="15"/>
    </row>
    <row r="3699" spans="1:190" s="12" customFormat="1" ht="38.25" customHeight="1" x14ac:dyDescent="0.25">
      <c r="B3699" s="2" t="s">
        <v>1648</v>
      </c>
      <c r="C3699" s="5" t="s">
        <v>83</v>
      </c>
      <c r="D3699" s="5" t="s">
        <v>1646</v>
      </c>
      <c r="E3699" s="5" t="s">
        <v>1647</v>
      </c>
      <c r="F3699" s="5" t="s">
        <v>1647</v>
      </c>
      <c r="G3699" s="5" t="s">
        <v>1649</v>
      </c>
      <c r="H3699" s="2" t="s">
        <v>694</v>
      </c>
      <c r="I3699" s="4">
        <v>1</v>
      </c>
      <c r="J3699" s="13">
        <v>710000000</v>
      </c>
      <c r="K3699" s="5" t="s">
        <v>89</v>
      </c>
      <c r="L3699" s="5" t="s">
        <v>90</v>
      </c>
      <c r="M3699" s="5" t="s">
        <v>696</v>
      </c>
      <c r="N3699" s="2"/>
      <c r="O3699" s="5" t="s">
        <v>697</v>
      </c>
      <c r="P3699" s="5" t="s">
        <v>1550</v>
      </c>
      <c r="Q3699" s="2"/>
      <c r="R3699" s="5"/>
      <c r="S3699" s="18"/>
      <c r="T3699" s="18"/>
      <c r="U3699" s="18">
        <v>1845997.16</v>
      </c>
      <c r="V3699" s="18">
        <f t="shared" si="2557"/>
        <v>2067516.8192</v>
      </c>
      <c r="W3699" s="2" t="s">
        <v>1521</v>
      </c>
      <c r="X3699" s="2">
        <v>2016</v>
      </c>
      <c r="Y3699" s="15"/>
    </row>
    <row r="3700" spans="1:190" s="12" customFormat="1" ht="38.25" customHeight="1" x14ac:dyDescent="0.25">
      <c r="B3700" s="2" t="s">
        <v>1650</v>
      </c>
      <c r="C3700" s="5" t="s">
        <v>83</v>
      </c>
      <c r="D3700" s="5" t="s">
        <v>1646</v>
      </c>
      <c r="E3700" s="5" t="s">
        <v>1647</v>
      </c>
      <c r="F3700" s="5" t="s">
        <v>1647</v>
      </c>
      <c r="G3700" s="5" t="s">
        <v>1649</v>
      </c>
      <c r="H3700" s="2" t="s">
        <v>694</v>
      </c>
      <c r="I3700" s="4">
        <v>1</v>
      </c>
      <c r="J3700" s="13">
        <v>710000000</v>
      </c>
      <c r="K3700" s="5" t="s">
        <v>89</v>
      </c>
      <c r="L3700" s="5" t="s">
        <v>90</v>
      </c>
      <c r="M3700" s="5" t="s">
        <v>728</v>
      </c>
      <c r="N3700" s="2"/>
      <c r="O3700" s="5" t="s">
        <v>697</v>
      </c>
      <c r="P3700" s="5" t="s">
        <v>1550</v>
      </c>
      <c r="Q3700" s="2"/>
      <c r="R3700" s="5"/>
      <c r="S3700" s="18"/>
      <c r="T3700" s="18"/>
      <c r="U3700" s="18">
        <v>44571.43</v>
      </c>
      <c r="V3700" s="18">
        <f t="shared" si="2557"/>
        <v>49920.001600000003</v>
      </c>
      <c r="W3700" s="18" t="s">
        <v>1521</v>
      </c>
      <c r="X3700" s="2">
        <v>2016</v>
      </c>
      <c r="Y3700" s="15"/>
    </row>
    <row r="3701" spans="1:190" s="12" customFormat="1" ht="38.25" customHeight="1" x14ac:dyDescent="0.25">
      <c r="B3701" s="2" t="s">
        <v>1651</v>
      </c>
      <c r="C3701" s="5" t="s">
        <v>83</v>
      </c>
      <c r="D3701" s="5" t="s">
        <v>1646</v>
      </c>
      <c r="E3701" s="5" t="s">
        <v>1647</v>
      </c>
      <c r="F3701" s="5" t="s">
        <v>1647</v>
      </c>
      <c r="G3701" s="5"/>
      <c r="H3701" s="2" t="s">
        <v>694</v>
      </c>
      <c r="I3701" s="4">
        <v>1</v>
      </c>
      <c r="J3701" s="13">
        <v>710000000</v>
      </c>
      <c r="K3701" s="5" t="s">
        <v>89</v>
      </c>
      <c r="L3701" s="5" t="s">
        <v>90</v>
      </c>
      <c r="M3701" s="6" t="s">
        <v>682</v>
      </c>
      <c r="N3701" s="2"/>
      <c r="O3701" s="5" t="s">
        <v>697</v>
      </c>
      <c r="P3701" s="5" t="s">
        <v>1550</v>
      </c>
      <c r="Q3701" s="2"/>
      <c r="R3701" s="5"/>
      <c r="S3701" s="18"/>
      <c r="T3701" s="18"/>
      <c r="U3701" s="18">
        <f>60000+53571</f>
        <v>113571</v>
      </c>
      <c r="V3701" s="18">
        <f t="shared" si="2557"/>
        <v>127199.52000000002</v>
      </c>
      <c r="W3701" s="2" t="s">
        <v>1521</v>
      </c>
      <c r="X3701" s="2">
        <v>2016</v>
      </c>
      <c r="Y3701" s="15"/>
    </row>
    <row r="3702" spans="1:190" s="12" customFormat="1" ht="51" customHeight="1" x14ac:dyDescent="0.25">
      <c r="A3702" s="11"/>
      <c r="B3702" s="2" t="s">
        <v>1652</v>
      </c>
      <c r="C3702" s="5" t="s">
        <v>83</v>
      </c>
      <c r="D3702" s="5" t="s">
        <v>1653</v>
      </c>
      <c r="E3702" s="5" t="s">
        <v>1654</v>
      </c>
      <c r="F3702" s="5" t="s">
        <v>1654</v>
      </c>
      <c r="G3702" s="5" t="s">
        <v>1655</v>
      </c>
      <c r="H3702" s="5" t="s">
        <v>694</v>
      </c>
      <c r="I3702" s="4">
        <v>1</v>
      </c>
      <c r="J3702" s="13">
        <v>710000000</v>
      </c>
      <c r="K3702" s="5" t="s">
        <v>89</v>
      </c>
      <c r="L3702" s="5" t="s">
        <v>90</v>
      </c>
      <c r="M3702" s="6" t="s">
        <v>728</v>
      </c>
      <c r="N3702" s="2"/>
      <c r="O3702" s="5" t="s">
        <v>697</v>
      </c>
      <c r="P3702" s="5" t="s">
        <v>1656</v>
      </c>
      <c r="Q3702" s="2"/>
      <c r="R3702" s="5"/>
      <c r="S3702" s="18"/>
      <c r="T3702" s="18"/>
      <c r="U3702" s="18">
        <v>18000</v>
      </c>
      <c r="V3702" s="18">
        <f t="shared" si="2557"/>
        <v>20160.000000000004</v>
      </c>
      <c r="W3702" s="18" t="s">
        <v>1521</v>
      </c>
      <c r="X3702" s="2">
        <v>2016</v>
      </c>
      <c r="Y3702" s="15"/>
    </row>
    <row r="3703" spans="1:190" s="12" customFormat="1" ht="38.25" customHeight="1" x14ac:dyDescent="0.25">
      <c r="A3703" s="11"/>
      <c r="B3703" s="2" t="s">
        <v>1657</v>
      </c>
      <c r="C3703" s="5" t="s">
        <v>83</v>
      </c>
      <c r="D3703" s="5" t="s">
        <v>1653</v>
      </c>
      <c r="E3703" s="5" t="s">
        <v>1654</v>
      </c>
      <c r="F3703" s="5" t="s">
        <v>1654</v>
      </c>
      <c r="G3703" s="5" t="s">
        <v>1655</v>
      </c>
      <c r="H3703" s="5" t="s">
        <v>694</v>
      </c>
      <c r="I3703" s="4">
        <v>1</v>
      </c>
      <c r="J3703" s="13">
        <v>710000000</v>
      </c>
      <c r="K3703" s="5" t="s">
        <v>89</v>
      </c>
      <c r="L3703" s="5" t="s">
        <v>90</v>
      </c>
      <c r="M3703" s="5" t="s">
        <v>730</v>
      </c>
      <c r="N3703" s="2"/>
      <c r="O3703" s="5" t="s">
        <v>697</v>
      </c>
      <c r="P3703" s="5" t="s">
        <v>1550</v>
      </c>
      <c r="Q3703" s="2"/>
      <c r="R3703" s="5"/>
      <c r="S3703" s="18"/>
      <c r="T3703" s="18"/>
      <c r="U3703" s="18">
        <f>49800+49800</f>
        <v>99600</v>
      </c>
      <c r="V3703" s="18">
        <f t="shared" si="2557"/>
        <v>111552.00000000001</v>
      </c>
      <c r="W3703" s="2" t="s">
        <v>1521</v>
      </c>
      <c r="X3703" s="2">
        <v>2016</v>
      </c>
      <c r="Y3703" s="15"/>
    </row>
    <row r="3704" spans="1:190" s="11" customFormat="1" ht="38.25" customHeight="1" x14ac:dyDescent="0.25">
      <c r="B3704" s="2" t="s">
        <v>1658</v>
      </c>
      <c r="C3704" s="5" t="s">
        <v>83</v>
      </c>
      <c r="D3704" s="5" t="s">
        <v>1653</v>
      </c>
      <c r="E3704" s="5" t="s">
        <v>1654</v>
      </c>
      <c r="F3704" s="5" t="s">
        <v>1654</v>
      </c>
      <c r="G3704" s="5" t="s">
        <v>1655</v>
      </c>
      <c r="H3704" s="5" t="s">
        <v>694</v>
      </c>
      <c r="I3704" s="4">
        <v>1</v>
      </c>
      <c r="J3704" s="13">
        <v>710000000</v>
      </c>
      <c r="K3704" s="5" t="s">
        <v>89</v>
      </c>
      <c r="L3704" s="5" t="s">
        <v>90</v>
      </c>
      <c r="M3704" s="5" t="s">
        <v>714</v>
      </c>
      <c r="N3704" s="2"/>
      <c r="O3704" s="5" t="s">
        <v>697</v>
      </c>
      <c r="P3704" s="5" t="s">
        <v>1550</v>
      </c>
      <c r="Q3704" s="2"/>
      <c r="R3704" s="5"/>
      <c r="S3704" s="18"/>
      <c r="T3704" s="18"/>
      <c r="U3704" s="18">
        <v>144000</v>
      </c>
      <c r="V3704" s="18">
        <f t="shared" si="2557"/>
        <v>161280.00000000003</v>
      </c>
      <c r="W3704" s="18" t="s">
        <v>1521</v>
      </c>
      <c r="X3704" s="2">
        <v>2016</v>
      </c>
      <c r="Y3704" s="15"/>
      <c r="Z3704" s="12"/>
      <c r="AA3704" s="12"/>
      <c r="AB3704" s="12"/>
      <c r="AC3704" s="12"/>
      <c r="AD3704" s="12"/>
      <c r="AE3704" s="12"/>
      <c r="AF3704" s="12"/>
      <c r="AG3704" s="12"/>
      <c r="AH3704" s="12"/>
      <c r="AI3704" s="12"/>
      <c r="AJ3704" s="12"/>
      <c r="AK3704" s="12"/>
      <c r="AL3704" s="12"/>
      <c r="AM3704" s="12"/>
      <c r="AN3704" s="12"/>
      <c r="AO3704" s="12"/>
      <c r="AP3704" s="12"/>
      <c r="AQ3704" s="12"/>
      <c r="AR3704" s="12"/>
      <c r="AS3704" s="12"/>
      <c r="AT3704" s="12"/>
      <c r="AU3704" s="12"/>
      <c r="AV3704" s="12"/>
      <c r="AW3704" s="12"/>
      <c r="AX3704" s="12"/>
      <c r="AY3704" s="12"/>
      <c r="AZ3704" s="12"/>
      <c r="BA3704" s="12"/>
      <c r="BB3704" s="12"/>
      <c r="BC3704" s="12"/>
      <c r="BD3704" s="12"/>
      <c r="BE3704" s="12"/>
      <c r="BF3704" s="12"/>
      <c r="BG3704" s="12"/>
      <c r="BH3704" s="12"/>
      <c r="BI3704" s="12"/>
      <c r="BJ3704" s="12"/>
      <c r="BK3704" s="12"/>
      <c r="BL3704" s="12"/>
      <c r="BM3704" s="12"/>
      <c r="BN3704" s="12"/>
      <c r="BO3704" s="12"/>
      <c r="BP3704" s="12"/>
      <c r="BQ3704" s="12"/>
      <c r="BR3704" s="12"/>
      <c r="BS3704" s="12"/>
      <c r="BT3704" s="12"/>
      <c r="BU3704" s="12"/>
      <c r="BV3704" s="12"/>
      <c r="BW3704" s="12"/>
      <c r="BX3704" s="12"/>
      <c r="BY3704" s="12"/>
      <c r="BZ3704" s="12"/>
      <c r="CA3704" s="12"/>
      <c r="CB3704" s="12"/>
      <c r="CC3704" s="12"/>
      <c r="CD3704" s="12"/>
      <c r="CE3704" s="12"/>
      <c r="CF3704" s="12"/>
      <c r="CG3704" s="12"/>
      <c r="CH3704" s="12"/>
      <c r="CI3704" s="12"/>
      <c r="CJ3704" s="12"/>
      <c r="CK3704" s="12"/>
      <c r="CL3704" s="12"/>
      <c r="CM3704" s="12"/>
      <c r="CN3704" s="12"/>
      <c r="CO3704" s="12"/>
      <c r="CP3704" s="12"/>
      <c r="CQ3704" s="12"/>
      <c r="CR3704" s="12"/>
      <c r="CS3704" s="12"/>
      <c r="CT3704" s="12"/>
      <c r="CU3704" s="12"/>
      <c r="CV3704" s="12"/>
      <c r="CW3704" s="12"/>
      <c r="CX3704" s="12"/>
      <c r="CY3704" s="12"/>
      <c r="CZ3704" s="12"/>
      <c r="DA3704" s="12"/>
      <c r="DB3704" s="12"/>
      <c r="DC3704" s="12"/>
      <c r="DD3704" s="12"/>
      <c r="DE3704" s="12"/>
      <c r="DF3704" s="12"/>
      <c r="DG3704" s="12"/>
      <c r="DH3704" s="12"/>
      <c r="DI3704" s="12"/>
      <c r="DJ3704" s="12"/>
      <c r="DK3704" s="12"/>
      <c r="DL3704" s="12"/>
      <c r="DM3704" s="12"/>
      <c r="DN3704" s="12"/>
      <c r="DO3704" s="12"/>
      <c r="DP3704" s="12"/>
      <c r="DQ3704" s="12"/>
      <c r="DR3704" s="12"/>
      <c r="DS3704" s="12"/>
      <c r="DT3704" s="12"/>
      <c r="DU3704" s="12"/>
      <c r="DV3704" s="12"/>
      <c r="DW3704" s="12"/>
      <c r="DX3704" s="12"/>
      <c r="DY3704" s="12"/>
      <c r="DZ3704" s="12"/>
      <c r="EA3704" s="12"/>
      <c r="EB3704" s="12"/>
      <c r="EC3704" s="12"/>
      <c r="ED3704" s="12"/>
      <c r="EE3704" s="12"/>
      <c r="EF3704" s="12"/>
      <c r="EG3704" s="12"/>
      <c r="EH3704" s="12"/>
      <c r="EI3704" s="12"/>
      <c r="EJ3704" s="12"/>
      <c r="EK3704" s="12"/>
      <c r="EL3704" s="12"/>
      <c r="EM3704" s="12"/>
      <c r="EN3704" s="12"/>
      <c r="EO3704" s="12"/>
      <c r="EP3704" s="12"/>
      <c r="EQ3704" s="12"/>
      <c r="ER3704" s="12"/>
      <c r="ES3704" s="12"/>
      <c r="ET3704" s="12"/>
      <c r="EU3704" s="12"/>
      <c r="EV3704" s="12"/>
      <c r="EW3704" s="12"/>
      <c r="EX3704" s="12"/>
      <c r="EY3704" s="12"/>
      <c r="EZ3704" s="12"/>
      <c r="FA3704" s="12"/>
      <c r="FB3704" s="12"/>
      <c r="FC3704" s="12"/>
      <c r="FD3704" s="12"/>
      <c r="FE3704" s="12"/>
      <c r="FF3704" s="12"/>
      <c r="FG3704" s="12"/>
      <c r="FH3704" s="12"/>
      <c r="FI3704" s="12"/>
      <c r="FJ3704" s="12"/>
      <c r="FK3704" s="12"/>
      <c r="FL3704" s="12"/>
      <c r="FM3704" s="12"/>
      <c r="FN3704" s="12"/>
      <c r="FO3704" s="12"/>
      <c r="FP3704" s="12"/>
      <c r="FQ3704" s="12"/>
      <c r="FR3704" s="12"/>
      <c r="FS3704" s="12"/>
      <c r="FT3704" s="12"/>
      <c r="FU3704" s="12"/>
      <c r="FV3704" s="12"/>
      <c r="FW3704" s="12"/>
      <c r="FX3704" s="12"/>
      <c r="FY3704" s="12"/>
      <c r="FZ3704" s="12"/>
      <c r="GA3704" s="12"/>
      <c r="GB3704" s="12"/>
      <c r="GC3704" s="12"/>
      <c r="GD3704" s="12"/>
      <c r="GE3704" s="12"/>
      <c r="GF3704" s="12"/>
      <c r="GG3704" s="12"/>
      <c r="GH3704" s="12"/>
    </row>
    <row r="3705" spans="1:190" s="11" customFormat="1" ht="38.25" customHeight="1" x14ac:dyDescent="0.25">
      <c r="B3705" s="2" t="s">
        <v>1659</v>
      </c>
      <c r="C3705" s="5" t="s">
        <v>83</v>
      </c>
      <c r="D3705" s="5" t="s">
        <v>1653</v>
      </c>
      <c r="E3705" s="5" t="s">
        <v>1654</v>
      </c>
      <c r="F3705" s="5" t="s">
        <v>1654</v>
      </c>
      <c r="G3705" s="5" t="s">
        <v>1655</v>
      </c>
      <c r="H3705" s="5" t="s">
        <v>694</v>
      </c>
      <c r="I3705" s="4">
        <v>1</v>
      </c>
      <c r="J3705" s="13">
        <v>710000000</v>
      </c>
      <c r="K3705" s="5" t="s">
        <v>89</v>
      </c>
      <c r="L3705" s="5" t="s">
        <v>90</v>
      </c>
      <c r="M3705" s="6" t="s">
        <v>703</v>
      </c>
      <c r="N3705" s="2"/>
      <c r="O3705" s="5" t="s">
        <v>697</v>
      </c>
      <c r="P3705" s="5" t="s">
        <v>1550</v>
      </c>
      <c r="Q3705" s="2"/>
      <c r="R3705" s="5"/>
      <c r="S3705" s="18"/>
      <c r="T3705" s="18"/>
      <c r="U3705" s="18">
        <f>100000+90000</f>
        <v>190000</v>
      </c>
      <c r="V3705" s="18">
        <f t="shared" si="2557"/>
        <v>212800.00000000003</v>
      </c>
      <c r="W3705" s="2" t="s">
        <v>1521</v>
      </c>
      <c r="X3705" s="2">
        <v>2016</v>
      </c>
      <c r="Y3705" s="15"/>
      <c r="Z3705" s="12"/>
      <c r="AA3705" s="12"/>
      <c r="AB3705" s="12"/>
      <c r="AC3705" s="12"/>
      <c r="AD3705" s="12"/>
      <c r="AE3705" s="12"/>
      <c r="AF3705" s="12"/>
      <c r="AG3705" s="12"/>
      <c r="AH3705" s="12"/>
      <c r="AI3705" s="12"/>
      <c r="AJ3705" s="12"/>
      <c r="AK3705" s="12"/>
      <c r="AL3705" s="12"/>
      <c r="AM3705" s="12"/>
      <c r="AN3705" s="12"/>
      <c r="AO3705" s="12"/>
      <c r="AP3705" s="12"/>
      <c r="AQ3705" s="12"/>
      <c r="AR3705" s="12"/>
      <c r="AS3705" s="12"/>
      <c r="AT3705" s="12"/>
      <c r="AU3705" s="12"/>
      <c r="AV3705" s="12"/>
      <c r="AW3705" s="12"/>
      <c r="AX3705" s="12"/>
      <c r="AY3705" s="12"/>
      <c r="AZ3705" s="12"/>
      <c r="BA3705" s="12"/>
      <c r="BB3705" s="12"/>
      <c r="BC3705" s="12"/>
      <c r="BD3705" s="12"/>
      <c r="BE3705" s="12"/>
      <c r="BF3705" s="12"/>
      <c r="BG3705" s="12"/>
      <c r="BH3705" s="12"/>
      <c r="BI3705" s="12"/>
      <c r="BJ3705" s="12"/>
      <c r="BK3705" s="12"/>
      <c r="BL3705" s="12"/>
      <c r="BM3705" s="12"/>
      <c r="BN3705" s="12"/>
      <c r="BO3705" s="12"/>
      <c r="BP3705" s="12"/>
      <c r="BQ3705" s="12"/>
      <c r="BR3705" s="12"/>
      <c r="BS3705" s="12"/>
      <c r="BT3705" s="12"/>
      <c r="BU3705" s="12"/>
      <c r="BV3705" s="12"/>
      <c r="BW3705" s="12"/>
      <c r="BX3705" s="12"/>
      <c r="BY3705" s="12"/>
      <c r="BZ3705" s="12"/>
      <c r="CA3705" s="12"/>
      <c r="CB3705" s="12"/>
      <c r="CC3705" s="12"/>
      <c r="CD3705" s="12"/>
      <c r="CE3705" s="12"/>
      <c r="CF3705" s="12"/>
      <c r="CG3705" s="12"/>
      <c r="CH3705" s="12"/>
      <c r="CI3705" s="12"/>
      <c r="CJ3705" s="12"/>
      <c r="CK3705" s="12"/>
      <c r="CL3705" s="12"/>
      <c r="CM3705" s="12"/>
      <c r="CN3705" s="12"/>
      <c r="CO3705" s="12"/>
      <c r="CP3705" s="12"/>
      <c r="CQ3705" s="12"/>
      <c r="CR3705" s="12"/>
      <c r="CS3705" s="12"/>
      <c r="CT3705" s="12"/>
      <c r="CU3705" s="12"/>
      <c r="CV3705" s="12"/>
      <c r="CW3705" s="12"/>
      <c r="CX3705" s="12"/>
      <c r="CY3705" s="12"/>
      <c r="CZ3705" s="12"/>
      <c r="DA3705" s="12"/>
      <c r="DB3705" s="12"/>
      <c r="DC3705" s="12"/>
      <c r="DD3705" s="12"/>
      <c r="DE3705" s="12"/>
      <c r="DF3705" s="12"/>
      <c r="DG3705" s="12"/>
      <c r="DH3705" s="12"/>
      <c r="DI3705" s="12"/>
      <c r="DJ3705" s="12"/>
      <c r="DK3705" s="12"/>
      <c r="DL3705" s="12"/>
      <c r="DM3705" s="12"/>
      <c r="DN3705" s="12"/>
      <c r="DO3705" s="12"/>
      <c r="DP3705" s="12"/>
      <c r="DQ3705" s="12"/>
      <c r="DR3705" s="12"/>
      <c r="DS3705" s="12"/>
      <c r="DT3705" s="12"/>
      <c r="DU3705" s="12"/>
      <c r="DV3705" s="12"/>
      <c r="DW3705" s="12"/>
      <c r="DX3705" s="12"/>
      <c r="DY3705" s="12"/>
      <c r="DZ3705" s="12"/>
      <c r="EA3705" s="12"/>
      <c r="EB3705" s="12"/>
      <c r="EC3705" s="12"/>
      <c r="ED3705" s="12"/>
      <c r="EE3705" s="12"/>
      <c r="EF3705" s="12"/>
      <c r="EG3705" s="12"/>
      <c r="EH3705" s="12"/>
      <c r="EI3705" s="12"/>
      <c r="EJ3705" s="12"/>
      <c r="EK3705" s="12"/>
      <c r="EL3705" s="12"/>
      <c r="EM3705" s="12"/>
      <c r="EN3705" s="12"/>
      <c r="EO3705" s="12"/>
      <c r="EP3705" s="12"/>
      <c r="EQ3705" s="12"/>
      <c r="ER3705" s="12"/>
      <c r="ES3705" s="12"/>
      <c r="ET3705" s="12"/>
      <c r="EU3705" s="12"/>
      <c r="EV3705" s="12"/>
      <c r="EW3705" s="12"/>
      <c r="EX3705" s="12"/>
      <c r="EY3705" s="12"/>
      <c r="EZ3705" s="12"/>
      <c r="FA3705" s="12"/>
      <c r="FB3705" s="12"/>
      <c r="FC3705" s="12"/>
      <c r="FD3705" s="12"/>
      <c r="FE3705" s="12"/>
      <c r="FF3705" s="12"/>
      <c r="FG3705" s="12"/>
      <c r="FH3705" s="12"/>
      <c r="FI3705" s="12"/>
      <c r="FJ3705" s="12"/>
      <c r="FK3705" s="12"/>
      <c r="FL3705" s="12"/>
      <c r="FM3705" s="12"/>
      <c r="FN3705" s="12"/>
      <c r="FO3705" s="12"/>
      <c r="FP3705" s="12"/>
      <c r="FQ3705" s="12"/>
      <c r="FR3705" s="12"/>
      <c r="FS3705" s="12"/>
      <c r="FT3705" s="12"/>
      <c r="FU3705" s="12"/>
      <c r="FV3705" s="12"/>
      <c r="FW3705" s="12"/>
      <c r="FX3705" s="12"/>
      <c r="FY3705" s="12"/>
      <c r="FZ3705" s="12"/>
      <c r="GA3705" s="12"/>
      <c r="GB3705" s="12"/>
      <c r="GC3705" s="12"/>
      <c r="GD3705" s="12"/>
      <c r="GE3705" s="12"/>
      <c r="GF3705" s="12"/>
      <c r="GG3705" s="12"/>
      <c r="GH3705" s="12"/>
    </row>
    <row r="3706" spans="1:190" s="11" customFormat="1" ht="63.75" customHeight="1" x14ac:dyDescent="0.25">
      <c r="A3706" s="12"/>
      <c r="B3706" s="2" t="s">
        <v>1660</v>
      </c>
      <c r="C3706" s="5" t="s">
        <v>83</v>
      </c>
      <c r="D3706" s="5" t="s">
        <v>1661</v>
      </c>
      <c r="E3706" s="5" t="s">
        <v>1662</v>
      </c>
      <c r="F3706" s="5" t="s">
        <v>1662</v>
      </c>
      <c r="G3706" s="5"/>
      <c r="H3706" s="5" t="s">
        <v>694</v>
      </c>
      <c r="I3706" s="4">
        <v>0.5</v>
      </c>
      <c r="J3706" s="13">
        <v>710000000</v>
      </c>
      <c r="K3706" s="5" t="s">
        <v>89</v>
      </c>
      <c r="L3706" s="5" t="s">
        <v>90</v>
      </c>
      <c r="M3706" s="6" t="s">
        <v>714</v>
      </c>
      <c r="N3706" s="2"/>
      <c r="O3706" s="5" t="s">
        <v>697</v>
      </c>
      <c r="P3706" s="5" t="s">
        <v>1550</v>
      </c>
      <c r="Q3706" s="66"/>
      <c r="R3706" s="67"/>
      <c r="S3706" s="18"/>
      <c r="T3706" s="18"/>
      <c r="U3706" s="18">
        <v>852000</v>
      </c>
      <c r="V3706" s="18">
        <f>U3706*1.12</f>
        <v>954240.00000000012</v>
      </c>
      <c r="W3706" s="18" t="s">
        <v>1521</v>
      </c>
      <c r="X3706" s="2">
        <v>2016</v>
      </c>
      <c r="Y3706" s="15"/>
      <c r="Z3706" s="12"/>
      <c r="AA3706" s="12"/>
      <c r="AB3706" s="12"/>
      <c r="AC3706" s="12"/>
      <c r="AD3706" s="12"/>
      <c r="AE3706" s="12"/>
      <c r="AF3706" s="12"/>
      <c r="AG3706" s="12"/>
      <c r="AH3706" s="12"/>
      <c r="AI3706" s="12"/>
      <c r="AJ3706" s="12"/>
      <c r="AK3706" s="12"/>
      <c r="AL3706" s="12"/>
      <c r="AM3706" s="12"/>
      <c r="AN3706" s="12"/>
      <c r="AO3706" s="12"/>
      <c r="AP3706" s="12"/>
      <c r="AQ3706" s="12"/>
      <c r="AR3706" s="12"/>
      <c r="AS3706" s="12"/>
      <c r="AT3706" s="12"/>
      <c r="AU3706" s="12"/>
      <c r="AV3706" s="12"/>
      <c r="AW3706" s="12"/>
      <c r="AX3706" s="12"/>
      <c r="AY3706" s="12"/>
      <c r="AZ3706" s="12"/>
      <c r="BA3706" s="12"/>
      <c r="BB3706" s="12"/>
      <c r="BC3706" s="12"/>
      <c r="BD3706" s="12"/>
      <c r="BE3706" s="12"/>
      <c r="BF3706" s="12"/>
      <c r="BG3706" s="12"/>
      <c r="BH3706" s="12"/>
      <c r="BI3706" s="12"/>
      <c r="BJ3706" s="12"/>
      <c r="BK3706" s="12"/>
      <c r="BL3706" s="12"/>
      <c r="BM3706" s="12"/>
      <c r="BN3706" s="12"/>
      <c r="BO3706" s="12"/>
      <c r="BP3706" s="12"/>
      <c r="BQ3706" s="12"/>
      <c r="BR3706" s="12"/>
      <c r="BS3706" s="12"/>
      <c r="BT3706" s="12"/>
      <c r="BU3706" s="12"/>
      <c r="BV3706" s="12"/>
      <c r="BW3706" s="12"/>
      <c r="BX3706" s="12"/>
      <c r="BY3706" s="12"/>
      <c r="BZ3706" s="12"/>
      <c r="CA3706" s="12"/>
      <c r="CB3706" s="12"/>
      <c r="CC3706" s="12"/>
      <c r="CD3706" s="12"/>
      <c r="CE3706" s="12"/>
      <c r="CF3706" s="12"/>
      <c r="CG3706" s="12"/>
      <c r="CH3706" s="12"/>
      <c r="CI3706" s="12"/>
      <c r="CJ3706" s="12"/>
      <c r="CK3706" s="12"/>
      <c r="CL3706" s="12"/>
      <c r="CM3706" s="12"/>
      <c r="CN3706" s="12"/>
      <c r="CO3706" s="12"/>
      <c r="CP3706" s="12"/>
      <c r="CQ3706" s="12"/>
      <c r="CR3706" s="12"/>
      <c r="CS3706" s="12"/>
      <c r="CT3706" s="12"/>
      <c r="CU3706" s="12"/>
      <c r="CV3706" s="12"/>
      <c r="CW3706" s="12"/>
      <c r="CX3706" s="12"/>
      <c r="CY3706" s="12"/>
      <c r="CZ3706" s="12"/>
      <c r="DA3706" s="12"/>
      <c r="DB3706" s="12"/>
      <c r="DC3706" s="12"/>
      <c r="DD3706" s="12"/>
      <c r="DE3706" s="12"/>
      <c r="DF3706" s="12"/>
      <c r="DG3706" s="12"/>
      <c r="DH3706" s="12"/>
      <c r="DI3706" s="12"/>
      <c r="DJ3706" s="12"/>
      <c r="DK3706" s="12"/>
      <c r="DL3706" s="12"/>
      <c r="DM3706" s="12"/>
      <c r="DN3706" s="12"/>
      <c r="DO3706" s="12"/>
      <c r="DP3706" s="12"/>
      <c r="DQ3706" s="12"/>
      <c r="DR3706" s="12"/>
      <c r="DS3706" s="12"/>
      <c r="DT3706" s="12"/>
      <c r="DU3706" s="12"/>
      <c r="DV3706" s="12"/>
      <c r="DW3706" s="12"/>
      <c r="DX3706" s="12"/>
      <c r="DY3706" s="12"/>
      <c r="DZ3706" s="12"/>
      <c r="EA3706" s="12"/>
      <c r="EB3706" s="12"/>
      <c r="EC3706" s="12"/>
      <c r="ED3706" s="12"/>
      <c r="EE3706" s="12"/>
      <c r="EF3706" s="12"/>
      <c r="EG3706" s="12"/>
      <c r="EH3706" s="12"/>
      <c r="EI3706" s="12"/>
      <c r="EJ3706" s="12"/>
      <c r="EK3706" s="12"/>
      <c r="EL3706" s="12"/>
      <c r="EM3706" s="12"/>
      <c r="EN3706" s="12"/>
      <c r="EO3706" s="12"/>
      <c r="EP3706" s="12"/>
      <c r="EQ3706" s="12"/>
      <c r="ER3706" s="12"/>
      <c r="ES3706" s="12"/>
      <c r="ET3706" s="12"/>
      <c r="EU3706" s="12"/>
      <c r="EV3706" s="12"/>
      <c r="EW3706" s="12"/>
      <c r="EX3706" s="12"/>
      <c r="EY3706" s="12"/>
      <c r="EZ3706" s="12"/>
      <c r="FA3706" s="12"/>
      <c r="FB3706" s="12"/>
      <c r="FC3706" s="12"/>
      <c r="FD3706" s="12"/>
      <c r="FE3706" s="12"/>
      <c r="FF3706" s="12"/>
      <c r="FG3706" s="12"/>
      <c r="FH3706" s="12"/>
      <c r="FI3706" s="12"/>
      <c r="FJ3706" s="12"/>
      <c r="FK3706" s="12"/>
      <c r="FL3706" s="12"/>
      <c r="FM3706" s="12"/>
      <c r="FN3706" s="12"/>
      <c r="FO3706" s="12"/>
      <c r="FP3706" s="12"/>
      <c r="FQ3706" s="12"/>
      <c r="FR3706" s="12"/>
      <c r="FS3706" s="12"/>
      <c r="FT3706" s="12"/>
      <c r="FU3706" s="12"/>
      <c r="FV3706" s="12"/>
      <c r="FW3706" s="12"/>
      <c r="FX3706" s="12"/>
      <c r="FY3706" s="12"/>
      <c r="FZ3706" s="12"/>
      <c r="GA3706" s="12"/>
      <c r="GB3706" s="12"/>
      <c r="GC3706" s="12"/>
      <c r="GD3706" s="12"/>
      <c r="GE3706" s="12"/>
      <c r="GF3706" s="12"/>
      <c r="GG3706" s="12"/>
      <c r="GH3706" s="12"/>
    </row>
    <row r="3707" spans="1:190" s="11" customFormat="1" ht="63.75" customHeight="1" x14ac:dyDescent="0.25">
      <c r="A3707" s="12"/>
      <c r="B3707" s="2" t="s">
        <v>1663</v>
      </c>
      <c r="C3707" s="5" t="s">
        <v>83</v>
      </c>
      <c r="D3707" s="5" t="s">
        <v>1661</v>
      </c>
      <c r="E3707" s="5" t="s">
        <v>1662</v>
      </c>
      <c r="F3707" s="5" t="s">
        <v>1662</v>
      </c>
      <c r="G3707" s="5"/>
      <c r="H3707" s="5" t="s">
        <v>694</v>
      </c>
      <c r="I3707" s="4">
        <v>0.5</v>
      </c>
      <c r="J3707" s="13">
        <v>710000000</v>
      </c>
      <c r="K3707" s="5" t="s">
        <v>89</v>
      </c>
      <c r="L3707" s="5" t="s">
        <v>90</v>
      </c>
      <c r="M3707" s="6" t="s">
        <v>703</v>
      </c>
      <c r="N3707" s="2"/>
      <c r="O3707" s="5" t="s">
        <v>697</v>
      </c>
      <c r="P3707" s="5" t="s">
        <v>1550</v>
      </c>
      <c r="Q3707" s="66"/>
      <c r="R3707" s="67"/>
      <c r="S3707" s="18"/>
      <c r="T3707" s="18"/>
      <c r="U3707" s="18">
        <v>621000</v>
      </c>
      <c r="V3707" s="18">
        <f>U3707*1.12</f>
        <v>695520.00000000012</v>
      </c>
      <c r="W3707" s="2" t="s">
        <v>1521</v>
      </c>
      <c r="X3707" s="2">
        <v>2016</v>
      </c>
      <c r="Y3707" s="15"/>
      <c r="Z3707" s="12"/>
      <c r="AA3707" s="12"/>
      <c r="AB3707" s="12"/>
      <c r="AC3707" s="12"/>
      <c r="AD3707" s="12"/>
      <c r="AE3707" s="12"/>
      <c r="AF3707" s="12"/>
      <c r="AG3707" s="12"/>
      <c r="AH3707" s="12"/>
      <c r="AI3707" s="12"/>
      <c r="AJ3707" s="12"/>
      <c r="AK3707" s="12"/>
      <c r="AL3707" s="12"/>
      <c r="AM3707" s="12"/>
      <c r="AN3707" s="12"/>
      <c r="AO3707" s="12"/>
      <c r="AP3707" s="12"/>
      <c r="AQ3707" s="12"/>
      <c r="AR3707" s="12"/>
      <c r="AS3707" s="12"/>
      <c r="AT3707" s="12"/>
      <c r="AU3707" s="12"/>
      <c r="AV3707" s="12"/>
      <c r="AW3707" s="12"/>
      <c r="AX3707" s="12"/>
      <c r="AY3707" s="12"/>
      <c r="AZ3707" s="12"/>
      <c r="BA3707" s="12"/>
      <c r="BB3707" s="12"/>
      <c r="BC3707" s="12"/>
      <c r="BD3707" s="12"/>
      <c r="BE3707" s="12"/>
      <c r="BF3707" s="12"/>
      <c r="BG3707" s="12"/>
      <c r="BH3707" s="12"/>
      <c r="BI3707" s="12"/>
      <c r="BJ3707" s="12"/>
      <c r="BK3707" s="12"/>
      <c r="BL3707" s="12"/>
      <c r="BM3707" s="12"/>
      <c r="BN3707" s="12"/>
      <c r="BO3707" s="12"/>
      <c r="BP3707" s="12"/>
      <c r="BQ3707" s="12"/>
      <c r="BR3707" s="12"/>
      <c r="BS3707" s="12"/>
      <c r="BT3707" s="12"/>
      <c r="BU3707" s="12"/>
      <c r="BV3707" s="12"/>
      <c r="BW3707" s="12"/>
      <c r="BX3707" s="12"/>
      <c r="BY3707" s="12"/>
      <c r="BZ3707" s="12"/>
      <c r="CA3707" s="12"/>
      <c r="CB3707" s="12"/>
      <c r="CC3707" s="12"/>
      <c r="CD3707" s="12"/>
      <c r="CE3707" s="12"/>
      <c r="CF3707" s="12"/>
      <c r="CG3707" s="12"/>
      <c r="CH3707" s="12"/>
      <c r="CI3707" s="12"/>
      <c r="CJ3707" s="12"/>
      <c r="CK3707" s="12"/>
      <c r="CL3707" s="12"/>
      <c r="CM3707" s="12"/>
      <c r="CN3707" s="12"/>
      <c r="CO3707" s="12"/>
      <c r="CP3707" s="12"/>
      <c r="CQ3707" s="12"/>
      <c r="CR3707" s="12"/>
      <c r="CS3707" s="12"/>
      <c r="CT3707" s="12"/>
      <c r="CU3707" s="12"/>
      <c r="CV3707" s="12"/>
      <c r="CW3707" s="12"/>
      <c r="CX3707" s="12"/>
      <c r="CY3707" s="12"/>
      <c r="CZ3707" s="12"/>
      <c r="DA3707" s="12"/>
      <c r="DB3707" s="12"/>
      <c r="DC3707" s="12"/>
      <c r="DD3707" s="12"/>
      <c r="DE3707" s="12"/>
      <c r="DF3707" s="12"/>
      <c r="DG3707" s="12"/>
      <c r="DH3707" s="12"/>
      <c r="DI3707" s="12"/>
      <c r="DJ3707" s="12"/>
      <c r="DK3707" s="12"/>
      <c r="DL3707" s="12"/>
      <c r="DM3707" s="12"/>
      <c r="DN3707" s="12"/>
      <c r="DO3707" s="12"/>
      <c r="DP3707" s="12"/>
      <c r="DQ3707" s="12"/>
      <c r="DR3707" s="12"/>
      <c r="DS3707" s="12"/>
      <c r="DT3707" s="12"/>
      <c r="DU3707" s="12"/>
      <c r="DV3707" s="12"/>
      <c r="DW3707" s="12"/>
      <c r="DX3707" s="12"/>
      <c r="DY3707" s="12"/>
      <c r="DZ3707" s="12"/>
      <c r="EA3707" s="12"/>
      <c r="EB3707" s="12"/>
      <c r="EC3707" s="12"/>
      <c r="ED3707" s="12"/>
      <c r="EE3707" s="12"/>
      <c r="EF3707" s="12"/>
      <c r="EG3707" s="12"/>
      <c r="EH3707" s="12"/>
      <c r="EI3707" s="12"/>
      <c r="EJ3707" s="12"/>
      <c r="EK3707" s="12"/>
      <c r="EL3707" s="12"/>
      <c r="EM3707" s="12"/>
      <c r="EN3707" s="12"/>
      <c r="EO3707" s="12"/>
      <c r="EP3707" s="12"/>
      <c r="EQ3707" s="12"/>
      <c r="ER3707" s="12"/>
      <c r="ES3707" s="12"/>
      <c r="ET3707" s="12"/>
      <c r="EU3707" s="12"/>
      <c r="EV3707" s="12"/>
      <c r="EW3707" s="12"/>
      <c r="EX3707" s="12"/>
      <c r="EY3707" s="12"/>
      <c r="EZ3707" s="12"/>
      <c r="FA3707" s="12"/>
      <c r="FB3707" s="12"/>
      <c r="FC3707" s="12"/>
      <c r="FD3707" s="12"/>
      <c r="FE3707" s="12"/>
      <c r="FF3707" s="12"/>
      <c r="FG3707" s="12"/>
      <c r="FH3707" s="12"/>
      <c r="FI3707" s="12"/>
      <c r="FJ3707" s="12"/>
      <c r="FK3707" s="12"/>
      <c r="FL3707" s="12"/>
      <c r="FM3707" s="12"/>
      <c r="FN3707" s="12"/>
      <c r="FO3707" s="12"/>
      <c r="FP3707" s="12"/>
      <c r="FQ3707" s="12"/>
      <c r="FR3707" s="12"/>
      <c r="FS3707" s="12"/>
      <c r="FT3707" s="12"/>
      <c r="FU3707" s="12"/>
      <c r="FV3707" s="12"/>
      <c r="FW3707" s="12"/>
      <c r="FX3707" s="12"/>
      <c r="FY3707" s="12"/>
      <c r="FZ3707" s="12"/>
      <c r="GA3707" s="12"/>
      <c r="GB3707" s="12"/>
      <c r="GC3707" s="12"/>
      <c r="GD3707" s="12"/>
      <c r="GE3707" s="12"/>
      <c r="GF3707" s="12"/>
      <c r="GG3707" s="12"/>
      <c r="GH3707" s="12"/>
    </row>
    <row r="3708" spans="1:190" s="12" customFormat="1" ht="102" customHeight="1" x14ac:dyDescent="0.2">
      <c r="A3708" s="24"/>
      <c r="B3708" s="2" t="s">
        <v>1664</v>
      </c>
      <c r="C3708" s="5" t="s">
        <v>83</v>
      </c>
      <c r="D3708" s="5" t="s">
        <v>1665</v>
      </c>
      <c r="E3708" s="5" t="s">
        <v>1666</v>
      </c>
      <c r="F3708" s="5" t="s">
        <v>1666</v>
      </c>
      <c r="G3708" s="5" t="s">
        <v>1667</v>
      </c>
      <c r="H3708" s="2" t="s">
        <v>88</v>
      </c>
      <c r="I3708" s="4">
        <v>1</v>
      </c>
      <c r="J3708" s="13">
        <v>710000000</v>
      </c>
      <c r="K3708" s="5" t="s">
        <v>89</v>
      </c>
      <c r="L3708" s="5" t="s">
        <v>90</v>
      </c>
      <c r="M3708" s="5" t="s">
        <v>714</v>
      </c>
      <c r="N3708" s="2"/>
      <c r="O3708" s="5" t="s">
        <v>697</v>
      </c>
      <c r="P3708" s="5" t="s">
        <v>1550</v>
      </c>
      <c r="Q3708" s="2"/>
      <c r="R3708" s="5"/>
      <c r="S3708" s="18"/>
      <c r="T3708" s="18"/>
      <c r="U3708" s="18">
        <v>0</v>
      </c>
      <c r="V3708" s="18">
        <f t="shared" ref="V3708:V3719" si="2559">U3708*1.12</f>
        <v>0</v>
      </c>
      <c r="W3708" s="18" t="s">
        <v>1521</v>
      </c>
      <c r="X3708" s="2">
        <v>2016</v>
      </c>
      <c r="Y3708" s="15" t="s">
        <v>1590</v>
      </c>
    </row>
    <row r="3709" spans="1:190" s="12" customFormat="1" ht="102" customHeight="1" x14ac:dyDescent="0.25">
      <c r="B3709" s="2" t="s">
        <v>7664</v>
      </c>
      <c r="C3709" s="5" t="s">
        <v>83</v>
      </c>
      <c r="D3709" s="5" t="s">
        <v>1665</v>
      </c>
      <c r="E3709" s="5" t="s">
        <v>1666</v>
      </c>
      <c r="F3709" s="5" t="s">
        <v>1666</v>
      </c>
      <c r="G3709" s="5" t="s">
        <v>1667</v>
      </c>
      <c r="H3709" s="2" t="s">
        <v>88</v>
      </c>
      <c r="I3709" s="4">
        <v>1</v>
      </c>
      <c r="J3709" s="13">
        <v>710000000</v>
      </c>
      <c r="K3709" s="5" t="s">
        <v>89</v>
      </c>
      <c r="L3709" s="5" t="s">
        <v>754</v>
      </c>
      <c r="M3709" s="5" t="s">
        <v>714</v>
      </c>
      <c r="N3709" s="2"/>
      <c r="O3709" s="5" t="s">
        <v>697</v>
      </c>
      <c r="P3709" s="5" t="s">
        <v>1550</v>
      </c>
      <c r="Q3709" s="2"/>
      <c r="R3709" s="5"/>
      <c r="S3709" s="18"/>
      <c r="T3709" s="18"/>
      <c r="U3709" s="18">
        <v>960000</v>
      </c>
      <c r="V3709" s="18">
        <f t="shared" ref="V3709" si="2560">U3709*1.12</f>
        <v>1075200</v>
      </c>
      <c r="W3709" s="18" t="s">
        <v>1521</v>
      </c>
      <c r="X3709" s="2">
        <v>2016</v>
      </c>
      <c r="Y3709" s="15"/>
    </row>
    <row r="3710" spans="1:190" s="12" customFormat="1" ht="63.75" customHeight="1" x14ac:dyDescent="0.2">
      <c r="A3710" s="24"/>
      <c r="B3710" s="2" t="s">
        <v>1668</v>
      </c>
      <c r="C3710" s="5" t="s">
        <v>83</v>
      </c>
      <c r="D3710" s="5" t="s">
        <v>1669</v>
      </c>
      <c r="E3710" s="5" t="s">
        <v>1670</v>
      </c>
      <c r="F3710" s="5" t="s">
        <v>1670</v>
      </c>
      <c r="G3710" s="5" t="s">
        <v>1671</v>
      </c>
      <c r="H3710" s="5" t="s">
        <v>88</v>
      </c>
      <c r="I3710" s="4">
        <v>0.5</v>
      </c>
      <c r="J3710" s="13">
        <v>710000000</v>
      </c>
      <c r="K3710" s="5" t="s">
        <v>89</v>
      </c>
      <c r="L3710" s="5" t="s">
        <v>1466</v>
      </c>
      <c r="M3710" s="5" t="s">
        <v>696</v>
      </c>
      <c r="N3710" s="2"/>
      <c r="O3710" s="5" t="s">
        <v>697</v>
      </c>
      <c r="P3710" s="5" t="s">
        <v>1550</v>
      </c>
      <c r="Q3710" s="2"/>
      <c r="R3710" s="5"/>
      <c r="S3710" s="18"/>
      <c r="T3710" s="18"/>
      <c r="U3710" s="18">
        <v>0</v>
      </c>
      <c r="V3710" s="18">
        <f t="shared" si="2559"/>
        <v>0</v>
      </c>
      <c r="W3710" s="2" t="s">
        <v>1521</v>
      </c>
      <c r="X3710" s="2">
        <v>2016</v>
      </c>
      <c r="Y3710" s="15" t="s">
        <v>1590</v>
      </c>
    </row>
    <row r="3711" spans="1:190" s="12" customFormat="1" ht="63.75" customHeight="1" x14ac:dyDescent="0.25">
      <c r="B3711" s="2" t="s">
        <v>7514</v>
      </c>
      <c r="C3711" s="5" t="s">
        <v>83</v>
      </c>
      <c r="D3711" s="5" t="s">
        <v>1669</v>
      </c>
      <c r="E3711" s="5" t="s">
        <v>1670</v>
      </c>
      <c r="F3711" s="5" t="s">
        <v>1670</v>
      </c>
      <c r="G3711" s="5" t="s">
        <v>1671</v>
      </c>
      <c r="H3711" s="5" t="s">
        <v>88</v>
      </c>
      <c r="I3711" s="4">
        <v>0.5</v>
      </c>
      <c r="J3711" s="13">
        <v>710000000</v>
      </c>
      <c r="K3711" s="5" t="s">
        <v>89</v>
      </c>
      <c r="L3711" s="5" t="s">
        <v>754</v>
      </c>
      <c r="M3711" s="5" t="s">
        <v>696</v>
      </c>
      <c r="N3711" s="2"/>
      <c r="O3711" s="5" t="s">
        <v>697</v>
      </c>
      <c r="P3711" s="5" t="s">
        <v>1550</v>
      </c>
      <c r="Q3711" s="2"/>
      <c r="R3711" s="5"/>
      <c r="S3711" s="18"/>
      <c r="T3711" s="18"/>
      <c r="U3711" s="18">
        <v>0</v>
      </c>
      <c r="V3711" s="18">
        <f t="shared" ref="V3711" si="2561">U3711*1.12</f>
        <v>0</v>
      </c>
      <c r="W3711" s="2" t="s">
        <v>1521</v>
      </c>
      <c r="X3711" s="2">
        <v>2016</v>
      </c>
      <c r="Y3711" s="15" t="s">
        <v>1590</v>
      </c>
    </row>
    <row r="3712" spans="1:190" s="12" customFormat="1" ht="63.75" customHeight="1" x14ac:dyDescent="0.25">
      <c r="B3712" s="2" t="s">
        <v>8722</v>
      </c>
      <c r="C3712" s="5" t="s">
        <v>83</v>
      </c>
      <c r="D3712" s="5" t="s">
        <v>1669</v>
      </c>
      <c r="E3712" s="5" t="s">
        <v>1670</v>
      </c>
      <c r="F3712" s="5" t="s">
        <v>1670</v>
      </c>
      <c r="G3712" s="5" t="s">
        <v>1671</v>
      </c>
      <c r="H3712" s="5" t="s">
        <v>88</v>
      </c>
      <c r="I3712" s="4">
        <v>0.5</v>
      </c>
      <c r="J3712" s="13">
        <v>710000000</v>
      </c>
      <c r="K3712" s="5" t="s">
        <v>89</v>
      </c>
      <c r="L3712" s="5" t="s">
        <v>8721</v>
      </c>
      <c r="M3712" s="5" t="s">
        <v>696</v>
      </c>
      <c r="N3712" s="2"/>
      <c r="O3712" s="5" t="s">
        <v>697</v>
      </c>
      <c r="P3712" s="5" t="s">
        <v>1550</v>
      </c>
      <c r="Q3712" s="2"/>
      <c r="R3712" s="5"/>
      <c r="S3712" s="18"/>
      <c r="T3712" s="18"/>
      <c r="U3712" s="18">
        <f>90937.5+212687.5+2576329+452200+31393000+334821</f>
        <v>35059975</v>
      </c>
      <c r="V3712" s="18">
        <f t="shared" ref="V3712" si="2562">U3712*1.12</f>
        <v>39267172.000000007</v>
      </c>
      <c r="W3712" s="2" t="s">
        <v>1521</v>
      </c>
      <c r="X3712" s="2">
        <v>2016</v>
      </c>
      <c r="Y3712" s="15"/>
    </row>
    <row r="3713" spans="1:25" s="12" customFormat="1" ht="63.75" customHeight="1" x14ac:dyDescent="0.25">
      <c r="B3713" s="2" t="s">
        <v>1672</v>
      </c>
      <c r="C3713" s="5" t="s">
        <v>83</v>
      </c>
      <c r="D3713" s="5" t="s">
        <v>1669</v>
      </c>
      <c r="E3713" s="5" t="s">
        <v>1670</v>
      </c>
      <c r="F3713" s="5" t="s">
        <v>1670</v>
      </c>
      <c r="G3713" s="5" t="s">
        <v>1673</v>
      </c>
      <c r="H3713" s="5" t="s">
        <v>88</v>
      </c>
      <c r="I3713" s="4">
        <v>0.5</v>
      </c>
      <c r="J3713" s="13">
        <v>710000000</v>
      </c>
      <c r="K3713" s="5" t="s">
        <v>89</v>
      </c>
      <c r="L3713" s="5" t="s">
        <v>90</v>
      </c>
      <c r="M3713" s="5" t="s">
        <v>714</v>
      </c>
      <c r="N3713" s="2"/>
      <c r="O3713" s="5" t="s">
        <v>697</v>
      </c>
      <c r="P3713" s="5" t="s">
        <v>1550</v>
      </c>
      <c r="Q3713" s="2"/>
      <c r="R3713" s="5"/>
      <c r="S3713" s="18"/>
      <c r="T3713" s="18"/>
      <c r="U3713" s="18">
        <v>0</v>
      </c>
      <c r="V3713" s="18">
        <f t="shared" si="2559"/>
        <v>0</v>
      </c>
      <c r="W3713" s="18" t="s">
        <v>1521</v>
      </c>
      <c r="X3713" s="2">
        <v>2016</v>
      </c>
      <c r="Y3713" s="15" t="s">
        <v>1590</v>
      </c>
    </row>
    <row r="3714" spans="1:25" s="12" customFormat="1" ht="63.75" customHeight="1" x14ac:dyDescent="0.25">
      <c r="B3714" s="2" t="s">
        <v>7515</v>
      </c>
      <c r="C3714" s="5" t="s">
        <v>83</v>
      </c>
      <c r="D3714" s="5" t="s">
        <v>1669</v>
      </c>
      <c r="E3714" s="5" t="s">
        <v>1670</v>
      </c>
      <c r="F3714" s="5" t="s">
        <v>1670</v>
      </c>
      <c r="G3714" s="5" t="s">
        <v>1673</v>
      </c>
      <c r="H3714" s="5" t="s">
        <v>88</v>
      </c>
      <c r="I3714" s="4">
        <v>0.5</v>
      </c>
      <c r="J3714" s="13">
        <v>710000000</v>
      </c>
      <c r="K3714" s="5" t="s">
        <v>89</v>
      </c>
      <c r="L3714" s="5" t="s">
        <v>754</v>
      </c>
      <c r="M3714" s="5" t="s">
        <v>714</v>
      </c>
      <c r="N3714" s="2"/>
      <c r="O3714" s="5" t="s">
        <v>697</v>
      </c>
      <c r="P3714" s="5" t="s">
        <v>1550</v>
      </c>
      <c r="Q3714" s="2"/>
      <c r="R3714" s="5"/>
      <c r="S3714" s="18"/>
      <c r="T3714" s="18"/>
      <c r="U3714" s="18">
        <v>0</v>
      </c>
      <c r="V3714" s="18">
        <f t="shared" ref="V3714" si="2563">U3714*1.12</f>
        <v>0</v>
      </c>
      <c r="W3714" s="18" t="s">
        <v>1521</v>
      </c>
      <c r="X3714" s="2">
        <v>2016</v>
      </c>
      <c r="Y3714" s="15" t="s">
        <v>1590</v>
      </c>
    </row>
    <row r="3715" spans="1:25" s="12" customFormat="1" ht="63.75" customHeight="1" x14ac:dyDescent="0.25">
      <c r="B3715" s="2" t="s">
        <v>8723</v>
      </c>
      <c r="C3715" s="5" t="s">
        <v>83</v>
      </c>
      <c r="D3715" s="5" t="s">
        <v>1669</v>
      </c>
      <c r="E3715" s="5" t="s">
        <v>1670</v>
      </c>
      <c r="F3715" s="5" t="s">
        <v>1670</v>
      </c>
      <c r="G3715" s="5" t="s">
        <v>1673</v>
      </c>
      <c r="H3715" s="5" t="s">
        <v>88</v>
      </c>
      <c r="I3715" s="4">
        <v>0.5</v>
      </c>
      <c r="J3715" s="13">
        <v>710000000</v>
      </c>
      <c r="K3715" s="5" t="s">
        <v>89</v>
      </c>
      <c r="L3715" s="5" t="s">
        <v>8721</v>
      </c>
      <c r="M3715" s="5" t="s">
        <v>714</v>
      </c>
      <c r="N3715" s="2"/>
      <c r="O3715" s="5" t="s">
        <v>697</v>
      </c>
      <c r="P3715" s="5" t="s">
        <v>1550</v>
      </c>
      <c r="Q3715" s="2"/>
      <c r="R3715" s="5"/>
      <c r="S3715" s="18"/>
      <c r="T3715" s="18"/>
      <c r="U3715" s="18">
        <v>4764000</v>
      </c>
      <c r="V3715" s="18">
        <f t="shared" ref="V3715" si="2564">U3715*1.12</f>
        <v>5335680.0000000009</v>
      </c>
      <c r="W3715" s="18" t="s">
        <v>1521</v>
      </c>
      <c r="X3715" s="2">
        <v>2016</v>
      </c>
      <c r="Y3715" s="15"/>
    </row>
    <row r="3716" spans="1:25" s="12" customFormat="1" ht="63.75" customHeight="1" x14ac:dyDescent="0.25">
      <c r="B3716" s="2" t="s">
        <v>1674</v>
      </c>
      <c r="C3716" s="3" t="s">
        <v>83</v>
      </c>
      <c r="D3716" s="3" t="s">
        <v>1675</v>
      </c>
      <c r="E3716" s="3" t="s">
        <v>1676</v>
      </c>
      <c r="F3716" s="3" t="s">
        <v>1677</v>
      </c>
      <c r="G3716" s="5"/>
      <c r="H3716" s="2" t="s">
        <v>88</v>
      </c>
      <c r="I3716" s="4">
        <v>0.5</v>
      </c>
      <c r="J3716" s="13">
        <v>710000000</v>
      </c>
      <c r="K3716" s="5" t="s">
        <v>89</v>
      </c>
      <c r="L3716" s="5" t="s">
        <v>90</v>
      </c>
      <c r="M3716" s="5" t="s">
        <v>696</v>
      </c>
      <c r="N3716" s="2"/>
      <c r="O3716" s="5" t="s">
        <v>697</v>
      </c>
      <c r="P3716" s="5" t="s">
        <v>1550</v>
      </c>
      <c r="Q3716" s="2"/>
      <c r="R3716" s="5"/>
      <c r="S3716" s="18"/>
      <c r="T3716" s="18"/>
      <c r="U3716" s="18">
        <v>0</v>
      </c>
      <c r="V3716" s="18">
        <f t="shared" si="2559"/>
        <v>0</v>
      </c>
      <c r="W3716" s="2" t="s">
        <v>1521</v>
      </c>
      <c r="X3716" s="2">
        <v>2016</v>
      </c>
      <c r="Y3716" s="2" t="s">
        <v>7513</v>
      </c>
    </row>
    <row r="3717" spans="1:25" s="12" customFormat="1" ht="63.75" customHeight="1" x14ac:dyDescent="0.25">
      <c r="B3717" s="2" t="s">
        <v>7516</v>
      </c>
      <c r="C3717" s="3" t="s">
        <v>83</v>
      </c>
      <c r="D3717" s="3" t="s">
        <v>1675</v>
      </c>
      <c r="E3717" s="3" t="s">
        <v>1676</v>
      </c>
      <c r="F3717" s="3" t="s">
        <v>1677</v>
      </c>
      <c r="G3717" s="5"/>
      <c r="H3717" s="2" t="s">
        <v>88</v>
      </c>
      <c r="I3717" s="4">
        <v>0.5</v>
      </c>
      <c r="J3717" s="13">
        <v>710000000</v>
      </c>
      <c r="K3717" s="5" t="s">
        <v>89</v>
      </c>
      <c r="L3717" s="5" t="s">
        <v>754</v>
      </c>
      <c r="M3717" s="5" t="s">
        <v>696</v>
      </c>
      <c r="N3717" s="2"/>
      <c r="O3717" s="5" t="s">
        <v>697</v>
      </c>
      <c r="P3717" s="5" t="s">
        <v>1550</v>
      </c>
      <c r="Q3717" s="2"/>
      <c r="R3717" s="5"/>
      <c r="S3717" s="18"/>
      <c r="T3717" s="18"/>
      <c r="U3717" s="18">
        <v>0</v>
      </c>
      <c r="V3717" s="18">
        <f t="shared" ref="V3717" si="2565">U3717*1.12</f>
        <v>0</v>
      </c>
      <c r="W3717" s="2" t="s">
        <v>1521</v>
      </c>
      <c r="X3717" s="2">
        <v>2016</v>
      </c>
      <c r="Y3717" s="2">
        <v>11</v>
      </c>
    </row>
    <row r="3718" spans="1:25" s="12" customFormat="1" ht="63.75" customHeight="1" x14ac:dyDescent="0.25">
      <c r="B3718" s="2" t="s">
        <v>8724</v>
      </c>
      <c r="C3718" s="3" t="s">
        <v>83</v>
      </c>
      <c r="D3718" s="3" t="s">
        <v>1675</v>
      </c>
      <c r="E3718" s="3" t="s">
        <v>1676</v>
      </c>
      <c r="F3718" s="3" t="s">
        <v>1677</v>
      </c>
      <c r="G3718" s="5"/>
      <c r="H3718" s="2" t="s">
        <v>88</v>
      </c>
      <c r="I3718" s="4">
        <v>0.5</v>
      </c>
      <c r="J3718" s="13">
        <v>710000000</v>
      </c>
      <c r="K3718" s="5" t="s">
        <v>89</v>
      </c>
      <c r="L3718" s="5" t="s">
        <v>8721</v>
      </c>
      <c r="M3718" s="5" t="s">
        <v>696</v>
      </c>
      <c r="N3718" s="2"/>
      <c r="O3718" s="5" t="s">
        <v>697</v>
      </c>
      <c r="P3718" s="5" t="s">
        <v>1550</v>
      </c>
      <c r="Q3718" s="2"/>
      <c r="R3718" s="5"/>
      <c r="S3718" s="18"/>
      <c r="T3718" s="18"/>
      <c r="U3718" s="18">
        <f>714285.71+2158725+5117928+469643+522321+2232143+955000</f>
        <v>12170045.710000001</v>
      </c>
      <c r="V3718" s="18">
        <f t="shared" ref="V3718" si="2566">U3718*1.12</f>
        <v>13630451.195200002</v>
      </c>
      <c r="W3718" s="2" t="s">
        <v>1521</v>
      </c>
      <c r="X3718" s="2">
        <v>2016</v>
      </c>
      <c r="Y3718" s="10"/>
    </row>
    <row r="3719" spans="1:25" s="12" customFormat="1" ht="127.5" customHeight="1" x14ac:dyDescent="0.2">
      <c r="A3719" s="24"/>
      <c r="B3719" s="2" t="s">
        <v>1678</v>
      </c>
      <c r="C3719" s="5" t="s">
        <v>83</v>
      </c>
      <c r="D3719" s="5" t="s">
        <v>1596</v>
      </c>
      <c r="E3719" s="5" t="s">
        <v>1597</v>
      </c>
      <c r="F3719" s="5" t="s">
        <v>1597</v>
      </c>
      <c r="G3719" s="5" t="s">
        <v>1679</v>
      </c>
      <c r="H3719" s="5" t="s">
        <v>88</v>
      </c>
      <c r="I3719" s="4">
        <v>1</v>
      </c>
      <c r="J3719" s="13">
        <v>710000000</v>
      </c>
      <c r="K3719" s="5" t="s">
        <v>89</v>
      </c>
      <c r="L3719" s="5" t="s">
        <v>90</v>
      </c>
      <c r="M3719" s="5" t="s">
        <v>714</v>
      </c>
      <c r="N3719" s="2"/>
      <c r="O3719" s="5" t="s">
        <v>697</v>
      </c>
      <c r="P3719" s="5" t="s">
        <v>1550</v>
      </c>
      <c r="Q3719" s="2"/>
      <c r="R3719" s="5"/>
      <c r="S3719" s="18"/>
      <c r="T3719" s="18"/>
      <c r="U3719" s="18">
        <v>0</v>
      </c>
      <c r="V3719" s="18">
        <f t="shared" si="2559"/>
        <v>0</v>
      </c>
      <c r="W3719" s="18" t="s">
        <v>1521</v>
      </c>
      <c r="X3719" s="2">
        <v>2016</v>
      </c>
      <c r="Y3719" s="15" t="s">
        <v>1590</v>
      </c>
    </row>
    <row r="3720" spans="1:25" s="12" customFormat="1" ht="127.5" customHeight="1" x14ac:dyDescent="0.25">
      <c r="B3720" s="2" t="s">
        <v>7689</v>
      </c>
      <c r="C3720" s="5" t="s">
        <v>83</v>
      </c>
      <c r="D3720" s="5" t="s">
        <v>1596</v>
      </c>
      <c r="E3720" s="5" t="s">
        <v>1597</v>
      </c>
      <c r="F3720" s="5" t="s">
        <v>1597</v>
      </c>
      <c r="G3720" s="5" t="s">
        <v>1679</v>
      </c>
      <c r="H3720" s="5" t="s">
        <v>88</v>
      </c>
      <c r="I3720" s="4">
        <v>1</v>
      </c>
      <c r="J3720" s="13">
        <v>710000000</v>
      </c>
      <c r="K3720" s="5" t="s">
        <v>89</v>
      </c>
      <c r="L3720" s="5" t="s">
        <v>7470</v>
      </c>
      <c r="M3720" s="5" t="s">
        <v>714</v>
      </c>
      <c r="N3720" s="2"/>
      <c r="O3720" s="5" t="s">
        <v>697</v>
      </c>
      <c r="P3720" s="5" t="s">
        <v>1550</v>
      </c>
      <c r="Q3720" s="2"/>
      <c r="R3720" s="5"/>
      <c r="S3720" s="18"/>
      <c r="T3720" s="18"/>
      <c r="U3720" s="18">
        <v>0</v>
      </c>
      <c r="V3720" s="18">
        <f t="shared" ref="V3720" si="2567">U3720*1.12</f>
        <v>0</v>
      </c>
      <c r="W3720" s="18" t="s">
        <v>1521</v>
      </c>
      <c r="X3720" s="2">
        <v>2016</v>
      </c>
      <c r="Y3720" s="15" t="s">
        <v>1590</v>
      </c>
    </row>
    <row r="3721" spans="1:25" s="12" customFormat="1" ht="127.5" customHeight="1" x14ac:dyDescent="0.25">
      <c r="B3721" s="2" t="s">
        <v>8725</v>
      </c>
      <c r="C3721" s="5" t="s">
        <v>83</v>
      </c>
      <c r="D3721" s="5" t="s">
        <v>1596</v>
      </c>
      <c r="E3721" s="5" t="s">
        <v>1597</v>
      </c>
      <c r="F3721" s="5" t="s">
        <v>1597</v>
      </c>
      <c r="G3721" s="5" t="s">
        <v>1679</v>
      </c>
      <c r="H3721" s="5" t="s">
        <v>88</v>
      </c>
      <c r="I3721" s="4">
        <v>1</v>
      </c>
      <c r="J3721" s="13">
        <v>710000000</v>
      </c>
      <c r="K3721" s="5" t="s">
        <v>89</v>
      </c>
      <c r="L3721" s="5" t="s">
        <v>8726</v>
      </c>
      <c r="M3721" s="5" t="s">
        <v>714</v>
      </c>
      <c r="N3721" s="2"/>
      <c r="O3721" s="5" t="s">
        <v>697</v>
      </c>
      <c r="P3721" s="5" t="s">
        <v>1550</v>
      </c>
      <c r="Q3721" s="2"/>
      <c r="R3721" s="5"/>
      <c r="S3721" s="18"/>
      <c r="T3721" s="18"/>
      <c r="U3721" s="18">
        <v>1495000</v>
      </c>
      <c r="V3721" s="18">
        <f t="shared" ref="V3721" si="2568">U3721*1.12</f>
        <v>1674400.0000000002</v>
      </c>
      <c r="W3721" s="18" t="s">
        <v>1521</v>
      </c>
      <c r="X3721" s="2">
        <v>2016</v>
      </c>
      <c r="Y3721" s="15"/>
    </row>
    <row r="3722" spans="1:25" s="12" customFormat="1" ht="63.75" customHeight="1" x14ac:dyDescent="0.25">
      <c r="B3722" s="2" t="s">
        <v>1680</v>
      </c>
      <c r="C3722" s="5" t="s">
        <v>83</v>
      </c>
      <c r="D3722" s="5" t="s">
        <v>1681</v>
      </c>
      <c r="E3722" s="5" t="s">
        <v>1682</v>
      </c>
      <c r="F3722" s="5" t="s">
        <v>1682</v>
      </c>
      <c r="G3722" s="5" t="s">
        <v>1683</v>
      </c>
      <c r="H3722" s="2" t="s">
        <v>694</v>
      </c>
      <c r="I3722" s="4">
        <v>0.5</v>
      </c>
      <c r="J3722" s="13">
        <v>710000000</v>
      </c>
      <c r="K3722" s="5" t="s">
        <v>89</v>
      </c>
      <c r="L3722" s="5" t="s">
        <v>90</v>
      </c>
      <c r="M3722" s="6" t="s">
        <v>682</v>
      </c>
      <c r="N3722" s="2"/>
      <c r="O3722" s="5" t="s">
        <v>697</v>
      </c>
      <c r="P3722" s="5" t="s">
        <v>1550</v>
      </c>
      <c r="Q3722" s="2"/>
      <c r="R3722" s="5"/>
      <c r="S3722" s="18"/>
      <c r="T3722" s="18"/>
      <c r="U3722" s="18">
        <v>110000</v>
      </c>
      <c r="V3722" s="18">
        <f>U3722*1.12</f>
        <v>123200.00000000001</v>
      </c>
      <c r="W3722" s="2" t="s">
        <v>1521</v>
      </c>
      <c r="X3722" s="2">
        <v>2016</v>
      </c>
      <c r="Y3722" s="15"/>
    </row>
    <row r="3723" spans="1:25" s="12" customFormat="1" ht="89.25" customHeight="1" x14ac:dyDescent="0.25">
      <c r="B3723" s="2" t="s">
        <v>1684</v>
      </c>
      <c r="C3723" s="5" t="s">
        <v>83</v>
      </c>
      <c r="D3723" s="5" t="s">
        <v>1685</v>
      </c>
      <c r="E3723" s="5" t="s">
        <v>1686</v>
      </c>
      <c r="F3723" s="5" t="s">
        <v>1686</v>
      </c>
      <c r="G3723" s="5"/>
      <c r="H3723" s="2" t="s">
        <v>694</v>
      </c>
      <c r="I3723" s="4">
        <v>0.5</v>
      </c>
      <c r="J3723" s="13">
        <v>710000000</v>
      </c>
      <c r="K3723" s="5" t="s">
        <v>89</v>
      </c>
      <c r="L3723" s="5" t="s">
        <v>90</v>
      </c>
      <c r="M3723" s="5" t="s">
        <v>714</v>
      </c>
      <c r="N3723" s="2"/>
      <c r="O3723" s="5" t="s">
        <v>697</v>
      </c>
      <c r="P3723" s="5" t="s">
        <v>1550</v>
      </c>
      <c r="Q3723" s="2"/>
      <c r="R3723" s="5"/>
      <c r="S3723" s="18"/>
      <c r="T3723" s="18"/>
      <c r="U3723" s="18">
        <v>196000</v>
      </c>
      <c r="V3723" s="18">
        <f>U3723*1.12</f>
        <v>219520.00000000003</v>
      </c>
      <c r="W3723" s="18" t="s">
        <v>1521</v>
      </c>
      <c r="X3723" s="2">
        <v>2016</v>
      </c>
      <c r="Y3723" s="15"/>
    </row>
    <row r="3724" spans="1:25" s="12" customFormat="1" ht="89.25" customHeight="1" x14ac:dyDescent="0.25">
      <c r="B3724" s="2" t="s">
        <v>1687</v>
      </c>
      <c r="C3724" s="5" t="s">
        <v>83</v>
      </c>
      <c r="D3724" s="5" t="s">
        <v>1685</v>
      </c>
      <c r="E3724" s="5" t="s">
        <v>1686</v>
      </c>
      <c r="F3724" s="5" t="s">
        <v>1686</v>
      </c>
      <c r="G3724" s="5"/>
      <c r="H3724" s="5" t="s">
        <v>694</v>
      </c>
      <c r="I3724" s="4">
        <v>0.5</v>
      </c>
      <c r="J3724" s="13">
        <v>710000000</v>
      </c>
      <c r="K3724" s="5" t="s">
        <v>89</v>
      </c>
      <c r="L3724" s="5" t="s">
        <v>90</v>
      </c>
      <c r="M3724" s="6" t="s">
        <v>703</v>
      </c>
      <c r="N3724" s="2"/>
      <c r="O3724" s="5" t="s">
        <v>697</v>
      </c>
      <c r="P3724" s="5" t="s">
        <v>1550</v>
      </c>
      <c r="Q3724" s="66"/>
      <c r="R3724" s="67"/>
      <c r="S3724" s="18"/>
      <c r="T3724" s="18"/>
      <c r="U3724" s="18">
        <f>59000+62000+125000</f>
        <v>246000</v>
      </c>
      <c r="V3724" s="18">
        <f>U3724*1.12</f>
        <v>275520</v>
      </c>
      <c r="W3724" s="2" t="s">
        <v>1521</v>
      </c>
      <c r="X3724" s="2">
        <v>2016</v>
      </c>
      <c r="Y3724" s="15"/>
    </row>
    <row r="3725" spans="1:25" s="12" customFormat="1" ht="114.75" customHeight="1" x14ac:dyDescent="0.2">
      <c r="A3725" s="24"/>
      <c r="B3725" s="2" t="s">
        <v>1688</v>
      </c>
      <c r="C3725" s="5" t="s">
        <v>83</v>
      </c>
      <c r="D3725" s="5" t="s">
        <v>1689</v>
      </c>
      <c r="E3725" s="5" t="s">
        <v>1690</v>
      </c>
      <c r="F3725" s="5" t="s">
        <v>1690</v>
      </c>
      <c r="G3725" s="5" t="s">
        <v>1691</v>
      </c>
      <c r="H3725" s="2" t="s">
        <v>88</v>
      </c>
      <c r="I3725" s="4">
        <v>0.5</v>
      </c>
      <c r="J3725" s="13">
        <v>710000000</v>
      </c>
      <c r="K3725" s="5" t="s">
        <v>89</v>
      </c>
      <c r="L3725" s="5" t="s">
        <v>90</v>
      </c>
      <c r="M3725" s="5" t="s">
        <v>696</v>
      </c>
      <c r="N3725" s="2"/>
      <c r="O3725" s="5" t="s">
        <v>697</v>
      </c>
      <c r="P3725" s="5" t="s">
        <v>1550</v>
      </c>
      <c r="Q3725" s="2"/>
      <c r="R3725" s="5"/>
      <c r="S3725" s="18"/>
      <c r="T3725" s="18"/>
      <c r="U3725" s="18">
        <v>0</v>
      </c>
      <c r="V3725" s="18">
        <f t="shared" ref="V3725:V3743" si="2569">U3725*1.12</f>
        <v>0</v>
      </c>
      <c r="W3725" s="18" t="s">
        <v>1521</v>
      </c>
      <c r="X3725" s="2">
        <v>2016</v>
      </c>
      <c r="Y3725" s="15" t="s">
        <v>2030</v>
      </c>
    </row>
    <row r="3726" spans="1:25" s="12" customFormat="1" ht="114.75" customHeight="1" x14ac:dyDescent="0.2">
      <c r="A3726" s="24"/>
      <c r="B3726" s="2" t="s">
        <v>2029</v>
      </c>
      <c r="C3726" s="5" t="s">
        <v>83</v>
      </c>
      <c r="D3726" s="5" t="s">
        <v>1689</v>
      </c>
      <c r="E3726" s="5" t="s">
        <v>1690</v>
      </c>
      <c r="F3726" s="5" t="s">
        <v>1690</v>
      </c>
      <c r="G3726" s="5" t="s">
        <v>1691</v>
      </c>
      <c r="H3726" s="2" t="s">
        <v>765</v>
      </c>
      <c r="I3726" s="4">
        <v>0.5</v>
      </c>
      <c r="J3726" s="13">
        <v>710000000</v>
      </c>
      <c r="K3726" s="5" t="s">
        <v>89</v>
      </c>
      <c r="L3726" s="5" t="s">
        <v>90</v>
      </c>
      <c r="M3726" s="5" t="s">
        <v>696</v>
      </c>
      <c r="N3726" s="2"/>
      <c r="O3726" s="5" t="s">
        <v>697</v>
      </c>
      <c r="P3726" s="5" t="s">
        <v>1550</v>
      </c>
      <c r="Q3726" s="2"/>
      <c r="R3726" s="5"/>
      <c r="S3726" s="18"/>
      <c r="T3726" s="18"/>
      <c r="U3726" s="18">
        <v>0</v>
      </c>
      <c r="V3726" s="18">
        <f t="shared" ref="V3726" si="2570">U3726*1.12</f>
        <v>0</v>
      </c>
      <c r="W3726" s="18" t="s">
        <v>1521</v>
      </c>
      <c r="X3726" s="2">
        <v>2016</v>
      </c>
      <c r="Y3726" s="15" t="s">
        <v>1590</v>
      </c>
    </row>
    <row r="3727" spans="1:25" s="12" customFormat="1" ht="114.75" customHeight="1" x14ac:dyDescent="0.2">
      <c r="A3727" s="24"/>
      <c r="B3727" s="2" t="s">
        <v>7497</v>
      </c>
      <c r="C3727" s="5" t="s">
        <v>83</v>
      </c>
      <c r="D3727" s="5" t="s">
        <v>1689</v>
      </c>
      <c r="E3727" s="5" t="s">
        <v>1690</v>
      </c>
      <c r="F3727" s="5" t="s">
        <v>1690</v>
      </c>
      <c r="G3727" s="5" t="s">
        <v>1691</v>
      </c>
      <c r="H3727" s="2" t="s">
        <v>765</v>
      </c>
      <c r="I3727" s="4">
        <v>0.5</v>
      </c>
      <c r="J3727" s="13">
        <v>710000000</v>
      </c>
      <c r="K3727" s="5" t="s">
        <v>89</v>
      </c>
      <c r="L3727" s="5" t="s">
        <v>754</v>
      </c>
      <c r="M3727" s="5" t="s">
        <v>696</v>
      </c>
      <c r="N3727" s="2"/>
      <c r="O3727" s="5" t="s">
        <v>697</v>
      </c>
      <c r="P3727" s="5" t="s">
        <v>1550</v>
      </c>
      <c r="Q3727" s="2"/>
      <c r="R3727" s="5"/>
      <c r="S3727" s="18"/>
      <c r="T3727" s="18"/>
      <c r="U3727" s="18">
        <v>0</v>
      </c>
      <c r="V3727" s="18">
        <f t="shared" ref="V3727" si="2571">U3727*1.12</f>
        <v>0</v>
      </c>
      <c r="W3727" s="18" t="s">
        <v>1521</v>
      </c>
      <c r="X3727" s="2">
        <v>2016</v>
      </c>
      <c r="Y3727" s="15" t="s">
        <v>7728</v>
      </c>
    </row>
    <row r="3728" spans="1:25" s="12" customFormat="1" ht="114.75" customHeight="1" x14ac:dyDescent="0.2">
      <c r="A3728" s="24"/>
      <c r="B3728" s="2" t="s">
        <v>7726</v>
      </c>
      <c r="C3728" s="5" t="s">
        <v>83</v>
      </c>
      <c r="D3728" s="5" t="s">
        <v>1689</v>
      </c>
      <c r="E3728" s="5" t="s">
        <v>1690</v>
      </c>
      <c r="F3728" s="5" t="s">
        <v>1690</v>
      </c>
      <c r="G3728" s="5" t="s">
        <v>1691</v>
      </c>
      <c r="H3728" s="2" t="s">
        <v>765</v>
      </c>
      <c r="I3728" s="4">
        <v>0.5</v>
      </c>
      <c r="J3728" s="13">
        <v>710000000</v>
      </c>
      <c r="K3728" s="5" t="s">
        <v>89</v>
      </c>
      <c r="L3728" s="5" t="s">
        <v>754</v>
      </c>
      <c r="M3728" s="5" t="s">
        <v>1481</v>
      </c>
      <c r="N3728" s="2"/>
      <c r="O3728" s="5" t="s">
        <v>697</v>
      </c>
      <c r="P3728" s="5" t="s">
        <v>1550</v>
      </c>
      <c r="Q3728" s="2"/>
      <c r="R3728" s="5"/>
      <c r="S3728" s="18"/>
      <c r="T3728" s="18"/>
      <c r="U3728" s="18">
        <v>0</v>
      </c>
      <c r="V3728" s="18">
        <f t="shared" ref="V3728" si="2572">U3728*1.12</f>
        <v>0</v>
      </c>
      <c r="W3728" s="18" t="s">
        <v>1521</v>
      </c>
      <c r="X3728" s="2">
        <v>2016</v>
      </c>
      <c r="Y3728" s="15" t="s">
        <v>1590</v>
      </c>
    </row>
    <row r="3729" spans="1:25" s="12" customFormat="1" ht="114.75" customHeight="1" x14ac:dyDescent="0.25">
      <c r="B3729" s="2" t="s">
        <v>9251</v>
      </c>
      <c r="C3729" s="5" t="s">
        <v>83</v>
      </c>
      <c r="D3729" s="5" t="s">
        <v>1689</v>
      </c>
      <c r="E3729" s="5" t="s">
        <v>1690</v>
      </c>
      <c r="F3729" s="5" t="s">
        <v>1690</v>
      </c>
      <c r="G3729" s="5" t="s">
        <v>1691</v>
      </c>
      <c r="H3729" s="2" t="s">
        <v>765</v>
      </c>
      <c r="I3729" s="4">
        <v>0.5</v>
      </c>
      <c r="J3729" s="13">
        <v>710000000</v>
      </c>
      <c r="K3729" s="5" t="s">
        <v>89</v>
      </c>
      <c r="L3729" s="5" t="s">
        <v>9114</v>
      </c>
      <c r="M3729" s="5" t="s">
        <v>1481</v>
      </c>
      <c r="N3729" s="2"/>
      <c r="O3729" s="5" t="s">
        <v>697</v>
      </c>
      <c r="P3729" s="5" t="s">
        <v>1550</v>
      </c>
      <c r="Q3729" s="2"/>
      <c r="R3729" s="5"/>
      <c r="S3729" s="18"/>
      <c r="T3729" s="18"/>
      <c r="U3729" s="18">
        <v>982143</v>
      </c>
      <c r="V3729" s="18">
        <f t="shared" ref="V3729" si="2573">U3729*1.12</f>
        <v>1100000.1600000001</v>
      </c>
      <c r="W3729" s="18" t="s">
        <v>1521</v>
      </c>
      <c r="X3729" s="2">
        <v>2016</v>
      </c>
      <c r="Y3729" s="15"/>
    </row>
    <row r="3730" spans="1:25" s="12" customFormat="1" ht="114.75" customHeight="1" x14ac:dyDescent="0.2">
      <c r="A3730" s="24"/>
      <c r="B3730" s="2" t="s">
        <v>1692</v>
      </c>
      <c r="C3730" s="5" t="s">
        <v>83</v>
      </c>
      <c r="D3730" s="5" t="s">
        <v>1689</v>
      </c>
      <c r="E3730" s="5" t="s">
        <v>1690</v>
      </c>
      <c r="F3730" s="5" t="s">
        <v>1690</v>
      </c>
      <c r="G3730" s="5" t="s">
        <v>1693</v>
      </c>
      <c r="H3730" s="2" t="s">
        <v>88</v>
      </c>
      <c r="I3730" s="4">
        <v>0.5</v>
      </c>
      <c r="J3730" s="13">
        <v>710000000</v>
      </c>
      <c r="K3730" s="5" t="s">
        <v>89</v>
      </c>
      <c r="L3730" s="5" t="s">
        <v>90</v>
      </c>
      <c r="M3730" s="6" t="s">
        <v>701</v>
      </c>
      <c r="N3730" s="2"/>
      <c r="O3730" s="5" t="s">
        <v>697</v>
      </c>
      <c r="P3730" s="5" t="s">
        <v>1550</v>
      </c>
      <c r="Q3730" s="2"/>
      <c r="R3730" s="5"/>
      <c r="S3730" s="18"/>
      <c r="T3730" s="18"/>
      <c r="U3730" s="18">
        <v>0</v>
      </c>
      <c r="V3730" s="18">
        <f t="shared" si="2569"/>
        <v>0</v>
      </c>
      <c r="W3730" s="2" t="s">
        <v>1521</v>
      </c>
      <c r="X3730" s="2">
        <v>2016</v>
      </c>
      <c r="Y3730" s="15" t="s">
        <v>2030</v>
      </c>
    </row>
    <row r="3731" spans="1:25" s="12" customFormat="1" ht="114.75" customHeight="1" x14ac:dyDescent="0.2">
      <c r="A3731" s="24"/>
      <c r="B3731" s="2" t="s">
        <v>2031</v>
      </c>
      <c r="C3731" s="5" t="s">
        <v>83</v>
      </c>
      <c r="D3731" s="5" t="s">
        <v>1689</v>
      </c>
      <c r="E3731" s="5" t="s">
        <v>1690</v>
      </c>
      <c r="F3731" s="5" t="s">
        <v>1690</v>
      </c>
      <c r="G3731" s="5" t="s">
        <v>1693</v>
      </c>
      <c r="H3731" s="2" t="s">
        <v>765</v>
      </c>
      <c r="I3731" s="4">
        <v>0.5</v>
      </c>
      <c r="J3731" s="13">
        <v>710000000</v>
      </c>
      <c r="K3731" s="5" t="s">
        <v>89</v>
      </c>
      <c r="L3731" s="5" t="s">
        <v>90</v>
      </c>
      <c r="M3731" s="6" t="s">
        <v>701</v>
      </c>
      <c r="N3731" s="2"/>
      <c r="O3731" s="5" t="s">
        <v>697</v>
      </c>
      <c r="P3731" s="5" t="s">
        <v>1550</v>
      </c>
      <c r="Q3731" s="2"/>
      <c r="R3731" s="5"/>
      <c r="S3731" s="18"/>
      <c r="T3731" s="18"/>
      <c r="U3731" s="18">
        <v>0</v>
      </c>
      <c r="V3731" s="18">
        <f t="shared" ref="V3731" si="2574">U3731*1.12</f>
        <v>0</v>
      </c>
      <c r="W3731" s="2" t="s">
        <v>1521</v>
      </c>
      <c r="X3731" s="2">
        <v>2016</v>
      </c>
      <c r="Y3731" s="15" t="s">
        <v>1590</v>
      </c>
    </row>
    <row r="3732" spans="1:25" s="12" customFormat="1" ht="114.75" customHeight="1" x14ac:dyDescent="0.2">
      <c r="A3732" s="24"/>
      <c r="B3732" s="2" t="s">
        <v>7498</v>
      </c>
      <c r="C3732" s="5" t="s">
        <v>83</v>
      </c>
      <c r="D3732" s="5" t="s">
        <v>1689</v>
      </c>
      <c r="E3732" s="5" t="s">
        <v>1690</v>
      </c>
      <c r="F3732" s="5" t="s">
        <v>1690</v>
      </c>
      <c r="G3732" s="5" t="s">
        <v>1693</v>
      </c>
      <c r="H3732" s="2" t="s">
        <v>765</v>
      </c>
      <c r="I3732" s="4">
        <v>0.5</v>
      </c>
      <c r="J3732" s="13">
        <v>710000000</v>
      </c>
      <c r="K3732" s="5" t="s">
        <v>89</v>
      </c>
      <c r="L3732" s="5" t="s">
        <v>754</v>
      </c>
      <c r="M3732" s="6" t="s">
        <v>701</v>
      </c>
      <c r="N3732" s="2"/>
      <c r="O3732" s="5" t="s">
        <v>697</v>
      </c>
      <c r="P3732" s="5" t="s">
        <v>1550</v>
      </c>
      <c r="Q3732" s="2"/>
      <c r="R3732" s="5"/>
      <c r="S3732" s="18"/>
      <c r="T3732" s="18"/>
      <c r="U3732" s="18">
        <v>0</v>
      </c>
      <c r="V3732" s="18">
        <f t="shared" ref="V3732" si="2575">U3732*1.12</f>
        <v>0</v>
      </c>
      <c r="W3732" s="2" t="s">
        <v>1521</v>
      </c>
      <c r="X3732" s="2">
        <v>2016</v>
      </c>
      <c r="Y3732" s="15" t="s">
        <v>1590</v>
      </c>
    </row>
    <row r="3733" spans="1:25" s="12" customFormat="1" ht="114.75" customHeight="1" x14ac:dyDescent="0.25">
      <c r="B3733" s="2" t="s">
        <v>9252</v>
      </c>
      <c r="C3733" s="5" t="s">
        <v>83</v>
      </c>
      <c r="D3733" s="5" t="s">
        <v>1689</v>
      </c>
      <c r="E3733" s="5" t="s">
        <v>1690</v>
      </c>
      <c r="F3733" s="5" t="s">
        <v>1690</v>
      </c>
      <c r="G3733" s="5" t="s">
        <v>1693</v>
      </c>
      <c r="H3733" s="2" t="s">
        <v>765</v>
      </c>
      <c r="I3733" s="4">
        <v>0.5</v>
      </c>
      <c r="J3733" s="13">
        <v>710000000</v>
      </c>
      <c r="K3733" s="5" t="s">
        <v>89</v>
      </c>
      <c r="L3733" s="5" t="s">
        <v>9114</v>
      </c>
      <c r="M3733" s="6" t="s">
        <v>701</v>
      </c>
      <c r="N3733" s="2"/>
      <c r="O3733" s="5" t="s">
        <v>697</v>
      </c>
      <c r="P3733" s="5" t="s">
        <v>1550</v>
      </c>
      <c r="Q3733" s="2"/>
      <c r="R3733" s="5"/>
      <c r="S3733" s="18"/>
      <c r="T3733" s="18"/>
      <c r="U3733" s="18">
        <v>1737000</v>
      </c>
      <c r="V3733" s="18">
        <f t="shared" ref="V3733" si="2576">U3733*1.12</f>
        <v>1945440.0000000002</v>
      </c>
      <c r="W3733" s="2" t="s">
        <v>1521</v>
      </c>
      <c r="X3733" s="2">
        <v>2016</v>
      </c>
      <c r="Y3733" s="15"/>
    </row>
    <row r="3734" spans="1:25" s="12" customFormat="1" ht="63.75" customHeight="1" x14ac:dyDescent="0.2">
      <c r="A3734" s="24"/>
      <c r="B3734" s="2" t="s">
        <v>1694</v>
      </c>
      <c r="C3734" s="5" t="s">
        <v>83</v>
      </c>
      <c r="D3734" s="5" t="s">
        <v>1695</v>
      </c>
      <c r="E3734" s="5" t="s">
        <v>1696</v>
      </c>
      <c r="F3734" s="5" t="s">
        <v>1696</v>
      </c>
      <c r="G3734" s="5" t="s">
        <v>1697</v>
      </c>
      <c r="H3734" s="2" t="s">
        <v>765</v>
      </c>
      <c r="I3734" s="4">
        <v>0.5</v>
      </c>
      <c r="J3734" s="13">
        <v>710000000</v>
      </c>
      <c r="K3734" s="5" t="s">
        <v>89</v>
      </c>
      <c r="L3734" s="5" t="s">
        <v>90</v>
      </c>
      <c r="M3734" s="5" t="s">
        <v>696</v>
      </c>
      <c r="N3734" s="2"/>
      <c r="O3734" s="5" t="s">
        <v>697</v>
      </c>
      <c r="P3734" s="5" t="s">
        <v>1550</v>
      </c>
      <c r="Q3734" s="2"/>
      <c r="R3734" s="5"/>
      <c r="S3734" s="18"/>
      <c r="T3734" s="18"/>
      <c r="U3734" s="18">
        <v>0</v>
      </c>
      <c r="V3734" s="18">
        <f t="shared" si="2569"/>
        <v>0</v>
      </c>
      <c r="W3734" s="18" t="s">
        <v>1521</v>
      </c>
      <c r="X3734" s="2">
        <v>2016</v>
      </c>
      <c r="Y3734" s="15" t="s">
        <v>1590</v>
      </c>
    </row>
    <row r="3735" spans="1:25" s="12" customFormat="1" ht="63.75" customHeight="1" x14ac:dyDescent="0.25">
      <c r="B3735" s="2" t="s">
        <v>7500</v>
      </c>
      <c r="C3735" s="5" t="s">
        <v>83</v>
      </c>
      <c r="D3735" s="5" t="s">
        <v>1695</v>
      </c>
      <c r="E3735" s="5" t="s">
        <v>1696</v>
      </c>
      <c r="F3735" s="5" t="s">
        <v>1696</v>
      </c>
      <c r="G3735" s="5" t="s">
        <v>1697</v>
      </c>
      <c r="H3735" s="2" t="s">
        <v>765</v>
      </c>
      <c r="I3735" s="4">
        <v>0.5</v>
      </c>
      <c r="J3735" s="13">
        <v>710000000</v>
      </c>
      <c r="K3735" s="5" t="s">
        <v>89</v>
      </c>
      <c r="L3735" s="5" t="s">
        <v>754</v>
      </c>
      <c r="M3735" s="5" t="s">
        <v>696</v>
      </c>
      <c r="N3735" s="2"/>
      <c r="O3735" s="5" t="s">
        <v>697</v>
      </c>
      <c r="P3735" s="5" t="s">
        <v>1550</v>
      </c>
      <c r="Q3735" s="2"/>
      <c r="R3735" s="5"/>
      <c r="S3735" s="18"/>
      <c r="T3735" s="18"/>
      <c r="U3735" s="18">
        <f>1616815+2000000</f>
        <v>3616815</v>
      </c>
      <c r="V3735" s="18">
        <f t="shared" ref="V3735" si="2577">U3735*1.12</f>
        <v>4050832.8000000003</v>
      </c>
      <c r="W3735" s="18" t="s">
        <v>1521</v>
      </c>
      <c r="X3735" s="2">
        <v>2016</v>
      </c>
      <c r="Y3735" s="15"/>
    </row>
    <row r="3736" spans="1:25" s="12" customFormat="1" ht="63.75" customHeight="1" x14ac:dyDescent="0.2">
      <c r="A3736" s="24"/>
      <c r="B3736" s="2" t="s">
        <v>1698</v>
      </c>
      <c r="C3736" s="5" t="s">
        <v>83</v>
      </c>
      <c r="D3736" s="5" t="s">
        <v>1695</v>
      </c>
      <c r="E3736" s="5" t="s">
        <v>1696</v>
      </c>
      <c r="F3736" s="5" t="s">
        <v>1696</v>
      </c>
      <c r="G3736" s="5" t="s">
        <v>1697</v>
      </c>
      <c r="H3736" s="2" t="s">
        <v>765</v>
      </c>
      <c r="I3736" s="4">
        <v>0.5</v>
      </c>
      <c r="J3736" s="13">
        <v>710000000</v>
      </c>
      <c r="K3736" s="5" t="s">
        <v>89</v>
      </c>
      <c r="L3736" s="5" t="s">
        <v>90</v>
      </c>
      <c r="M3736" s="6" t="s">
        <v>701</v>
      </c>
      <c r="N3736" s="2"/>
      <c r="O3736" s="5" t="s">
        <v>697</v>
      </c>
      <c r="P3736" s="5" t="s">
        <v>1550</v>
      </c>
      <c r="Q3736" s="2"/>
      <c r="R3736" s="5"/>
      <c r="S3736" s="18"/>
      <c r="T3736" s="18"/>
      <c r="U3736" s="18">
        <v>0</v>
      </c>
      <c r="V3736" s="18">
        <f t="shared" si="2569"/>
        <v>0</v>
      </c>
      <c r="W3736" s="2" t="s">
        <v>1521</v>
      </c>
      <c r="X3736" s="2">
        <v>2016</v>
      </c>
      <c r="Y3736" s="15" t="s">
        <v>1590</v>
      </c>
    </row>
    <row r="3737" spans="1:25" s="12" customFormat="1" ht="63.75" customHeight="1" x14ac:dyDescent="0.25">
      <c r="B3737" s="2" t="s">
        <v>7501</v>
      </c>
      <c r="C3737" s="5" t="s">
        <v>83</v>
      </c>
      <c r="D3737" s="5" t="s">
        <v>1695</v>
      </c>
      <c r="E3737" s="5" t="s">
        <v>1696</v>
      </c>
      <c r="F3737" s="5" t="s">
        <v>1696</v>
      </c>
      <c r="G3737" s="5" t="s">
        <v>1697</v>
      </c>
      <c r="H3737" s="2" t="s">
        <v>765</v>
      </c>
      <c r="I3737" s="4">
        <v>0.5</v>
      </c>
      <c r="J3737" s="13">
        <v>710000000</v>
      </c>
      <c r="K3737" s="5" t="s">
        <v>89</v>
      </c>
      <c r="L3737" s="5" t="s">
        <v>754</v>
      </c>
      <c r="M3737" s="6" t="s">
        <v>701</v>
      </c>
      <c r="N3737" s="2"/>
      <c r="O3737" s="5" t="s">
        <v>697</v>
      </c>
      <c r="P3737" s="5" t="s">
        <v>1550</v>
      </c>
      <c r="Q3737" s="2"/>
      <c r="R3737" s="5"/>
      <c r="S3737" s="18"/>
      <c r="T3737" s="18"/>
      <c r="U3737" s="18">
        <v>130000</v>
      </c>
      <c r="V3737" s="18">
        <f t="shared" ref="V3737" si="2578">U3737*1.12</f>
        <v>145600</v>
      </c>
      <c r="W3737" s="2" t="s">
        <v>1521</v>
      </c>
      <c r="X3737" s="2">
        <v>2016</v>
      </c>
      <c r="Y3737" s="15"/>
    </row>
    <row r="3738" spans="1:25" s="12" customFormat="1" ht="63.75" customHeight="1" x14ac:dyDescent="0.2">
      <c r="A3738" s="24"/>
      <c r="B3738" s="2" t="s">
        <v>1699</v>
      </c>
      <c r="C3738" s="5" t="s">
        <v>83</v>
      </c>
      <c r="D3738" s="5" t="s">
        <v>1695</v>
      </c>
      <c r="E3738" s="5" t="s">
        <v>1696</v>
      </c>
      <c r="F3738" s="5" t="s">
        <v>1696</v>
      </c>
      <c r="G3738" s="5" t="s">
        <v>1697</v>
      </c>
      <c r="H3738" s="2" t="s">
        <v>765</v>
      </c>
      <c r="I3738" s="4">
        <v>0.5</v>
      </c>
      <c r="J3738" s="13">
        <v>710000000</v>
      </c>
      <c r="K3738" s="5" t="s">
        <v>89</v>
      </c>
      <c r="L3738" s="5" t="s">
        <v>90</v>
      </c>
      <c r="M3738" s="6" t="s">
        <v>703</v>
      </c>
      <c r="N3738" s="2"/>
      <c r="O3738" s="5" t="s">
        <v>697</v>
      </c>
      <c r="P3738" s="5" t="s">
        <v>1550</v>
      </c>
      <c r="Q3738" s="66"/>
      <c r="R3738" s="67"/>
      <c r="S3738" s="18"/>
      <c r="T3738" s="18"/>
      <c r="U3738" s="18">
        <v>0</v>
      </c>
      <c r="V3738" s="18">
        <f t="shared" si="2569"/>
        <v>0</v>
      </c>
      <c r="W3738" s="18" t="s">
        <v>1521</v>
      </c>
      <c r="X3738" s="2">
        <v>2016</v>
      </c>
      <c r="Y3738" s="15" t="s">
        <v>1590</v>
      </c>
    </row>
    <row r="3739" spans="1:25" s="12" customFormat="1" ht="63.75" customHeight="1" x14ac:dyDescent="0.25">
      <c r="B3739" s="2" t="s">
        <v>7502</v>
      </c>
      <c r="C3739" s="5" t="s">
        <v>83</v>
      </c>
      <c r="D3739" s="5" t="s">
        <v>1695</v>
      </c>
      <c r="E3739" s="5" t="s">
        <v>1696</v>
      </c>
      <c r="F3739" s="5" t="s">
        <v>1696</v>
      </c>
      <c r="G3739" s="5" t="s">
        <v>1697</v>
      </c>
      <c r="H3739" s="2" t="s">
        <v>765</v>
      </c>
      <c r="I3739" s="4">
        <v>0.5</v>
      </c>
      <c r="J3739" s="13">
        <v>710000000</v>
      </c>
      <c r="K3739" s="5" t="s">
        <v>89</v>
      </c>
      <c r="L3739" s="5" t="s">
        <v>754</v>
      </c>
      <c r="M3739" s="6" t="s">
        <v>703</v>
      </c>
      <c r="N3739" s="2"/>
      <c r="O3739" s="5" t="s">
        <v>697</v>
      </c>
      <c r="P3739" s="5" t="s">
        <v>1550</v>
      </c>
      <c r="Q3739" s="66"/>
      <c r="R3739" s="67"/>
      <c r="S3739" s="18"/>
      <c r="T3739" s="18"/>
      <c r="U3739" s="18">
        <f>1093000+766000+468000</f>
        <v>2327000</v>
      </c>
      <c r="V3739" s="18">
        <f t="shared" ref="V3739" si="2579">U3739*1.12</f>
        <v>2606240.0000000005</v>
      </c>
      <c r="W3739" s="18" t="s">
        <v>1521</v>
      </c>
      <c r="X3739" s="2">
        <v>2016</v>
      </c>
      <c r="Y3739" s="15"/>
    </row>
    <row r="3740" spans="1:25" s="12" customFormat="1" ht="63.75" customHeight="1" x14ac:dyDescent="0.25">
      <c r="B3740" s="2" t="s">
        <v>1700</v>
      </c>
      <c r="C3740" s="5" t="s">
        <v>83</v>
      </c>
      <c r="D3740" s="5" t="s">
        <v>1695</v>
      </c>
      <c r="E3740" s="5" t="s">
        <v>1696</v>
      </c>
      <c r="F3740" s="5" t="s">
        <v>1696</v>
      </c>
      <c r="G3740" s="5" t="s">
        <v>1701</v>
      </c>
      <c r="H3740" s="5" t="s">
        <v>694</v>
      </c>
      <c r="I3740" s="4">
        <v>0.5</v>
      </c>
      <c r="J3740" s="13">
        <v>710000000</v>
      </c>
      <c r="K3740" s="5" t="s">
        <v>89</v>
      </c>
      <c r="L3740" s="5" t="s">
        <v>90</v>
      </c>
      <c r="M3740" s="6" t="s">
        <v>703</v>
      </c>
      <c r="N3740" s="2"/>
      <c r="O3740" s="5" t="s">
        <v>697</v>
      </c>
      <c r="P3740" s="5" t="s">
        <v>1550</v>
      </c>
      <c r="Q3740" s="66"/>
      <c r="R3740" s="67"/>
      <c r="S3740" s="18"/>
      <c r="T3740" s="18"/>
      <c r="U3740" s="18">
        <f>193000+332000</f>
        <v>525000</v>
      </c>
      <c r="V3740" s="18">
        <f t="shared" si="2569"/>
        <v>588000</v>
      </c>
      <c r="W3740" s="2" t="s">
        <v>1521</v>
      </c>
      <c r="X3740" s="2">
        <v>2016</v>
      </c>
      <c r="Y3740" s="15"/>
    </row>
    <row r="3741" spans="1:25" s="12" customFormat="1" ht="102" customHeight="1" x14ac:dyDescent="0.2">
      <c r="A3741" s="24"/>
      <c r="B3741" s="2" t="s">
        <v>1702</v>
      </c>
      <c r="C3741" s="5" t="s">
        <v>83</v>
      </c>
      <c r="D3741" s="5" t="s">
        <v>1703</v>
      </c>
      <c r="E3741" s="5" t="s">
        <v>1704</v>
      </c>
      <c r="F3741" s="5" t="s">
        <v>1704</v>
      </c>
      <c r="G3741" s="5" t="s">
        <v>1705</v>
      </c>
      <c r="H3741" s="2" t="s">
        <v>765</v>
      </c>
      <c r="I3741" s="4">
        <v>1</v>
      </c>
      <c r="J3741" s="13">
        <v>710000000</v>
      </c>
      <c r="K3741" s="5" t="s">
        <v>89</v>
      </c>
      <c r="L3741" s="5" t="s">
        <v>90</v>
      </c>
      <c r="M3741" s="6" t="s">
        <v>1481</v>
      </c>
      <c r="N3741" s="2"/>
      <c r="O3741" s="5" t="s">
        <v>697</v>
      </c>
      <c r="P3741" s="5" t="s">
        <v>1550</v>
      </c>
      <c r="Q3741" s="2"/>
      <c r="R3741" s="5"/>
      <c r="S3741" s="18"/>
      <c r="T3741" s="18"/>
      <c r="U3741" s="18">
        <v>0</v>
      </c>
      <c r="V3741" s="18">
        <f t="shared" si="2569"/>
        <v>0</v>
      </c>
      <c r="W3741" s="18" t="s">
        <v>1521</v>
      </c>
      <c r="X3741" s="2">
        <v>2016</v>
      </c>
      <c r="Y3741" s="15" t="s">
        <v>1590</v>
      </c>
    </row>
    <row r="3742" spans="1:25" s="12" customFormat="1" ht="102" customHeight="1" x14ac:dyDescent="0.25">
      <c r="B3742" s="2" t="s">
        <v>7499</v>
      </c>
      <c r="C3742" s="5" t="s">
        <v>83</v>
      </c>
      <c r="D3742" s="5" t="s">
        <v>1703</v>
      </c>
      <c r="E3742" s="5" t="s">
        <v>1704</v>
      </c>
      <c r="F3742" s="5" t="s">
        <v>1704</v>
      </c>
      <c r="G3742" s="5" t="s">
        <v>1705</v>
      </c>
      <c r="H3742" s="2" t="s">
        <v>765</v>
      </c>
      <c r="I3742" s="4">
        <v>1</v>
      </c>
      <c r="J3742" s="13">
        <v>710000000</v>
      </c>
      <c r="K3742" s="5" t="s">
        <v>89</v>
      </c>
      <c r="L3742" s="5" t="s">
        <v>754</v>
      </c>
      <c r="M3742" s="6" t="s">
        <v>1481</v>
      </c>
      <c r="N3742" s="2"/>
      <c r="O3742" s="5" t="s">
        <v>697</v>
      </c>
      <c r="P3742" s="5" t="s">
        <v>1550</v>
      </c>
      <c r="Q3742" s="2"/>
      <c r="R3742" s="5"/>
      <c r="S3742" s="18"/>
      <c r="T3742" s="18"/>
      <c r="U3742" s="18">
        <v>1160714.3</v>
      </c>
      <c r="V3742" s="18">
        <f t="shared" ref="V3742" si="2580">U3742*1.12</f>
        <v>1300000.0160000001</v>
      </c>
      <c r="W3742" s="18" t="s">
        <v>1521</v>
      </c>
      <c r="X3742" s="2">
        <v>2016</v>
      </c>
      <c r="Y3742" s="15"/>
    </row>
    <row r="3743" spans="1:25" s="12" customFormat="1" ht="102" customHeight="1" x14ac:dyDescent="0.2">
      <c r="A3743" s="24"/>
      <c r="B3743" s="2" t="s">
        <v>1706</v>
      </c>
      <c r="C3743" s="5" t="s">
        <v>83</v>
      </c>
      <c r="D3743" s="5" t="s">
        <v>1703</v>
      </c>
      <c r="E3743" s="5" t="s">
        <v>1704</v>
      </c>
      <c r="F3743" s="5" t="s">
        <v>1704</v>
      </c>
      <c r="G3743" s="5" t="s">
        <v>1707</v>
      </c>
      <c r="H3743" s="2" t="s">
        <v>765</v>
      </c>
      <c r="I3743" s="4">
        <v>1</v>
      </c>
      <c r="J3743" s="13">
        <v>710000000</v>
      </c>
      <c r="K3743" s="5" t="s">
        <v>89</v>
      </c>
      <c r="L3743" s="5" t="s">
        <v>90</v>
      </c>
      <c r="M3743" s="5" t="s">
        <v>714</v>
      </c>
      <c r="N3743" s="2"/>
      <c r="O3743" s="5" t="s">
        <v>697</v>
      </c>
      <c r="P3743" s="5" t="s">
        <v>1550</v>
      </c>
      <c r="Q3743" s="2"/>
      <c r="R3743" s="5"/>
      <c r="S3743" s="18"/>
      <c r="T3743" s="18"/>
      <c r="U3743" s="18">
        <v>0</v>
      </c>
      <c r="V3743" s="18">
        <f t="shared" si="2569"/>
        <v>0</v>
      </c>
      <c r="W3743" s="2" t="s">
        <v>1521</v>
      </c>
      <c r="X3743" s="2">
        <v>2016</v>
      </c>
      <c r="Y3743" s="15" t="s">
        <v>1590</v>
      </c>
    </row>
    <row r="3744" spans="1:25" s="12" customFormat="1" ht="102" customHeight="1" x14ac:dyDescent="0.25">
      <c r="B3744" s="2" t="s">
        <v>7503</v>
      </c>
      <c r="C3744" s="5" t="s">
        <v>83</v>
      </c>
      <c r="D3744" s="5" t="s">
        <v>1703</v>
      </c>
      <c r="E3744" s="5" t="s">
        <v>1704</v>
      </c>
      <c r="F3744" s="5" t="s">
        <v>1704</v>
      </c>
      <c r="G3744" s="5" t="s">
        <v>1707</v>
      </c>
      <c r="H3744" s="2" t="s">
        <v>765</v>
      </c>
      <c r="I3744" s="4">
        <v>1</v>
      </c>
      <c r="J3744" s="13">
        <v>710000000</v>
      </c>
      <c r="K3744" s="5" t="s">
        <v>89</v>
      </c>
      <c r="L3744" s="5" t="s">
        <v>754</v>
      </c>
      <c r="M3744" s="5" t="s">
        <v>714</v>
      </c>
      <c r="N3744" s="2"/>
      <c r="O3744" s="5" t="s">
        <v>697</v>
      </c>
      <c r="P3744" s="5" t="s">
        <v>1550</v>
      </c>
      <c r="Q3744" s="2"/>
      <c r="R3744" s="5"/>
      <c r="S3744" s="18"/>
      <c r="T3744" s="18"/>
      <c r="U3744" s="18">
        <v>1740000</v>
      </c>
      <c r="V3744" s="18">
        <f t="shared" ref="V3744" si="2581">U3744*1.12</f>
        <v>1948800.0000000002</v>
      </c>
      <c r="W3744" s="2" t="s">
        <v>1521</v>
      </c>
      <c r="X3744" s="2">
        <v>2016</v>
      </c>
      <c r="Y3744" s="15"/>
    </row>
    <row r="3745" spans="1:25" s="12" customFormat="1" ht="51" customHeight="1" x14ac:dyDescent="0.2">
      <c r="A3745" s="24"/>
      <c r="B3745" s="2" t="s">
        <v>1708</v>
      </c>
      <c r="C3745" s="5" t="s">
        <v>83</v>
      </c>
      <c r="D3745" s="5" t="s">
        <v>1709</v>
      </c>
      <c r="E3745" s="5" t="s">
        <v>1710</v>
      </c>
      <c r="F3745" s="5" t="s">
        <v>1711</v>
      </c>
      <c r="G3745" s="5" t="s">
        <v>1712</v>
      </c>
      <c r="H3745" s="5" t="s">
        <v>765</v>
      </c>
      <c r="I3745" s="4">
        <v>1</v>
      </c>
      <c r="J3745" s="13">
        <v>710000000</v>
      </c>
      <c r="K3745" s="5" t="s">
        <v>89</v>
      </c>
      <c r="L3745" s="5" t="s">
        <v>90</v>
      </c>
      <c r="M3745" s="5" t="s">
        <v>696</v>
      </c>
      <c r="N3745" s="2"/>
      <c r="O3745" s="5" t="s">
        <v>697</v>
      </c>
      <c r="P3745" s="5" t="s">
        <v>1550</v>
      </c>
      <c r="Q3745" s="2"/>
      <c r="R3745" s="5"/>
      <c r="S3745" s="18"/>
      <c r="T3745" s="18"/>
      <c r="U3745" s="18">
        <v>0</v>
      </c>
      <c r="V3745" s="18">
        <f>U3745*1.12</f>
        <v>0</v>
      </c>
      <c r="W3745" s="18" t="s">
        <v>1521</v>
      </c>
      <c r="X3745" s="2">
        <v>2016</v>
      </c>
      <c r="Y3745" s="15" t="s">
        <v>1590</v>
      </c>
    </row>
    <row r="3746" spans="1:25" s="12" customFormat="1" ht="51" customHeight="1" x14ac:dyDescent="0.25">
      <c r="B3746" s="2" t="s">
        <v>7504</v>
      </c>
      <c r="C3746" s="5" t="s">
        <v>83</v>
      </c>
      <c r="D3746" s="5" t="s">
        <v>1709</v>
      </c>
      <c r="E3746" s="5" t="s">
        <v>1710</v>
      </c>
      <c r="F3746" s="5" t="s">
        <v>1711</v>
      </c>
      <c r="G3746" s="5" t="s">
        <v>1712</v>
      </c>
      <c r="H3746" s="5" t="s">
        <v>765</v>
      </c>
      <c r="I3746" s="4">
        <v>1</v>
      </c>
      <c r="J3746" s="13">
        <v>710000000</v>
      </c>
      <c r="K3746" s="5" t="s">
        <v>89</v>
      </c>
      <c r="L3746" s="5" t="s">
        <v>754</v>
      </c>
      <c r="M3746" s="5" t="s">
        <v>696</v>
      </c>
      <c r="N3746" s="2"/>
      <c r="O3746" s="5" t="s">
        <v>697</v>
      </c>
      <c r="P3746" s="5" t="s">
        <v>1550</v>
      </c>
      <c r="Q3746" s="2"/>
      <c r="R3746" s="5"/>
      <c r="S3746" s="18"/>
      <c r="T3746" s="18"/>
      <c r="U3746" s="18">
        <v>800000</v>
      </c>
      <c r="V3746" s="18">
        <f>U3746*1.12</f>
        <v>896000.00000000012</v>
      </c>
      <c r="W3746" s="18" t="s">
        <v>1521</v>
      </c>
      <c r="X3746" s="2">
        <v>2016</v>
      </c>
      <c r="Y3746" s="15"/>
    </row>
    <row r="3747" spans="1:25" s="12" customFormat="1" ht="51" customHeight="1" x14ac:dyDescent="0.2">
      <c r="A3747" s="24"/>
      <c r="B3747" s="2" t="s">
        <v>1713</v>
      </c>
      <c r="C3747" s="5" t="s">
        <v>83</v>
      </c>
      <c r="D3747" s="5" t="s">
        <v>1709</v>
      </c>
      <c r="E3747" s="5" t="s">
        <v>1710</v>
      </c>
      <c r="F3747" s="5" t="s">
        <v>1711</v>
      </c>
      <c r="G3747" s="5" t="s">
        <v>1712</v>
      </c>
      <c r="H3747" s="5" t="s">
        <v>765</v>
      </c>
      <c r="I3747" s="4">
        <v>1</v>
      </c>
      <c r="J3747" s="13">
        <v>710000000</v>
      </c>
      <c r="K3747" s="5" t="s">
        <v>89</v>
      </c>
      <c r="L3747" s="5" t="s">
        <v>90</v>
      </c>
      <c r="M3747" s="3" t="s">
        <v>682</v>
      </c>
      <c r="N3747" s="2"/>
      <c r="O3747" s="5" t="s">
        <v>697</v>
      </c>
      <c r="P3747" s="5" t="s">
        <v>1550</v>
      </c>
      <c r="Q3747" s="2"/>
      <c r="R3747" s="5"/>
      <c r="S3747" s="18"/>
      <c r="T3747" s="18"/>
      <c r="U3747" s="18">
        <v>0</v>
      </c>
      <c r="V3747" s="18">
        <f t="shared" ref="V3747" si="2582">U3747*1.12</f>
        <v>0</v>
      </c>
      <c r="W3747" s="2" t="s">
        <v>1521</v>
      </c>
      <c r="X3747" s="2">
        <v>2016</v>
      </c>
      <c r="Y3747" s="15" t="s">
        <v>1590</v>
      </c>
    </row>
    <row r="3748" spans="1:25" s="12" customFormat="1" ht="51" customHeight="1" x14ac:dyDescent="0.25">
      <c r="B3748" s="2" t="s">
        <v>7505</v>
      </c>
      <c r="C3748" s="5" t="s">
        <v>83</v>
      </c>
      <c r="D3748" s="5" t="s">
        <v>1709</v>
      </c>
      <c r="E3748" s="5" t="s">
        <v>1710</v>
      </c>
      <c r="F3748" s="5" t="s">
        <v>1711</v>
      </c>
      <c r="G3748" s="5" t="s">
        <v>1712</v>
      </c>
      <c r="H3748" s="5" t="s">
        <v>765</v>
      </c>
      <c r="I3748" s="4">
        <v>1</v>
      </c>
      <c r="J3748" s="13">
        <v>710000000</v>
      </c>
      <c r="K3748" s="5" t="s">
        <v>89</v>
      </c>
      <c r="L3748" s="5" t="s">
        <v>754</v>
      </c>
      <c r="M3748" s="6" t="s">
        <v>682</v>
      </c>
      <c r="N3748" s="2"/>
      <c r="O3748" s="5" t="s">
        <v>697</v>
      </c>
      <c r="P3748" s="5" t="s">
        <v>1550</v>
      </c>
      <c r="Q3748" s="2"/>
      <c r="R3748" s="5"/>
      <c r="S3748" s="18"/>
      <c r="T3748" s="18"/>
      <c r="U3748" s="18">
        <v>215000</v>
      </c>
      <c r="V3748" s="18">
        <f t="shared" ref="V3748" si="2583">U3748*1.12</f>
        <v>240800.00000000003</v>
      </c>
      <c r="W3748" s="2" t="s">
        <v>1521</v>
      </c>
      <c r="X3748" s="2">
        <v>2016</v>
      </c>
      <c r="Y3748" s="15"/>
    </row>
    <row r="3749" spans="1:25" s="12" customFormat="1" ht="51" customHeight="1" x14ac:dyDescent="0.2">
      <c r="A3749" s="24"/>
      <c r="B3749" s="2" t="s">
        <v>1714</v>
      </c>
      <c r="C3749" s="5" t="s">
        <v>83</v>
      </c>
      <c r="D3749" s="5" t="s">
        <v>1715</v>
      </c>
      <c r="E3749" s="5" t="s">
        <v>1716</v>
      </c>
      <c r="F3749" s="5" t="s">
        <v>1717</v>
      </c>
      <c r="G3749" s="68" t="s">
        <v>1718</v>
      </c>
      <c r="H3749" s="5" t="s">
        <v>765</v>
      </c>
      <c r="I3749" s="4">
        <v>1</v>
      </c>
      <c r="J3749" s="13">
        <v>710000000</v>
      </c>
      <c r="K3749" s="5" t="s">
        <v>89</v>
      </c>
      <c r="L3749" s="5" t="s">
        <v>90</v>
      </c>
      <c r="M3749" s="6" t="s">
        <v>1520</v>
      </c>
      <c r="N3749" s="2"/>
      <c r="O3749" s="5" t="s">
        <v>697</v>
      </c>
      <c r="P3749" s="5" t="s">
        <v>1550</v>
      </c>
      <c r="Q3749" s="2"/>
      <c r="R3749" s="5"/>
      <c r="S3749" s="18"/>
      <c r="T3749" s="18"/>
      <c r="U3749" s="18">
        <v>0</v>
      </c>
      <c r="V3749" s="18">
        <f>U3749*1.12</f>
        <v>0</v>
      </c>
      <c r="W3749" s="18" t="s">
        <v>1521</v>
      </c>
      <c r="X3749" s="2">
        <v>2016</v>
      </c>
      <c r="Y3749" s="15" t="s">
        <v>1590</v>
      </c>
    </row>
    <row r="3750" spans="1:25" s="12" customFormat="1" ht="51" customHeight="1" x14ac:dyDescent="0.25">
      <c r="B3750" s="2" t="s">
        <v>7506</v>
      </c>
      <c r="C3750" s="5" t="s">
        <v>83</v>
      </c>
      <c r="D3750" s="5" t="s">
        <v>1715</v>
      </c>
      <c r="E3750" s="5" t="s">
        <v>1716</v>
      </c>
      <c r="F3750" s="5" t="s">
        <v>1717</v>
      </c>
      <c r="G3750" s="68" t="s">
        <v>1718</v>
      </c>
      <c r="H3750" s="5" t="s">
        <v>765</v>
      </c>
      <c r="I3750" s="4">
        <v>1</v>
      </c>
      <c r="J3750" s="13">
        <v>710000000</v>
      </c>
      <c r="K3750" s="5" t="s">
        <v>89</v>
      </c>
      <c r="L3750" s="5" t="s">
        <v>754</v>
      </c>
      <c r="M3750" s="6" t="s">
        <v>1520</v>
      </c>
      <c r="N3750" s="2"/>
      <c r="O3750" s="5" t="s">
        <v>697</v>
      </c>
      <c r="P3750" s="5" t="s">
        <v>1550</v>
      </c>
      <c r="Q3750" s="2"/>
      <c r="R3750" s="5"/>
      <c r="S3750" s="18"/>
      <c r="T3750" s="18"/>
      <c r="U3750" s="18">
        <v>1000000</v>
      </c>
      <c r="V3750" s="18">
        <f>U3750*1.12</f>
        <v>1120000</v>
      </c>
      <c r="W3750" s="18" t="s">
        <v>1521</v>
      </c>
      <c r="X3750" s="2">
        <v>2016</v>
      </c>
      <c r="Y3750" s="15"/>
    </row>
    <row r="3751" spans="1:25" s="12" customFormat="1" ht="51" customHeight="1" x14ac:dyDescent="0.2">
      <c r="A3751" s="24"/>
      <c r="B3751" s="2" t="s">
        <v>1719</v>
      </c>
      <c r="C3751" s="5" t="s">
        <v>83</v>
      </c>
      <c r="D3751" s="5" t="s">
        <v>1587</v>
      </c>
      <c r="E3751" s="5" t="s">
        <v>1588</v>
      </c>
      <c r="F3751" s="5" t="s">
        <v>1588</v>
      </c>
      <c r="G3751" s="5"/>
      <c r="H3751" s="5" t="s">
        <v>88</v>
      </c>
      <c r="I3751" s="4">
        <v>1</v>
      </c>
      <c r="J3751" s="13">
        <v>710000000</v>
      </c>
      <c r="K3751" s="5" t="s">
        <v>89</v>
      </c>
      <c r="L3751" s="5" t="s">
        <v>90</v>
      </c>
      <c r="M3751" s="5" t="s">
        <v>714</v>
      </c>
      <c r="N3751" s="2"/>
      <c r="O3751" s="5" t="s">
        <v>697</v>
      </c>
      <c r="P3751" s="5" t="s">
        <v>1550</v>
      </c>
      <c r="Q3751" s="2"/>
      <c r="R3751" s="5"/>
      <c r="S3751" s="18"/>
      <c r="T3751" s="18"/>
      <c r="U3751" s="18">
        <v>0</v>
      </c>
      <c r="V3751" s="18">
        <f t="shared" ref="V3751" si="2584">U3751*1.12</f>
        <v>0</v>
      </c>
      <c r="W3751" s="2" t="s">
        <v>1521</v>
      </c>
      <c r="X3751" s="2">
        <v>2016</v>
      </c>
      <c r="Y3751" s="15" t="s">
        <v>1590</v>
      </c>
    </row>
    <row r="3752" spans="1:25" s="12" customFormat="1" ht="51" customHeight="1" x14ac:dyDescent="0.25">
      <c r="B3752" s="2" t="s">
        <v>7688</v>
      </c>
      <c r="C3752" s="5" t="s">
        <v>83</v>
      </c>
      <c r="D3752" s="5" t="s">
        <v>1587</v>
      </c>
      <c r="E3752" s="5" t="s">
        <v>1588</v>
      </c>
      <c r="F3752" s="5" t="s">
        <v>1588</v>
      </c>
      <c r="G3752" s="5"/>
      <c r="H3752" s="5" t="s">
        <v>88</v>
      </c>
      <c r="I3752" s="4">
        <v>1</v>
      </c>
      <c r="J3752" s="13">
        <v>710000000</v>
      </c>
      <c r="K3752" s="5" t="s">
        <v>89</v>
      </c>
      <c r="L3752" s="5" t="s">
        <v>7470</v>
      </c>
      <c r="M3752" s="5" t="s">
        <v>714</v>
      </c>
      <c r="N3752" s="2"/>
      <c r="O3752" s="5" t="s">
        <v>697</v>
      </c>
      <c r="P3752" s="5" t="s">
        <v>1550</v>
      </c>
      <c r="Q3752" s="2"/>
      <c r="R3752" s="5"/>
      <c r="S3752" s="18"/>
      <c r="T3752" s="18"/>
      <c r="U3752" s="18">
        <v>979000</v>
      </c>
      <c r="V3752" s="18">
        <f t="shared" ref="V3752" si="2585">U3752*1.12</f>
        <v>1096480</v>
      </c>
      <c r="W3752" s="2" t="s">
        <v>1521</v>
      </c>
      <c r="X3752" s="2">
        <v>2016</v>
      </c>
      <c r="Y3752" s="15"/>
    </row>
    <row r="3753" spans="1:25" s="12" customFormat="1" ht="51" customHeight="1" x14ac:dyDescent="0.2">
      <c r="A3753" s="24"/>
      <c r="B3753" s="2" t="s">
        <v>1720</v>
      </c>
      <c r="C3753" s="5" t="s">
        <v>83</v>
      </c>
      <c r="D3753" s="5" t="s">
        <v>1721</v>
      </c>
      <c r="E3753" s="5" t="s">
        <v>1722</v>
      </c>
      <c r="F3753" s="5" t="s">
        <v>1722</v>
      </c>
      <c r="G3753" s="5"/>
      <c r="H3753" s="5" t="s">
        <v>88</v>
      </c>
      <c r="I3753" s="4">
        <v>1</v>
      </c>
      <c r="J3753" s="13">
        <v>710000000</v>
      </c>
      <c r="K3753" s="5" t="s">
        <v>89</v>
      </c>
      <c r="L3753" s="5" t="s">
        <v>1723</v>
      </c>
      <c r="M3753" s="5" t="s">
        <v>696</v>
      </c>
      <c r="N3753" s="2"/>
      <c r="O3753" s="5" t="s">
        <v>1724</v>
      </c>
      <c r="P3753" s="5" t="s">
        <v>1725</v>
      </c>
      <c r="Q3753" s="2"/>
      <c r="R3753" s="5"/>
      <c r="S3753" s="18"/>
      <c r="T3753" s="18"/>
      <c r="U3753" s="18">
        <v>0</v>
      </c>
      <c r="V3753" s="18">
        <f t="shared" ref="V3753:V3768" si="2586">U3753</f>
        <v>0</v>
      </c>
      <c r="W3753" s="18" t="s">
        <v>1521</v>
      </c>
      <c r="X3753" s="2">
        <v>2016</v>
      </c>
      <c r="Y3753" s="15" t="s">
        <v>7667</v>
      </c>
    </row>
    <row r="3754" spans="1:25" s="12" customFormat="1" ht="51" customHeight="1" x14ac:dyDescent="0.25">
      <c r="B3754" s="2" t="s">
        <v>9686</v>
      </c>
      <c r="C3754" s="5" t="s">
        <v>83</v>
      </c>
      <c r="D3754" s="5" t="s">
        <v>1721</v>
      </c>
      <c r="E3754" s="5" t="s">
        <v>1722</v>
      </c>
      <c r="F3754" s="5" t="s">
        <v>1722</v>
      </c>
      <c r="G3754" s="5"/>
      <c r="H3754" s="5" t="s">
        <v>88</v>
      </c>
      <c r="I3754" s="4">
        <v>1</v>
      </c>
      <c r="J3754" s="13">
        <v>710000000</v>
      </c>
      <c r="K3754" s="5" t="s">
        <v>89</v>
      </c>
      <c r="L3754" s="5" t="s">
        <v>1723</v>
      </c>
      <c r="M3754" s="5" t="s">
        <v>696</v>
      </c>
      <c r="N3754" s="2"/>
      <c r="O3754" s="5" t="s">
        <v>1724</v>
      </c>
      <c r="P3754" s="5" t="s">
        <v>1725</v>
      </c>
      <c r="Q3754" s="2"/>
      <c r="R3754" s="5"/>
      <c r="S3754" s="18"/>
      <c r="T3754" s="18"/>
      <c r="U3754" s="18">
        <v>45451000</v>
      </c>
      <c r="V3754" s="18">
        <f t="shared" ref="V3754" si="2587">U3754</f>
        <v>45451000</v>
      </c>
      <c r="W3754" s="18" t="s">
        <v>1521</v>
      </c>
      <c r="X3754" s="2">
        <v>2016</v>
      </c>
      <c r="Y3754" s="15"/>
    </row>
    <row r="3755" spans="1:25" s="12" customFormat="1" ht="63.75" customHeight="1" x14ac:dyDescent="0.25">
      <c r="B3755" s="2" t="s">
        <v>1726</v>
      </c>
      <c r="C3755" s="5" t="s">
        <v>83</v>
      </c>
      <c r="D3755" s="5" t="s">
        <v>1727</v>
      </c>
      <c r="E3755" s="5" t="s">
        <v>1728</v>
      </c>
      <c r="F3755" s="5" t="s">
        <v>1728</v>
      </c>
      <c r="G3755" s="5" t="s">
        <v>1729</v>
      </c>
      <c r="H3755" s="5" t="s">
        <v>694</v>
      </c>
      <c r="I3755" s="4">
        <v>1</v>
      </c>
      <c r="J3755" s="13">
        <v>710000000</v>
      </c>
      <c r="K3755" s="5" t="s">
        <v>89</v>
      </c>
      <c r="L3755" s="5" t="s">
        <v>1730</v>
      </c>
      <c r="M3755" s="5" t="s">
        <v>696</v>
      </c>
      <c r="N3755" s="2"/>
      <c r="O3755" s="5" t="s">
        <v>1724</v>
      </c>
      <c r="P3755" s="5" t="s">
        <v>1725</v>
      </c>
      <c r="Q3755" s="2"/>
      <c r="R3755" s="5"/>
      <c r="S3755" s="18"/>
      <c r="T3755" s="18"/>
      <c r="U3755" s="18">
        <v>12340000</v>
      </c>
      <c r="V3755" s="18">
        <f t="shared" si="2586"/>
        <v>12340000</v>
      </c>
      <c r="W3755" s="2" t="s">
        <v>1521</v>
      </c>
      <c r="X3755" s="2">
        <v>2016</v>
      </c>
      <c r="Y3755" s="15"/>
    </row>
    <row r="3756" spans="1:25" s="12" customFormat="1" ht="127.5" customHeight="1" x14ac:dyDescent="0.25">
      <c r="B3756" s="2" t="s">
        <v>1731</v>
      </c>
      <c r="C3756" s="5" t="s">
        <v>83</v>
      </c>
      <c r="D3756" s="5" t="s">
        <v>1732</v>
      </c>
      <c r="E3756" s="5" t="s">
        <v>1733</v>
      </c>
      <c r="F3756" s="5" t="s">
        <v>1733</v>
      </c>
      <c r="G3756" s="5" t="s">
        <v>1734</v>
      </c>
      <c r="H3756" s="5" t="s">
        <v>694</v>
      </c>
      <c r="I3756" s="4">
        <v>1</v>
      </c>
      <c r="J3756" s="13">
        <v>710000000</v>
      </c>
      <c r="K3756" s="5" t="s">
        <v>89</v>
      </c>
      <c r="L3756" s="5" t="s">
        <v>1735</v>
      </c>
      <c r="M3756" s="5" t="s">
        <v>696</v>
      </c>
      <c r="N3756" s="2"/>
      <c r="O3756" s="5" t="s">
        <v>1724</v>
      </c>
      <c r="P3756" s="5" t="s">
        <v>1725</v>
      </c>
      <c r="Q3756" s="2"/>
      <c r="R3756" s="5"/>
      <c r="S3756" s="18"/>
      <c r="T3756" s="18"/>
      <c r="U3756" s="18">
        <v>25000000</v>
      </c>
      <c r="V3756" s="18">
        <f t="shared" si="2586"/>
        <v>25000000</v>
      </c>
      <c r="W3756" s="18" t="s">
        <v>1521</v>
      </c>
      <c r="X3756" s="2">
        <v>2016</v>
      </c>
      <c r="Y3756" s="15"/>
    </row>
    <row r="3757" spans="1:25" s="12" customFormat="1" ht="127.5" customHeight="1" x14ac:dyDescent="0.2">
      <c r="A3757" s="24"/>
      <c r="B3757" s="2" t="s">
        <v>1736</v>
      </c>
      <c r="C3757" s="5" t="s">
        <v>83</v>
      </c>
      <c r="D3757" s="5" t="s">
        <v>1732</v>
      </c>
      <c r="E3757" s="5" t="s">
        <v>1733</v>
      </c>
      <c r="F3757" s="5" t="s">
        <v>1733</v>
      </c>
      <c r="G3757" s="5" t="s">
        <v>1737</v>
      </c>
      <c r="H3757" s="5" t="s">
        <v>694</v>
      </c>
      <c r="I3757" s="4">
        <v>1</v>
      </c>
      <c r="J3757" s="13">
        <v>710000000</v>
      </c>
      <c r="K3757" s="5" t="s">
        <v>89</v>
      </c>
      <c r="L3757" s="5" t="s">
        <v>1738</v>
      </c>
      <c r="M3757" s="5" t="s">
        <v>696</v>
      </c>
      <c r="N3757" s="2"/>
      <c r="O3757" s="5" t="s">
        <v>1724</v>
      </c>
      <c r="P3757" s="5" t="s">
        <v>1725</v>
      </c>
      <c r="Q3757" s="2"/>
      <c r="R3757" s="5"/>
      <c r="S3757" s="18"/>
      <c r="T3757" s="18"/>
      <c r="U3757" s="18">
        <v>0</v>
      </c>
      <c r="V3757" s="18">
        <f t="shared" si="2586"/>
        <v>0</v>
      </c>
      <c r="W3757" s="2" t="s">
        <v>1521</v>
      </c>
      <c r="X3757" s="2">
        <v>2016</v>
      </c>
      <c r="Y3757" s="15" t="s">
        <v>1590</v>
      </c>
    </row>
    <row r="3758" spans="1:25" s="12" customFormat="1" ht="127.5" customHeight="1" x14ac:dyDescent="0.25">
      <c r="B3758" s="2" t="s">
        <v>9681</v>
      </c>
      <c r="C3758" s="5" t="s">
        <v>83</v>
      </c>
      <c r="D3758" s="5" t="s">
        <v>1732</v>
      </c>
      <c r="E3758" s="5" t="s">
        <v>1733</v>
      </c>
      <c r="F3758" s="5" t="s">
        <v>1733</v>
      </c>
      <c r="G3758" s="5" t="s">
        <v>1737</v>
      </c>
      <c r="H3758" s="5" t="s">
        <v>694</v>
      </c>
      <c r="I3758" s="4">
        <v>1</v>
      </c>
      <c r="J3758" s="13">
        <v>710000000</v>
      </c>
      <c r="K3758" s="5" t="s">
        <v>89</v>
      </c>
      <c r="L3758" s="5" t="s">
        <v>1723</v>
      </c>
      <c r="M3758" s="5" t="s">
        <v>696</v>
      </c>
      <c r="N3758" s="2"/>
      <c r="O3758" s="5" t="s">
        <v>1724</v>
      </c>
      <c r="P3758" s="5" t="s">
        <v>1725</v>
      </c>
      <c r="Q3758" s="2"/>
      <c r="R3758" s="5"/>
      <c r="S3758" s="18"/>
      <c r="T3758" s="18"/>
      <c r="U3758" s="18">
        <v>3420000</v>
      </c>
      <c r="V3758" s="18">
        <f t="shared" ref="V3758" si="2588">U3758</f>
        <v>3420000</v>
      </c>
      <c r="W3758" s="2" t="s">
        <v>1521</v>
      </c>
      <c r="X3758" s="2">
        <v>2016</v>
      </c>
      <c r="Y3758" s="15"/>
    </row>
    <row r="3759" spans="1:25" s="12" customFormat="1" ht="127.5" customHeight="1" x14ac:dyDescent="0.25">
      <c r="B3759" s="2" t="s">
        <v>1739</v>
      </c>
      <c r="C3759" s="5" t="s">
        <v>83</v>
      </c>
      <c r="D3759" s="5" t="s">
        <v>1732</v>
      </c>
      <c r="E3759" s="5" t="s">
        <v>1733</v>
      </c>
      <c r="F3759" s="5" t="s">
        <v>1733</v>
      </c>
      <c r="G3759" s="5" t="s">
        <v>1740</v>
      </c>
      <c r="H3759" s="5" t="s">
        <v>694</v>
      </c>
      <c r="I3759" s="4">
        <v>1</v>
      </c>
      <c r="J3759" s="13">
        <v>710000000</v>
      </c>
      <c r="K3759" s="5" t="s">
        <v>89</v>
      </c>
      <c r="L3759" s="5" t="s">
        <v>1741</v>
      </c>
      <c r="M3759" s="5" t="s">
        <v>696</v>
      </c>
      <c r="N3759" s="2"/>
      <c r="O3759" s="5" t="s">
        <v>1724</v>
      </c>
      <c r="P3759" s="5" t="s">
        <v>1725</v>
      </c>
      <c r="Q3759" s="2"/>
      <c r="R3759" s="5"/>
      <c r="S3759" s="18"/>
      <c r="T3759" s="18"/>
      <c r="U3759" s="18">
        <v>112453.95</v>
      </c>
      <c r="V3759" s="18">
        <f t="shared" si="2586"/>
        <v>112453.95</v>
      </c>
      <c r="W3759" s="18" t="s">
        <v>1521</v>
      </c>
      <c r="X3759" s="2">
        <v>2016</v>
      </c>
      <c r="Y3759" s="15"/>
    </row>
    <row r="3760" spans="1:25" s="12" customFormat="1" ht="127.5" customHeight="1" x14ac:dyDescent="0.25">
      <c r="B3760" s="2" t="s">
        <v>1742</v>
      </c>
      <c r="C3760" s="5" t="s">
        <v>83</v>
      </c>
      <c r="D3760" s="5" t="s">
        <v>1732</v>
      </c>
      <c r="E3760" s="5" t="s">
        <v>1733</v>
      </c>
      <c r="F3760" s="5" t="s">
        <v>1733</v>
      </c>
      <c r="G3760" s="5" t="s">
        <v>1743</v>
      </c>
      <c r="H3760" s="5" t="s">
        <v>694</v>
      </c>
      <c r="I3760" s="4">
        <v>1</v>
      </c>
      <c r="J3760" s="13">
        <v>710000000</v>
      </c>
      <c r="K3760" s="5" t="s">
        <v>89</v>
      </c>
      <c r="L3760" s="5" t="s">
        <v>1738</v>
      </c>
      <c r="M3760" s="5" t="s">
        <v>701</v>
      </c>
      <c r="N3760" s="2"/>
      <c r="O3760" s="5" t="s">
        <v>1724</v>
      </c>
      <c r="P3760" s="5" t="s">
        <v>1725</v>
      </c>
      <c r="Q3760" s="2"/>
      <c r="R3760" s="5"/>
      <c r="S3760" s="18"/>
      <c r="T3760" s="18"/>
      <c r="U3760" s="18">
        <v>2200000</v>
      </c>
      <c r="V3760" s="18">
        <f t="shared" si="2586"/>
        <v>2200000</v>
      </c>
      <c r="W3760" s="2" t="s">
        <v>1521</v>
      </c>
      <c r="X3760" s="2">
        <v>2016</v>
      </c>
      <c r="Y3760" s="15"/>
    </row>
    <row r="3761" spans="2:25" s="12" customFormat="1" ht="102" customHeight="1" x14ac:dyDescent="0.25">
      <c r="B3761" s="2" t="s">
        <v>1744</v>
      </c>
      <c r="C3761" s="5" t="s">
        <v>83</v>
      </c>
      <c r="D3761" s="5" t="s">
        <v>1745</v>
      </c>
      <c r="E3761" s="5" t="s">
        <v>1746</v>
      </c>
      <c r="F3761" s="5" t="s">
        <v>1746</v>
      </c>
      <c r="G3761" s="5" t="s">
        <v>1747</v>
      </c>
      <c r="H3761" s="5" t="s">
        <v>694</v>
      </c>
      <c r="I3761" s="4">
        <v>1</v>
      </c>
      <c r="J3761" s="13">
        <v>710000000</v>
      </c>
      <c r="K3761" s="5" t="s">
        <v>89</v>
      </c>
      <c r="L3761" s="5" t="s">
        <v>1735</v>
      </c>
      <c r="M3761" s="5" t="s">
        <v>696</v>
      </c>
      <c r="N3761" s="2"/>
      <c r="O3761" s="5" t="s">
        <v>1724</v>
      </c>
      <c r="P3761" s="5" t="s">
        <v>1725</v>
      </c>
      <c r="Q3761" s="2"/>
      <c r="R3761" s="5"/>
      <c r="S3761" s="18"/>
      <c r="T3761" s="18"/>
      <c r="U3761" s="18">
        <v>2431043</v>
      </c>
      <c r="V3761" s="18">
        <f t="shared" si="2586"/>
        <v>2431043</v>
      </c>
      <c r="W3761" s="18" t="s">
        <v>1521</v>
      </c>
      <c r="X3761" s="2">
        <v>2016</v>
      </c>
      <c r="Y3761" s="15"/>
    </row>
    <row r="3762" spans="2:25" s="12" customFormat="1" ht="102" customHeight="1" x14ac:dyDescent="0.25">
      <c r="B3762" s="2" t="s">
        <v>1748</v>
      </c>
      <c r="C3762" s="5" t="s">
        <v>83</v>
      </c>
      <c r="D3762" s="5" t="s">
        <v>1745</v>
      </c>
      <c r="E3762" s="5" t="s">
        <v>1746</v>
      </c>
      <c r="F3762" s="5" t="s">
        <v>1746</v>
      </c>
      <c r="G3762" s="5" t="s">
        <v>1747</v>
      </c>
      <c r="H3762" s="5" t="s">
        <v>694</v>
      </c>
      <c r="I3762" s="4">
        <v>1</v>
      </c>
      <c r="J3762" s="13">
        <v>710000000</v>
      </c>
      <c r="K3762" s="5" t="s">
        <v>89</v>
      </c>
      <c r="L3762" s="5" t="s">
        <v>1735</v>
      </c>
      <c r="M3762" s="6" t="s">
        <v>701</v>
      </c>
      <c r="N3762" s="2"/>
      <c r="O3762" s="5" t="s">
        <v>1724</v>
      </c>
      <c r="P3762" s="5" t="s">
        <v>1725</v>
      </c>
      <c r="Q3762" s="2"/>
      <c r="R3762" s="5"/>
      <c r="S3762" s="18"/>
      <c r="T3762" s="18"/>
      <c r="U3762" s="18">
        <v>159000</v>
      </c>
      <c r="V3762" s="18">
        <f t="shared" si="2586"/>
        <v>159000</v>
      </c>
      <c r="W3762" s="2" t="s">
        <v>1521</v>
      </c>
      <c r="X3762" s="2">
        <v>2016</v>
      </c>
      <c r="Y3762" s="15"/>
    </row>
    <row r="3763" spans="2:25" s="12" customFormat="1" ht="102" customHeight="1" x14ac:dyDescent="0.25">
      <c r="B3763" s="2" t="s">
        <v>1749</v>
      </c>
      <c r="C3763" s="5" t="s">
        <v>83</v>
      </c>
      <c r="D3763" s="5" t="s">
        <v>1745</v>
      </c>
      <c r="E3763" s="5" t="s">
        <v>1746</v>
      </c>
      <c r="F3763" s="5" t="s">
        <v>1746</v>
      </c>
      <c r="G3763" s="5" t="s">
        <v>1747</v>
      </c>
      <c r="H3763" s="5" t="s">
        <v>694</v>
      </c>
      <c r="I3763" s="4">
        <v>1</v>
      </c>
      <c r="J3763" s="13">
        <v>710000000</v>
      </c>
      <c r="K3763" s="5" t="s">
        <v>89</v>
      </c>
      <c r="L3763" s="5" t="s">
        <v>1735</v>
      </c>
      <c r="M3763" s="5" t="s">
        <v>728</v>
      </c>
      <c r="N3763" s="2"/>
      <c r="O3763" s="5" t="s">
        <v>1724</v>
      </c>
      <c r="P3763" s="5" t="s">
        <v>1725</v>
      </c>
      <c r="Q3763" s="2"/>
      <c r="R3763" s="5"/>
      <c r="S3763" s="18"/>
      <c r="T3763" s="18"/>
      <c r="U3763" s="18">
        <f>98712+59826</f>
        <v>158538</v>
      </c>
      <c r="V3763" s="18">
        <f t="shared" si="2586"/>
        <v>158538</v>
      </c>
      <c r="W3763" s="18" t="s">
        <v>1521</v>
      </c>
      <c r="X3763" s="2">
        <v>2016</v>
      </c>
      <c r="Y3763" s="15"/>
    </row>
    <row r="3764" spans="2:25" s="12" customFormat="1" ht="165.75" customHeight="1" x14ac:dyDescent="0.25">
      <c r="B3764" s="2" t="s">
        <v>1750</v>
      </c>
      <c r="C3764" s="5" t="s">
        <v>83</v>
      </c>
      <c r="D3764" s="5" t="s">
        <v>1751</v>
      </c>
      <c r="E3764" s="5" t="s">
        <v>1752</v>
      </c>
      <c r="F3764" s="5" t="s">
        <v>1752</v>
      </c>
      <c r="G3764" s="5" t="s">
        <v>1753</v>
      </c>
      <c r="H3764" s="5" t="s">
        <v>694</v>
      </c>
      <c r="I3764" s="4">
        <v>1</v>
      </c>
      <c r="J3764" s="13">
        <v>710000000</v>
      </c>
      <c r="K3764" s="5" t="s">
        <v>89</v>
      </c>
      <c r="L3764" s="5" t="s">
        <v>1735</v>
      </c>
      <c r="M3764" s="5" t="s">
        <v>696</v>
      </c>
      <c r="N3764" s="2"/>
      <c r="O3764" s="5" t="s">
        <v>1724</v>
      </c>
      <c r="P3764" s="5" t="s">
        <v>1725</v>
      </c>
      <c r="Q3764" s="2"/>
      <c r="R3764" s="5"/>
      <c r="S3764" s="18"/>
      <c r="T3764" s="18"/>
      <c r="U3764" s="18">
        <v>1162316</v>
      </c>
      <c r="V3764" s="18">
        <f t="shared" si="2586"/>
        <v>1162316</v>
      </c>
      <c r="W3764" s="2" t="s">
        <v>1521</v>
      </c>
      <c r="X3764" s="2">
        <v>2016</v>
      </c>
      <c r="Y3764" s="15"/>
    </row>
    <row r="3765" spans="2:25" s="12" customFormat="1" ht="165.75" customHeight="1" x14ac:dyDescent="0.25">
      <c r="B3765" s="2" t="s">
        <v>1754</v>
      </c>
      <c r="C3765" s="5" t="s">
        <v>83</v>
      </c>
      <c r="D3765" s="5" t="s">
        <v>1751</v>
      </c>
      <c r="E3765" s="5" t="s">
        <v>1752</v>
      </c>
      <c r="F3765" s="5" t="s">
        <v>1752</v>
      </c>
      <c r="G3765" s="5" t="s">
        <v>1755</v>
      </c>
      <c r="H3765" s="5" t="s">
        <v>694</v>
      </c>
      <c r="I3765" s="4">
        <v>1</v>
      </c>
      <c r="J3765" s="13">
        <v>710000000</v>
      </c>
      <c r="K3765" s="5" t="s">
        <v>89</v>
      </c>
      <c r="L3765" s="5" t="s">
        <v>1735</v>
      </c>
      <c r="M3765" s="6" t="s">
        <v>701</v>
      </c>
      <c r="N3765" s="2"/>
      <c r="O3765" s="5" t="s">
        <v>1724</v>
      </c>
      <c r="P3765" s="5" t="s">
        <v>1725</v>
      </c>
      <c r="Q3765" s="2"/>
      <c r="R3765" s="5"/>
      <c r="S3765" s="18"/>
      <c r="T3765" s="18"/>
      <c r="U3765" s="18">
        <v>135000</v>
      </c>
      <c r="V3765" s="18">
        <f>U3765</f>
        <v>135000</v>
      </c>
      <c r="W3765" s="18" t="s">
        <v>1521</v>
      </c>
      <c r="X3765" s="2">
        <v>2016</v>
      </c>
      <c r="Y3765" s="15"/>
    </row>
    <row r="3766" spans="2:25" s="12" customFormat="1" ht="165.75" customHeight="1" x14ac:dyDescent="0.25">
      <c r="B3766" s="2" t="s">
        <v>1756</v>
      </c>
      <c r="C3766" s="5" t="s">
        <v>83</v>
      </c>
      <c r="D3766" s="5" t="s">
        <v>1751</v>
      </c>
      <c r="E3766" s="5" t="s">
        <v>1752</v>
      </c>
      <c r="F3766" s="5" t="s">
        <v>1752</v>
      </c>
      <c r="G3766" s="5" t="s">
        <v>1757</v>
      </c>
      <c r="H3766" s="5" t="s">
        <v>694</v>
      </c>
      <c r="I3766" s="4">
        <v>1</v>
      </c>
      <c r="J3766" s="13">
        <v>710000000</v>
      </c>
      <c r="K3766" s="5" t="s">
        <v>89</v>
      </c>
      <c r="L3766" s="5" t="s">
        <v>1735</v>
      </c>
      <c r="M3766" s="5" t="s">
        <v>696</v>
      </c>
      <c r="N3766" s="2"/>
      <c r="O3766" s="5" t="s">
        <v>1724</v>
      </c>
      <c r="P3766" s="5" t="s">
        <v>1725</v>
      </c>
      <c r="Q3766" s="2"/>
      <c r="R3766" s="5"/>
      <c r="S3766" s="18"/>
      <c r="T3766" s="18"/>
      <c r="U3766" s="18">
        <v>30000</v>
      </c>
      <c r="V3766" s="18">
        <f t="shared" si="2586"/>
        <v>30000</v>
      </c>
      <c r="W3766" s="2" t="s">
        <v>1521</v>
      </c>
      <c r="X3766" s="2">
        <v>2016</v>
      </c>
      <c r="Y3766" s="15"/>
    </row>
    <row r="3767" spans="2:25" s="12" customFormat="1" ht="165.75" customHeight="1" x14ac:dyDescent="0.25">
      <c r="B3767" s="2" t="s">
        <v>1758</v>
      </c>
      <c r="C3767" s="5" t="s">
        <v>83</v>
      </c>
      <c r="D3767" s="5" t="s">
        <v>1751</v>
      </c>
      <c r="E3767" s="5" t="s">
        <v>1752</v>
      </c>
      <c r="F3767" s="5" t="s">
        <v>1752</v>
      </c>
      <c r="G3767" s="5" t="s">
        <v>1759</v>
      </c>
      <c r="H3767" s="5" t="s">
        <v>694</v>
      </c>
      <c r="I3767" s="4">
        <v>1</v>
      </c>
      <c r="J3767" s="13">
        <v>710000000</v>
      </c>
      <c r="K3767" s="5" t="s">
        <v>89</v>
      </c>
      <c r="L3767" s="5" t="s">
        <v>1735</v>
      </c>
      <c r="M3767" s="5" t="s">
        <v>701</v>
      </c>
      <c r="N3767" s="2"/>
      <c r="O3767" s="5" t="s">
        <v>1724</v>
      </c>
      <c r="P3767" s="5" t="s">
        <v>1725</v>
      </c>
      <c r="Q3767" s="2"/>
      <c r="R3767" s="5"/>
      <c r="S3767" s="18"/>
      <c r="T3767" s="18"/>
      <c r="U3767" s="18">
        <v>79000</v>
      </c>
      <c r="V3767" s="18">
        <f t="shared" si="2586"/>
        <v>79000</v>
      </c>
      <c r="W3767" s="18" t="s">
        <v>1521</v>
      </c>
      <c r="X3767" s="2">
        <v>2016</v>
      </c>
      <c r="Y3767" s="15"/>
    </row>
    <row r="3768" spans="2:25" s="12" customFormat="1" ht="165.75" customHeight="1" x14ac:dyDescent="0.25">
      <c r="B3768" s="2" t="s">
        <v>1760</v>
      </c>
      <c r="C3768" s="5" t="s">
        <v>83</v>
      </c>
      <c r="D3768" s="5" t="s">
        <v>1751</v>
      </c>
      <c r="E3768" s="5" t="s">
        <v>1752</v>
      </c>
      <c r="F3768" s="5" t="s">
        <v>1752</v>
      </c>
      <c r="G3768" s="5" t="s">
        <v>1755</v>
      </c>
      <c r="H3768" s="5" t="s">
        <v>694</v>
      </c>
      <c r="I3768" s="4">
        <v>1</v>
      </c>
      <c r="J3768" s="13">
        <v>710000000</v>
      </c>
      <c r="K3768" s="5" t="s">
        <v>89</v>
      </c>
      <c r="L3768" s="5" t="s">
        <v>1735</v>
      </c>
      <c r="M3768" s="5" t="s">
        <v>728</v>
      </c>
      <c r="N3768" s="2"/>
      <c r="O3768" s="5" t="s">
        <v>1724</v>
      </c>
      <c r="P3768" s="5" t="s">
        <v>1725</v>
      </c>
      <c r="Q3768" s="2"/>
      <c r="R3768" s="5"/>
      <c r="S3768" s="18"/>
      <c r="T3768" s="18"/>
      <c r="U3768" s="18">
        <v>31810</v>
      </c>
      <c r="V3768" s="18">
        <f t="shared" si="2586"/>
        <v>31810</v>
      </c>
      <c r="W3768" s="2" t="s">
        <v>1521</v>
      </c>
      <c r="X3768" s="2">
        <v>2016</v>
      </c>
      <c r="Y3768" s="15"/>
    </row>
    <row r="3769" spans="2:25" s="12" customFormat="1" ht="76.5" customHeight="1" x14ac:dyDescent="0.25">
      <c r="B3769" s="2" t="s">
        <v>1761</v>
      </c>
      <c r="C3769" s="5" t="s">
        <v>83</v>
      </c>
      <c r="D3769" s="5" t="s">
        <v>1762</v>
      </c>
      <c r="E3769" s="5" t="s">
        <v>1763</v>
      </c>
      <c r="F3769" s="5" t="s">
        <v>1763</v>
      </c>
      <c r="G3769" s="5" t="s">
        <v>1764</v>
      </c>
      <c r="H3769" s="5" t="s">
        <v>88</v>
      </c>
      <c r="I3769" s="4">
        <v>1</v>
      </c>
      <c r="J3769" s="13">
        <v>710000000</v>
      </c>
      <c r="K3769" s="5" t="s">
        <v>89</v>
      </c>
      <c r="L3769" s="5" t="s">
        <v>90</v>
      </c>
      <c r="M3769" s="5" t="s">
        <v>696</v>
      </c>
      <c r="N3769" s="2"/>
      <c r="O3769" s="5" t="s">
        <v>697</v>
      </c>
      <c r="P3769" s="5" t="s">
        <v>1550</v>
      </c>
      <c r="Q3769" s="2"/>
      <c r="R3769" s="5"/>
      <c r="S3769" s="18"/>
      <c r="T3769" s="18"/>
      <c r="U3769" s="18">
        <v>43056000</v>
      </c>
      <c r="V3769" s="18">
        <f t="shared" ref="V3769:V3856" si="2589">U3769*1.12</f>
        <v>48222720.000000007</v>
      </c>
      <c r="W3769" s="18" t="s">
        <v>1521</v>
      </c>
      <c r="X3769" s="2">
        <v>2016</v>
      </c>
      <c r="Y3769" s="15"/>
    </row>
    <row r="3770" spans="2:25" s="12" customFormat="1" ht="76.5" customHeight="1" x14ac:dyDescent="0.25">
      <c r="B3770" s="2" t="s">
        <v>1765</v>
      </c>
      <c r="C3770" s="5" t="s">
        <v>83</v>
      </c>
      <c r="D3770" s="5" t="s">
        <v>1766</v>
      </c>
      <c r="E3770" s="5" t="s">
        <v>1767</v>
      </c>
      <c r="F3770" s="5" t="s">
        <v>1767</v>
      </c>
      <c r="G3770" s="5"/>
      <c r="H3770" s="5" t="s">
        <v>694</v>
      </c>
      <c r="I3770" s="4">
        <v>1</v>
      </c>
      <c r="J3770" s="13">
        <v>710000000</v>
      </c>
      <c r="K3770" s="5" t="s">
        <v>89</v>
      </c>
      <c r="L3770" s="5" t="s">
        <v>90</v>
      </c>
      <c r="M3770" s="5" t="s">
        <v>696</v>
      </c>
      <c r="N3770" s="2"/>
      <c r="O3770" s="5" t="s">
        <v>697</v>
      </c>
      <c r="P3770" s="5" t="s">
        <v>1550</v>
      </c>
      <c r="Q3770" s="2"/>
      <c r="R3770" s="5"/>
      <c r="S3770" s="18"/>
      <c r="T3770" s="18"/>
      <c r="U3770" s="18">
        <f>247365+228980+17175+34350</f>
        <v>527870</v>
      </c>
      <c r="V3770" s="18">
        <f t="shared" si="2589"/>
        <v>591214.4</v>
      </c>
      <c r="W3770" s="2" t="s">
        <v>1521</v>
      </c>
      <c r="X3770" s="2">
        <v>2016</v>
      </c>
      <c r="Y3770" s="15"/>
    </row>
    <row r="3771" spans="2:25" s="12" customFormat="1" ht="76.5" customHeight="1" x14ac:dyDescent="0.25">
      <c r="B3771" s="2" t="s">
        <v>1768</v>
      </c>
      <c r="C3771" s="5" t="s">
        <v>83</v>
      </c>
      <c r="D3771" s="5" t="s">
        <v>1766</v>
      </c>
      <c r="E3771" s="5" t="s">
        <v>1767</v>
      </c>
      <c r="F3771" s="5" t="s">
        <v>1767</v>
      </c>
      <c r="G3771" s="5"/>
      <c r="H3771" s="5" t="s">
        <v>694</v>
      </c>
      <c r="I3771" s="4">
        <v>1</v>
      </c>
      <c r="J3771" s="13">
        <v>710000000</v>
      </c>
      <c r="K3771" s="5" t="s">
        <v>89</v>
      </c>
      <c r="L3771" s="5" t="s">
        <v>90</v>
      </c>
      <c r="M3771" s="6" t="s">
        <v>701</v>
      </c>
      <c r="N3771" s="2"/>
      <c r="O3771" s="5" t="s">
        <v>697</v>
      </c>
      <c r="P3771" s="5" t="s">
        <v>1550</v>
      </c>
      <c r="Q3771" s="2"/>
      <c r="R3771" s="5"/>
      <c r="S3771" s="18"/>
      <c r="T3771" s="18"/>
      <c r="U3771" s="18">
        <v>103000</v>
      </c>
      <c r="V3771" s="18">
        <f t="shared" si="2589"/>
        <v>115360.00000000001</v>
      </c>
      <c r="W3771" s="18" t="s">
        <v>1521</v>
      </c>
      <c r="X3771" s="2">
        <v>2016</v>
      </c>
      <c r="Y3771" s="15"/>
    </row>
    <row r="3772" spans="2:25" s="12" customFormat="1" ht="76.5" customHeight="1" x14ac:dyDescent="0.25">
      <c r="B3772" s="2" t="s">
        <v>1769</v>
      </c>
      <c r="C3772" s="5" t="s">
        <v>83</v>
      </c>
      <c r="D3772" s="5" t="s">
        <v>1766</v>
      </c>
      <c r="E3772" s="5" t="s">
        <v>1767</v>
      </c>
      <c r="F3772" s="5" t="s">
        <v>1767</v>
      </c>
      <c r="G3772" s="5"/>
      <c r="H3772" s="5" t="s">
        <v>694</v>
      </c>
      <c r="I3772" s="4">
        <v>1</v>
      </c>
      <c r="J3772" s="13">
        <v>710000000</v>
      </c>
      <c r="K3772" s="5" t="s">
        <v>89</v>
      </c>
      <c r="L3772" s="5" t="s">
        <v>90</v>
      </c>
      <c r="M3772" s="5" t="s">
        <v>728</v>
      </c>
      <c r="N3772" s="2"/>
      <c r="O3772" s="5" t="s">
        <v>697</v>
      </c>
      <c r="P3772" s="5" t="s">
        <v>1550</v>
      </c>
      <c r="Q3772" s="2"/>
      <c r="R3772" s="5"/>
      <c r="S3772" s="18"/>
      <c r="T3772" s="18"/>
      <c r="U3772" s="18">
        <v>18151.79</v>
      </c>
      <c r="V3772" s="18">
        <f t="shared" si="2589"/>
        <v>20330.004800000002</v>
      </c>
      <c r="W3772" s="2" t="s">
        <v>1521</v>
      </c>
      <c r="X3772" s="2">
        <v>2016</v>
      </c>
      <c r="Y3772" s="15"/>
    </row>
    <row r="3773" spans="2:25" s="12" customFormat="1" ht="89.25" customHeight="1" x14ac:dyDescent="0.25">
      <c r="B3773" s="2" t="s">
        <v>1770</v>
      </c>
      <c r="C3773" s="5" t="s">
        <v>83</v>
      </c>
      <c r="D3773" s="5" t="s">
        <v>1771</v>
      </c>
      <c r="E3773" s="5" t="s">
        <v>1772</v>
      </c>
      <c r="F3773" s="5" t="s">
        <v>1772</v>
      </c>
      <c r="G3773" s="5" t="s">
        <v>1773</v>
      </c>
      <c r="H3773" s="2" t="s">
        <v>694</v>
      </c>
      <c r="I3773" s="4">
        <v>1</v>
      </c>
      <c r="J3773" s="13">
        <v>710000000</v>
      </c>
      <c r="K3773" s="5" t="s">
        <v>89</v>
      </c>
      <c r="L3773" s="5" t="s">
        <v>90</v>
      </c>
      <c r="M3773" s="6" t="s">
        <v>701</v>
      </c>
      <c r="N3773" s="2"/>
      <c r="O3773" s="5" t="s">
        <v>697</v>
      </c>
      <c r="P3773" s="5" t="s">
        <v>1550</v>
      </c>
      <c r="Q3773" s="2"/>
      <c r="R3773" s="5"/>
      <c r="S3773" s="18"/>
      <c r="T3773" s="18"/>
      <c r="U3773" s="18">
        <v>138672</v>
      </c>
      <c r="V3773" s="18">
        <f t="shared" si="2589"/>
        <v>155312.64000000001</v>
      </c>
      <c r="W3773" s="18" t="s">
        <v>1521</v>
      </c>
      <c r="X3773" s="2">
        <v>2016</v>
      </c>
      <c r="Y3773" s="15"/>
    </row>
    <row r="3774" spans="2:25" s="12" customFormat="1" ht="89.25" customHeight="1" x14ac:dyDescent="0.25">
      <c r="B3774" s="2" t="s">
        <v>1774</v>
      </c>
      <c r="C3774" s="5" t="s">
        <v>83</v>
      </c>
      <c r="D3774" s="5" t="s">
        <v>1771</v>
      </c>
      <c r="E3774" s="5" t="s">
        <v>1772</v>
      </c>
      <c r="F3774" s="5" t="s">
        <v>1772</v>
      </c>
      <c r="G3774" s="5" t="s">
        <v>1773</v>
      </c>
      <c r="H3774" s="2" t="s">
        <v>694</v>
      </c>
      <c r="I3774" s="4">
        <v>1</v>
      </c>
      <c r="J3774" s="13">
        <v>710000000</v>
      </c>
      <c r="K3774" s="5" t="s">
        <v>89</v>
      </c>
      <c r="L3774" s="5" t="s">
        <v>90</v>
      </c>
      <c r="M3774" s="5" t="s">
        <v>728</v>
      </c>
      <c r="N3774" s="2"/>
      <c r="O3774" s="5" t="s">
        <v>697</v>
      </c>
      <c r="P3774" s="5" t="s">
        <v>1550</v>
      </c>
      <c r="Q3774" s="2"/>
      <c r="R3774" s="5"/>
      <c r="S3774" s="18"/>
      <c r="T3774" s="18"/>
      <c r="U3774" s="18">
        <v>4776.79</v>
      </c>
      <c r="V3774" s="18">
        <f t="shared" si="2589"/>
        <v>5350.0048000000006</v>
      </c>
      <c r="W3774" s="2" t="s">
        <v>1521</v>
      </c>
      <c r="X3774" s="2">
        <v>2016</v>
      </c>
      <c r="Y3774" s="15"/>
    </row>
    <row r="3775" spans="2:25" s="12" customFormat="1" ht="89.25" customHeight="1" x14ac:dyDescent="0.25">
      <c r="B3775" s="2" t="s">
        <v>1775</v>
      </c>
      <c r="C3775" s="5" t="s">
        <v>83</v>
      </c>
      <c r="D3775" s="5" t="s">
        <v>1771</v>
      </c>
      <c r="E3775" s="5" t="s">
        <v>1772</v>
      </c>
      <c r="F3775" s="5" t="s">
        <v>1772</v>
      </c>
      <c r="G3775" s="5" t="s">
        <v>1773</v>
      </c>
      <c r="H3775" s="2" t="s">
        <v>694</v>
      </c>
      <c r="I3775" s="4">
        <v>1</v>
      </c>
      <c r="J3775" s="13">
        <v>710000000</v>
      </c>
      <c r="K3775" s="5" t="s">
        <v>89</v>
      </c>
      <c r="L3775" s="5" t="s">
        <v>90</v>
      </c>
      <c r="M3775" s="5" t="s">
        <v>730</v>
      </c>
      <c r="N3775" s="2"/>
      <c r="O3775" s="5" t="s">
        <v>697</v>
      </c>
      <c r="P3775" s="5" t="s">
        <v>1550</v>
      </c>
      <c r="Q3775" s="2"/>
      <c r="R3775" s="5"/>
      <c r="S3775" s="18"/>
      <c r="T3775" s="18"/>
      <c r="U3775" s="18">
        <f>60000+60000</f>
        <v>120000</v>
      </c>
      <c r="V3775" s="18">
        <f t="shared" si="2589"/>
        <v>134400</v>
      </c>
      <c r="W3775" s="18" t="s">
        <v>1521</v>
      </c>
      <c r="X3775" s="2">
        <v>2016</v>
      </c>
      <c r="Y3775" s="15"/>
    </row>
    <row r="3776" spans="2:25" s="12" customFormat="1" ht="63.75" customHeight="1" x14ac:dyDescent="0.25">
      <c r="B3776" s="2" t="s">
        <v>1776</v>
      </c>
      <c r="C3776" s="5" t="s">
        <v>83</v>
      </c>
      <c r="D3776" s="5" t="s">
        <v>1777</v>
      </c>
      <c r="E3776" s="5" t="s">
        <v>1778</v>
      </c>
      <c r="F3776" s="5" t="s">
        <v>1778</v>
      </c>
      <c r="G3776" s="6" t="s">
        <v>1779</v>
      </c>
      <c r="H3776" s="2" t="s">
        <v>694</v>
      </c>
      <c r="I3776" s="4">
        <v>1</v>
      </c>
      <c r="J3776" s="13">
        <v>710000000</v>
      </c>
      <c r="K3776" s="5" t="s">
        <v>89</v>
      </c>
      <c r="L3776" s="5" t="s">
        <v>1466</v>
      </c>
      <c r="M3776" s="5" t="s">
        <v>696</v>
      </c>
      <c r="N3776" s="2"/>
      <c r="O3776" s="5" t="s">
        <v>697</v>
      </c>
      <c r="P3776" s="5" t="s">
        <v>1550</v>
      </c>
      <c r="Q3776" s="2"/>
      <c r="R3776" s="5"/>
      <c r="S3776" s="18"/>
      <c r="T3776" s="18"/>
      <c r="U3776" s="18">
        <v>300000</v>
      </c>
      <c r="V3776" s="18">
        <f t="shared" si="2589"/>
        <v>336000.00000000006</v>
      </c>
      <c r="W3776" s="2" t="s">
        <v>1521</v>
      </c>
      <c r="X3776" s="2">
        <v>2016</v>
      </c>
      <c r="Y3776" s="15"/>
    </row>
    <row r="3777" spans="1:25" s="12" customFormat="1" ht="89.25" customHeight="1" x14ac:dyDescent="0.25">
      <c r="B3777" s="2" t="s">
        <v>1780</v>
      </c>
      <c r="C3777" s="5" t="s">
        <v>83</v>
      </c>
      <c r="D3777" s="5" t="s">
        <v>1777</v>
      </c>
      <c r="E3777" s="5" t="s">
        <v>1778</v>
      </c>
      <c r="F3777" s="5" t="s">
        <v>1778</v>
      </c>
      <c r="G3777" s="6" t="s">
        <v>1781</v>
      </c>
      <c r="H3777" s="2" t="s">
        <v>694</v>
      </c>
      <c r="I3777" s="4">
        <v>1</v>
      </c>
      <c r="J3777" s="13">
        <v>710000000</v>
      </c>
      <c r="K3777" s="5" t="s">
        <v>89</v>
      </c>
      <c r="L3777" s="5" t="s">
        <v>1741</v>
      </c>
      <c r="M3777" s="5" t="s">
        <v>696</v>
      </c>
      <c r="N3777" s="2"/>
      <c r="O3777" s="5" t="s">
        <v>697</v>
      </c>
      <c r="P3777" s="5" t="s">
        <v>1550</v>
      </c>
      <c r="Q3777" s="2"/>
      <c r="R3777" s="5"/>
      <c r="S3777" s="18"/>
      <c r="T3777" s="18"/>
      <c r="U3777" s="18">
        <v>600000</v>
      </c>
      <c r="V3777" s="18">
        <f t="shared" si="2589"/>
        <v>672000.00000000012</v>
      </c>
      <c r="W3777" s="18" t="s">
        <v>1521</v>
      </c>
      <c r="X3777" s="2">
        <v>2016</v>
      </c>
      <c r="Y3777" s="15"/>
    </row>
    <row r="3778" spans="1:25" s="12" customFormat="1" ht="90" customHeight="1" x14ac:dyDescent="0.25">
      <c r="B3778" s="2" t="s">
        <v>1782</v>
      </c>
      <c r="C3778" s="5" t="s">
        <v>83</v>
      </c>
      <c r="D3778" s="5" t="s">
        <v>1777</v>
      </c>
      <c r="E3778" s="5" t="s">
        <v>1778</v>
      </c>
      <c r="F3778" s="5" t="s">
        <v>1778</v>
      </c>
      <c r="G3778" s="6" t="s">
        <v>1783</v>
      </c>
      <c r="H3778" s="2" t="s">
        <v>694</v>
      </c>
      <c r="I3778" s="4">
        <v>1</v>
      </c>
      <c r="J3778" s="13">
        <v>710000000</v>
      </c>
      <c r="K3778" s="5" t="s">
        <v>89</v>
      </c>
      <c r="L3778" s="5" t="s">
        <v>1741</v>
      </c>
      <c r="M3778" s="5" t="s">
        <v>696</v>
      </c>
      <c r="N3778" s="2"/>
      <c r="O3778" s="5" t="s">
        <v>697</v>
      </c>
      <c r="P3778" s="5" t="s">
        <v>1550</v>
      </c>
      <c r="Q3778" s="2"/>
      <c r="R3778" s="5"/>
      <c r="S3778" s="18"/>
      <c r="T3778" s="18"/>
      <c r="U3778" s="18">
        <v>400000</v>
      </c>
      <c r="V3778" s="18">
        <f t="shared" si="2589"/>
        <v>448000.00000000006</v>
      </c>
      <c r="W3778" s="2" t="s">
        <v>1521</v>
      </c>
      <c r="X3778" s="2">
        <v>2016</v>
      </c>
      <c r="Y3778" s="15"/>
    </row>
    <row r="3779" spans="1:25" s="12" customFormat="1" ht="76.5" customHeight="1" x14ac:dyDescent="0.25">
      <c r="B3779" s="2" t="s">
        <v>1784</v>
      </c>
      <c r="C3779" s="5" t="s">
        <v>83</v>
      </c>
      <c r="D3779" s="5" t="s">
        <v>1547</v>
      </c>
      <c r="E3779" s="5" t="s">
        <v>1548</v>
      </c>
      <c r="F3779" s="5" t="s">
        <v>1548</v>
      </c>
      <c r="G3779" s="5" t="s">
        <v>1785</v>
      </c>
      <c r="H3779" s="2" t="s">
        <v>694</v>
      </c>
      <c r="I3779" s="4">
        <v>1</v>
      </c>
      <c r="J3779" s="13">
        <v>710000000</v>
      </c>
      <c r="K3779" s="5" t="s">
        <v>89</v>
      </c>
      <c r="L3779" s="5" t="s">
        <v>90</v>
      </c>
      <c r="M3779" s="5" t="s">
        <v>696</v>
      </c>
      <c r="N3779" s="2"/>
      <c r="O3779" s="5" t="s">
        <v>697</v>
      </c>
      <c r="P3779" s="5" t="s">
        <v>1550</v>
      </c>
      <c r="Q3779" s="2"/>
      <c r="R3779" s="5"/>
      <c r="S3779" s="18"/>
      <c r="T3779" s="18"/>
      <c r="U3779" s="18">
        <v>4500000</v>
      </c>
      <c r="V3779" s="18">
        <f>U3779*1.12</f>
        <v>5040000.0000000009</v>
      </c>
      <c r="W3779" s="18" t="s">
        <v>1521</v>
      </c>
      <c r="X3779" s="2">
        <v>2016</v>
      </c>
      <c r="Y3779" s="15"/>
    </row>
    <row r="3780" spans="1:25" s="12" customFormat="1" ht="76.5" customHeight="1" x14ac:dyDescent="0.25">
      <c r="B3780" s="2" t="s">
        <v>1786</v>
      </c>
      <c r="C3780" s="5" t="s">
        <v>83</v>
      </c>
      <c r="D3780" s="5" t="s">
        <v>1547</v>
      </c>
      <c r="E3780" s="5" t="s">
        <v>1548</v>
      </c>
      <c r="F3780" s="5" t="s">
        <v>1548</v>
      </c>
      <c r="G3780" s="5" t="s">
        <v>1785</v>
      </c>
      <c r="H3780" s="5" t="s">
        <v>694</v>
      </c>
      <c r="I3780" s="4">
        <v>1</v>
      </c>
      <c r="J3780" s="13">
        <v>710000000</v>
      </c>
      <c r="K3780" s="5" t="s">
        <v>89</v>
      </c>
      <c r="L3780" s="5" t="s">
        <v>90</v>
      </c>
      <c r="M3780" s="5" t="s">
        <v>730</v>
      </c>
      <c r="N3780" s="2"/>
      <c r="O3780" s="5" t="s">
        <v>697</v>
      </c>
      <c r="P3780" s="5" t="s">
        <v>1550</v>
      </c>
      <c r="Q3780" s="2"/>
      <c r="R3780" s="5"/>
      <c r="S3780" s="18"/>
      <c r="T3780" s="18"/>
      <c r="U3780" s="18">
        <f>250000+250000</f>
        <v>500000</v>
      </c>
      <c r="V3780" s="18">
        <f>U3780*1.12</f>
        <v>560000</v>
      </c>
      <c r="W3780" s="2" t="s">
        <v>1521</v>
      </c>
      <c r="X3780" s="2">
        <v>2016</v>
      </c>
      <c r="Y3780" s="15"/>
    </row>
    <row r="3781" spans="1:25" s="12" customFormat="1" ht="76.5" customHeight="1" x14ac:dyDescent="0.25">
      <c r="B3781" s="2" t="s">
        <v>1787</v>
      </c>
      <c r="C3781" s="5" t="s">
        <v>83</v>
      </c>
      <c r="D3781" s="5" t="s">
        <v>1547</v>
      </c>
      <c r="E3781" s="5" t="s">
        <v>1548</v>
      </c>
      <c r="F3781" s="5" t="s">
        <v>1548</v>
      </c>
      <c r="G3781" s="5" t="s">
        <v>1788</v>
      </c>
      <c r="H3781" s="2" t="s">
        <v>694</v>
      </c>
      <c r="I3781" s="4">
        <v>1</v>
      </c>
      <c r="J3781" s="13">
        <v>710000000</v>
      </c>
      <c r="K3781" s="5" t="s">
        <v>89</v>
      </c>
      <c r="L3781" s="5" t="s">
        <v>90</v>
      </c>
      <c r="M3781" s="5" t="s">
        <v>696</v>
      </c>
      <c r="N3781" s="2"/>
      <c r="O3781" s="5" t="s">
        <v>697</v>
      </c>
      <c r="P3781" s="5" t="s">
        <v>1550</v>
      </c>
      <c r="Q3781" s="2"/>
      <c r="R3781" s="5"/>
      <c r="S3781" s="18"/>
      <c r="T3781" s="18"/>
      <c r="U3781" s="18">
        <v>2808000</v>
      </c>
      <c r="V3781" s="18">
        <f>U3781*1.12</f>
        <v>3144960.0000000005</v>
      </c>
      <c r="W3781" s="18" t="s">
        <v>1521</v>
      </c>
      <c r="X3781" s="2">
        <v>2016</v>
      </c>
      <c r="Y3781" s="15"/>
    </row>
    <row r="3782" spans="1:25" s="12" customFormat="1" ht="76.5" customHeight="1" x14ac:dyDescent="0.25">
      <c r="B3782" s="2" t="s">
        <v>1789</v>
      </c>
      <c r="C3782" s="5" t="s">
        <v>83</v>
      </c>
      <c r="D3782" s="5" t="s">
        <v>1790</v>
      </c>
      <c r="E3782" s="5" t="s">
        <v>1791</v>
      </c>
      <c r="F3782" s="5" t="s">
        <v>1791</v>
      </c>
      <c r="G3782" s="5"/>
      <c r="H3782" s="2" t="s">
        <v>694</v>
      </c>
      <c r="I3782" s="4">
        <v>1</v>
      </c>
      <c r="J3782" s="13">
        <v>710000000</v>
      </c>
      <c r="K3782" s="5" t="s">
        <v>89</v>
      </c>
      <c r="L3782" s="5" t="s">
        <v>90</v>
      </c>
      <c r="M3782" s="5" t="s">
        <v>696</v>
      </c>
      <c r="N3782" s="2"/>
      <c r="O3782" s="5" t="s">
        <v>697</v>
      </c>
      <c r="P3782" s="5" t="s">
        <v>1550</v>
      </c>
      <c r="Q3782" s="2"/>
      <c r="R3782" s="5"/>
      <c r="S3782" s="18"/>
      <c r="T3782" s="18"/>
      <c r="U3782" s="18">
        <v>3225750</v>
      </c>
      <c r="V3782" s="18">
        <f t="shared" si="2589"/>
        <v>3612840.0000000005</v>
      </c>
      <c r="W3782" s="2" t="s">
        <v>1521</v>
      </c>
      <c r="X3782" s="2">
        <v>2016</v>
      </c>
      <c r="Y3782" s="15"/>
    </row>
    <row r="3783" spans="1:25" s="12" customFormat="1" ht="127.5" customHeight="1" x14ac:dyDescent="0.25">
      <c r="B3783" s="2" t="s">
        <v>1792</v>
      </c>
      <c r="C3783" s="5" t="s">
        <v>83</v>
      </c>
      <c r="D3783" s="5" t="s">
        <v>1793</v>
      </c>
      <c r="E3783" s="5" t="s">
        <v>1794</v>
      </c>
      <c r="F3783" s="5" t="s">
        <v>1794</v>
      </c>
      <c r="G3783" s="5" t="s">
        <v>1795</v>
      </c>
      <c r="H3783" s="2" t="s">
        <v>694</v>
      </c>
      <c r="I3783" s="4">
        <v>1</v>
      </c>
      <c r="J3783" s="13">
        <v>710000000</v>
      </c>
      <c r="K3783" s="5" t="s">
        <v>89</v>
      </c>
      <c r="L3783" s="5" t="s">
        <v>90</v>
      </c>
      <c r="M3783" s="5" t="s">
        <v>696</v>
      </c>
      <c r="N3783" s="2"/>
      <c r="O3783" s="5" t="s">
        <v>697</v>
      </c>
      <c r="P3783" s="5" t="s">
        <v>1550</v>
      </c>
      <c r="Q3783" s="2"/>
      <c r="R3783" s="5"/>
      <c r="S3783" s="18"/>
      <c r="T3783" s="18"/>
      <c r="U3783" s="18">
        <v>895000</v>
      </c>
      <c r="V3783" s="18">
        <f t="shared" si="2589"/>
        <v>1002400.0000000001</v>
      </c>
      <c r="W3783" s="18" t="s">
        <v>1521</v>
      </c>
      <c r="X3783" s="2">
        <v>2016</v>
      </c>
      <c r="Y3783" s="15"/>
    </row>
    <row r="3784" spans="1:25" s="12" customFormat="1" ht="63.75" customHeight="1" x14ac:dyDescent="0.25">
      <c r="B3784" s="2" t="s">
        <v>1796</v>
      </c>
      <c r="C3784" s="5" t="s">
        <v>83</v>
      </c>
      <c r="D3784" s="5" t="s">
        <v>1797</v>
      </c>
      <c r="E3784" s="5" t="s">
        <v>1798</v>
      </c>
      <c r="F3784" s="5" t="s">
        <v>1798</v>
      </c>
      <c r="G3784" s="5" t="s">
        <v>1799</v>
      </c>
      <c r="H3784" s="2" t="s">
        <v>694</v>
      </c>
      <c r="I3784" s="4">
        <v>1</v>
      </c>
      <c r="J3784" s="13">
        <v>710000000</v>
      </c>
      <c r="K3784" s="5" t="s">
        <v>89</v>
      </c>
      <c r="L3784" s="5" t="s">
        <v>90</v>
      </c>
      <c r="M3784" s="5" t="s">
        <v>696</v>
      </c>
      <c r="N3784" s="2"/>
      <c r="O3784" s="5" t="s">
        <v>697</v>
      </c>
      <c r="P3784" s="5" t="s">
        <v>1550</v>
      </c>
      <c r="Q3784" s="2"/>
      <c r="R3784" s="5"/>
      <c r="S3784" s="18"/>
      <c r="T3784" s="18"/>
      <c r="U3784" s="18">
        <v>1394000</v>
      </c>
      <c r="V3784" s="18">
        <f t="shared" si="2589"/>
        <v>1561280.0000000002</v>
      </c>
      <c r="W3784" s="2" t="s">
        <v>1521</v>
      </c>
      <c r="X3784" s="2">
        <v>2016</v>
      </c>
      <c r="Y3784" s="15"/>
    </row>
    <row r="3785" spans="1:25" s="12" customFormat="1" ht="38.25" customHeight="1" x14ac:dyDescent="0.25">
      <c r="B3785" s="2" t="s">
        <v>1800</v>
      </c>
      <c r="C3785" s="3" t="s">
        <v>83</v>
      </c>
      <c r="D3785" s="3" t="s">
        <v>1801</v>
      </c>
      <c r="E3785" s="3" t="s">
        <v>1802</v>
      </c>
      <c r="F3785" s="3" t="s">
        <v>1802</v>
      </c>
      <c r="G3785" s="5" t="s">
        <v>1803</v>
      </c>
      <c r="H3785" s="5" t="s">
        <v>88</v>
      </c>
      <c r="I3785" s="27">
        <v>0</v>
      </c>
      <c r="J3785" s="13">
        <v>710000000</v>
      </c>
      <c r="K3785" s="5" t="s">
        <v>89</v>
      </c>
      <c r="L3785" s="5" t="s">
        <v>1466</v>
      </c>
      <c r="M3785" s="5" t="s">
        <v>1804</v>
      </c>
      <c r="N3785" s="5"/>
      <c r="O3785" s="5" t="s">
        <v>697</v>
      </c>
      <c r="P3785" s="5" t="s">
        <v>1550</v>
      </c>
      <c r="Q3785" s="5"/>
      <c r="R3785" s="5"/>
      <c r="S3785" s="17"/>
      <c r="T3785" s="17"/>
      <c r="U3785" s="18">
        <v>6000000</v>
      </c>
      <c r="V3785" s="18">
        <f t="shared" si="2589"/>
        <v>6720000.0000000009</v>
      </c>
      <c r="W3785" s="18" t="s">
        <v>1521</v>
      </c>
      <c r="X3785" s="2">
        <v>2016</v>
      </c>
      <c r="Y3785" s="5"/>
    </row>
    <row r="3786" spans="1:25" s="12" customFormat="1" ht="38.25" customHeight="1" x14ac:dyDescent="0.25">
      <c r="B3786" s="2" t="s">
        <v>1805</v>
      </c>
      <c r="C3786" s="3" t="s">
        <v>83</v>
      </c>
      <c r="D3786" s="3" t="s">
        <v>1801</v>
      </c>
      <c r="E3786" s="3" t="s">
        <v>1802</v>
      </c>
      <c r="F3786" s="3" t="s">
        <v>1802</v>
      </c>
      <c r="G3786" s="5" t="s">
        <v>1806</v>
      </c>
      <c r="H3786" s="5" t="s">
        <v>88</v>
      </c>
      <c r="I3786" s="27">
        <v>0</v>
      </c>
      <c r="J3786" s="13">
        <v>710000000</v>
      </c>
      <c r="K3786" s="5" t="s">
        <v>89</v>
      </c>
      <c r="L3786" s="5" t="s">
        <v>1466</v>
      </c>
      <c r="M3786" s="5" t="s">
        <v>1807</v>
      </c>
      <c r="N3786" s="5"/>
      <c r="O3786" s="5" t="s">
        <v>697</v>
      </c>
      <c r="P3786" s="5" t="s">
        <v>1550</v>
      </c>
      <c r="Q3786" s="5"/>
      <c r="R3786" s="5"/>
      <c r="S3786" s="17"/>
      <c r="T3786" s="17"/>
      <c r="U3786" s="18">
        <v>2000000</v>
      </c>
      <c r="V3786" s="18">
        <f t="shared" si="2589"/>
        <v>2240000</v>
      </c>
      <c r="W3786" s="2" t="s">
        <v>1521</v>
      </c>
      <c r="X3786" s="2">
        <v>2016</v>
      </c>
      <c r="Y3786" s="5"/>
    </row>
    <row r="3787" spans="1:25" s="12" customFormat="1" ht="38.25" customHeight="1" x14ac:dyDescent="0.25">
      <c r="B3787" s="2" t="s">
        <v>1808</v>
      </c>
      <c r="C3787" s="3" t="s">
        <v>83</v>
      </c>
      <c r="D3787" s="3" t="s">
        <v>1809</v>
      </c>
      <c r="E3787" s="3" t="s">
        <v>1810</v>
      </c>
      <c r="F3787" s="3" t="s">
        <v>1810</v>
      </c>
      <c r="G3787" s="5" t="s">
        <v>1811</v>
      </c>
      <c r="H3787" s="5" t="s">
        <v>88</v>
      </c>
      <c r="I3787" s="27">
        <v>0</v>
      </c>
      <c r="J3787" s="13">
        <v>710000000</v>
      </c>
      <c r="K3787" s="5" t="s">
        <v>89</v>
      </c>
      <c r="L3787" s="5" t="s">
        <v>1466</v>
      </c>
      <c r="M3787" s="5" t="s">
        <v>1812</v>
      </c>
      <c r="N3787" s="5"/>
      <c r="O3787" s="5" t="s">
        <v>697</v>
      </c>
      <c r="P3787" s="5" t="s">
        <v>1550</v>
      </c>
      <c r="Q3787" s="5"/>
      <c r="R3787" s="5"/>
      <c r="S3787" s="17"/>
      <c r="T3787" s="17"/>
      <c r="U3787" s="18">
        <v>9000000</v>
      </c>
      <c r="V3787" s="18">
        <f t="shared" si="2589"/>
        <v>10080000.000000002</v>
      </c>
      <c r="W3787" s="18" t="s">
        <v>1521</v>
      </c>
      <c r="X3787" s="2">
        <v>2016</v>
      </c>
      <c r="Y3787" s="5"/>
    </row>
    <row r="3788" spans="1:25" s="12" customFormat="1" ht="51" customHeight="1" x14ac:dyDescent="0.2">
      <c r="A3788" s="24"/>
      <c r="B3788" s="2" t="s">
        <v>1813</v>
      </c>
      <c r="C3788" s="3" t="s">
        <v>83</v>
      </c>
      <c r="D3788" s="3" t="s">
        <v>1814</v>
      </c>
      <c r="E3788" s="3" t="s">
        <v>1815</v>
      </c>
      <c r="F3788" s="3" t="s">
        <v>1815</v>
      </c>
      <c r="G3788" s="5" t="s">
        <v>1816</v>
      </c>
      <c r="H3788" s="5" t="s">
        <v>88</v>
      </c>
      <c r="I3788" s="27">
        <v>0</v>
      </c>
      <c r="J3788" s="13">
        <v>710000000</v>
      </c>
      <c r="K3788" s="5" t="s">
        <v>89</v>
      </c>
      <c r="L3788" s="5" t="s">
        <v>1466</v>
      </c>
      <c r="M3788" s="5" t="s">
        <v>1812</v>
      </c>
      <c r="N3788" s="5"/>
      <c r="O3788" s="5" t="s">
        <v>697</v>
      </c>
      <c r="P3788" s="5" t="s">
        <v>1550</v>
      </c>
      <c r="Q3788" s="5"/>
      <c r="R3788" s="5"/>
      <c r="S3788" s="17"/>
      <c r="T3788" s="17"/>
      <c r="U3788" s="18">
        <v>0</v>
      </c>
      <c r="V3788" s="18">
        <f t="shared" si="2589"/>
        <v>0</v>
      </c>
      <c r="W3788" s="2" t="s">
        <v>1521</v>
      </c>
      <c r="X3788" s="2">
        <v>2016</v>
      </c>
      <c r="Y3788" s="5">
        <v>11.12</v>
      </c>
    </row>
    <row r="3789" spans="1:25" s="12" customFormat="1" ht="51" customHeight="1" x14ac:dyDescent="0.25">
      <c r="B3789" s="2" t="s">
        <v>7699</v>
      </c>
      <c r="C3789" s="3" t="s">
        <v>83</v>
      </c>
      <c r="D3789" s="3" t="s">
        <v>1814</v>
      </c>
      <c r="E3789" s="3" t="s">
        <v>1815</v>
      </c>
      <c r="F3789" s="3" t="s">
        <v>1815</v>
      </c>
      <c r="G3789" s="5" t="s">
        <v>1816</v>
      </c>
      <c r="H3789" s="5" t="s">
        <v>88</v>
      </c>
      <c r="I3789" s="27">
        <v>0</v>
      </c>
      <c r="J3789" s="13">
        <v>710000000</v>
      </c>
      <c r="K3789" s="5" t="s">
        <v>89</v>
      </c>
      <c r="L3789" s="5" t="s">
        <v>754</v>
      </c>
      <c r="M3789" s="5" t="s">
        <v>1481</v>
      </c>
      <c r="N3789" s="5"/>
      <c r="O3789" s="5" t="s">
        <v>697</v>
      </c>
      <c r="P3789" s="5" t="s">
        <v>1550</v>
      </c>
      <c r="Q3789" s="5"/>
      <c r="R3789" s="5"/>
      <c r="S3789" s="17"/>
      <c r="T3789" s="17"/>
      <c r="U3789" s="18">
        <v>0</v>
      </c>
      <c r="V3789" s="18">
        <f t="shared" ref="V3789" si="2590">U3789*1.12</f>
        <v>0</v>
      </c>
      <c r="W3789" s="2" t="s">
        <v>1521</v>
      </c>
      <c r="X3789" s="2">
        <v>2016</v>
      </c>
      <c r="Y3789" s="5">
        <v>11</v>
      </c>
    </row>
    <row r="3790" spans="1:25" s="12" customFormat="1" ht="51" customHeight="1" x14ac:dyDescent="0.25">
      <c r="B3790" s="2" t="s">
        <v>8801</v>
      </c>
      <c r="C3790" s="3" t="s">
        <v>83</v>
      </c>
      <c r="D3790" s="3" t="s">
        <v>1814</v>
      </c>
      <c r="E3790" s="3" t="s">
        <v>1815</v>
      </c>
      <c r="F3790" s="3" t="s">
        <v>1815</v>
      </c>
      <c r="G3790" s="5" t="s">
        <v>1816</v>
      </c>
      <c r="H3790" s="5" t="s">
        <v>88</v>
      </c>
      <c r="I3790" s="27">
        <v>0</v>
      </c>
      <c r="J3790" s="13">
        <v>710000000</v>
      </c>
      <c r="K3790" s="5" t="s">
        <v>89</v>
      </c>
      <c r="L3790" s="5" t="s">
        <v>8802</v>
      </c>
      <c r="M3790" s="5" t="s">
        <v>1481</v>
      </c>
      <c r="N3790" s="5"/>
      <c r="O3790" s="5" t="s">
        <v>697</v>
      </c>
      <c r="P3790" s="5" t="s">
        <v>1550</v>
      </c>
      <c r="Q3790" s="5"/>
      <c r="R3790" s="5"/>
      <c r="S3790" s="17"/>
      <c r="T3790" s="17"/>
      <c r="U3790" s="18">
        <v>3850000</v>
      </c>
      <c r="V3790" s="18">
        <f t="shared" ref="V3790" si="2591">U3790*1.12</f>
        <v>4312000</v>
      </c>
      <c r="W3790" s="2" t="s">
        <v>1521</v>
      </c>
      <c r="X3790" s="2">
        <v>2016</v>
      </c>
      <c r="Y3790" s="5"/>
    </row>
    <row r="3791" spans="1:25" s="12" customFormat="1" ht="38.25" customHeight="1" x14ac:dyDescent="0.2">
      <c r="A3791" s="24"/>
      <c r="B3791" s="2" t="s">
        <v>1817</v>
      </c>
      <c r="C3791" s="3" t="s">
        <v>83</v>
      </c>
      <c r="D3791" s="3" t="s">
        <v>1814</v>
      </c>
      <c r="E3791" s="3" t="s">
        <v>1815</v>
      </c>
      <c r="F3791" s="3" t="s">
        <v>1815</v>
      </c>
      <c r="G3791" s="3" t="s">
        <v>1818</v>
      </c>
      <c r="H3791" s="5" t="s">
        <v>88</v>
      </c>
      <c r="I3791" s="27">
        <v>0.5</v>
      </c>
      <c r="J3791" s="13">
        <v>710000000</v>
      </c>
      <c r="K3791" s="5" t="s">
        <v>89</v>
      </c>
      <c r="L3791" s="5" t="s">
        <v>1466</v>
      </c>
      <c r="M3791" s="3" t="s">
        <v>1819</v>
      </c>
      <c r="N3791" s="2"/>
      <c r="O3791" s="5" t="s">
        <v>697</v>
      </c>
      <c r="P3791" s="5" t="s">
        <v>1550</v>
      </c>
      <c r="Q3791" s="3"/>
      <c r="R3791" s="3"/>
      <c r="S3791" s="17"/>
      <c r="T3791" s="17"/>
      <c r="U3791" s="18">
        <v>0</v>
      </c>
      <c r="V3791" s="18">
        <f t="shared" si="2589"/>
        <v>0</v>
      </c>
      <c r="W3791" s="18" t="s">
        <v>1521</v>
      </c>
      <c r="X3791" s="2">
        <v>2016</v>
      </c>
      <c r="Y3791" s="3">
        <v>11</v>
      </c>
    </row>
    <row r="3792" spans="1:25" s="12" customFormat="1" ht="38.25" customHeight="1" x14ac:dyDescent="0.25">
      <c r="B3792" s="2" t="s">
        <v>7723</v>
      </c>
      <c r="C3792" s="3" t="s">
        <v>83</v>
      </c>
      <c r="D3792" s="3" t="s">
        <v>1814</v>
      </c>
      <c r="E3792" s="3" t="s">
        <v>1815</v>
      </c>
      <c r="F3792" s="3" t="s">
        <v>1815</v>
      </c>
      <c r="G3792" s="3" t="s">
        <v>1818</v>
      </c>
      <c r="H3792" s="5" t="s">
        <v>88</v>
      </c>
      <c r="I3792" s="27">
        <v>0.5</v>
      </c>
      <c r="J3792" s="13">
        <v>710000000</v>
      </c>
      <c r="K3792" s="5" t="s">
        <v>89</v>
      </c>
      <c r="L3792" s="5" t="s">
        <v>754</v>
      </c>
      <c r="M3792" s="3" t="s">
        <v>1819</v>
      </c>
      <c r="N3792" s="2"/>
      <c r="O3792" s="5" t="s">
        <v>697</v>
      </c>
      <c r="P3792" s="5" t="s">
        <v>1550</v>
      </c>
      <c r="Q3792" s="3"/>
      <c r="R3792" s="3"/>
      <c r="S3792" s="17"/>
      <c r="T3792" s="17"/>
      <c r="U3792" s="18">
        <v>0</v>
      </c>
      <c r="V3792" s="18">
        <f t="shared" ref="V3792" si="2592">U3792*1.12</f>
        <v>0</v>
      </c>
      <c r="W3792" s="18" t="s">
        <v>1521</v>
      </c>
      <c r="X3792" s="2">
        <v>2016</v>
      </c>
      <c r="Y3792" s="3">
        <v>11</v>
      </c>
    </row>
    <row r="3793" spans="1:25" s="12" customFormat="1" ht="38.25" customHeight="1" x14ac:dyDescent="0.25">
      <c r="B3793" s="2" t="s">
        <v>8803</v>
      </c>
      <c r="C3793" s="3" t="s">
        <v>83</v>
      </c>
      <c r="D3793" s="3" t="s">
        <v>1814</v>
      </c>
      <c r="E3793" s="3" t="s">
        <v>1815</v>
      </c>
      <c r="F3793" s="3" t="s">
        <v>1815</v>
      </c>
      <c r="G3793" s="3" t="s">
        <v>1818</v>
      </c>
      <c r="H3793" s="5" t="s">
        <v>88</v>
      </c>
      <c r="I3793" s="27">
        <v>0.5</v>
      </c>
      <c r="J3793" s="13">
        <v>710000000</v>
      </c>
      <c r="K3793" s="5" t="s">
        <v>89</v>
      </c>
      <c r="L3793" s="5" t="s">
        <v>8804</v>
      </c>
      <c r="M3793" s="3" t="s">
        <v>1819</v>
      </c>
      <c r="N3793" s="2"/>
      <c r="O3793" s="5" t="s">
        <v>697</v>
      </c>
      <c r="P3793" s="5" t="s">
        <v>1550</v>
      </c>
      <c r="Q3793" s="3"/>
      <c r="R3793" s="3"/>
      <c r="S3793" s="17"/>
      <c r="T3793" s="17"/>
      <c r="U3793" s="18">
        <v>1000000</v>
      </c>
      <c r="V3793" s="18">
        <f t="shared" ref="V3793" si="2593">U3793*1.12</f>
        <v>1120000</v>
      </c>
      <c r="W3793" s="18" t="s">
        <v>1521</v>
      </c>
      <c r="X3793" s="2">
        <v>2016</v>
      </c>
      <c r="Y3793" s="3"/>
    </row>
    <row r="3794" spans="1:25" s="12" customFormat="1" ht="38.25" customHeight="1" x14ac:dyDescent="0.2">
      <c r="A3794" s="24"/>
      <c r="B3794" s="2" t="s">
        <v>1820</v>
      </c>
      <c r="C3794" s="3" t="s">
        <v>83</v>
      </c>
      <c r="D3794" s="3" t="s">
        <v>1821</v>
      </c>
      <c r="E3794" s="3" t="s">
        <v>1822</v>
      </c>
      <c r="F3794" s="3" t="s">
        <v>1822</v>
      </c>
      <c r="G3794" s="5"/>
      <c r="H3794" s="5" t="s">
        <v>694</v>
      </c>
      <c r="I3794" s="27">
        <v>1</v>
      </c>
      <c r="J3794" s="13">
        <v>710000000</v>
      </c>
      <c r="K3794" s="5" t="s">
        <v>89</v>
      </c>
      <c r="L3794" s="5" t="s">
        <v>1466</v>
      </c>
      <c r="M3794" s="3" t="s">
        <v>696</v>
      </c>
      <c r="N3794" s="2"/>
      <c r="O3794" s="5" t="s">
        <v>697</v>
      </c>
      <c r="P3794" s="5" t="s">
        <v>1550</v>
      </c>
      <c r="Q3794" s="3"/>
      <c r="R3794" s="3"/>
      <c r="S3794" s="17"/>
      <c r="T3794" s="17"/>
      <c r="U3794" s="18">
        <v>0</v>
      </c>
      <c r="V3794" s="18">
        <f t="shared" si="2589"/>
        <v>0</v>
      </c>
      <c r="W3794" s="2" t="s">
        <v>1521</v>
      </c>
      <c r="X3794" s="2">
        <v>2016</v>
      </c>
      <c r="Y3794" s="3">
        <v>11</v>
      </c>
    </row>
    <row r="3795" spans="1:25" s="12" customFormat="1" ht="63.75" customHeight="1" x14ac:dyDescent="0.25">
      <c r="B3795" s="2" t="s">
        <v>7724</v>
      </c>
      <c r="C3795" s="3" t="s">
        <v>83</v>
      </c>
      <c r="D3795" s="3" t="s">
        <v>1821</v>
      </c>
      <c r="E3795" s="3" t="s">
        <v>1822</v>
      </c>
      <c r="F3795" s="3" t="s">
        <v>1822</v>
      </c>
      <c r="G3795" s="5"/>
      <c r="H3795" s="5" t="s">
        <v>694</v>
      </c>
      <c r="I3795" s="27">
        <v>1</v>
      </c>
      <c r="J3795" s="13">
        <v>710000000</v>
      </c>
      <c r="K3795" s="5" t="s">
        <v>89</v>
      </c>
      <c r="L3795" s="5" t="s">
        <v>754</v>
      </c>
      <c r="M3795" s="3" t="s">
        <v>696</v>
      </c>
      <c r="N3795" s="2"/>
      <c r="O3795" s="5" t="s">
        <v>697</v>
      </c>
      <c r="P3795" s="5" t="s">
        <v>1550</v>
      </c>
      <c r="Q3795" s="3"/>
      <c r="R3795" s="3"/>
      <c r="S3795" s="17"/>
      <c r="T3795" s="17"/>
      <c r="U3795" s="18">
        <v>195000</v>
      </c>
      <c r="V3795" s="18">
        <f t="shared" ref="V3795" si="2594">U3795*1.12</f>
        <v>218400.00000000003</v>
      </c>
      <c r="W3795" s="2" t="s">
        <v>1521</v>
      </c>
      <c r="X3795" s="2">
        <v>2016</v>
      </c>
      <c r="Y3795" s="3"/>
    </row>
    <row r="3796" spans="1:25" s="11" customFormat="1" ht="76.5" customHeight="1" x14ac:dyDescent="0.25">
      <c r="A3796" s="12"/>
      <c r="B3796" s="2" t="s">
        <v>1823</v>
      </c>
      <c r="C3796" s="5" t="s">
        <v>83</v>
      </c>
      <c r="D3796" s="5" t="s">
        <v>1824</v>
      </c>
      <c r="E3796" s="5" t="s">
        <v>1825</v>
      </c>
      <c r="F3796" s="5" t="s">
        <v>1825</v>
      </c>
      <c r="G3796" s="5"/>
      <c r="H3796" s="5" t="s">
        <v>694</v>
      </c>
      <c r="I3796" s="4">
        <v>0.5</v>
      </c>
      <c r="J3796" s="13">
        <v>710000000</v>
      </c>
      <c r="K3796" s="5" t="s">
        <v>89</v>
      </c>
      <c r="L3796" s="5" t="s">
        <v>1466</v>
      </c>
      <c r="M3796" s="5" t="s">
        <v>696</v>
      </c>
      <c r="N3796" s="2"/>
      <c r="O3796" s="5" t="s">
        <v>697</v>
      </c>
      <c r="P3796" s="5" t="s">
        <v>1550</v>
      </c>
      <c r="Q3796" s="2"/>
      <c r="R3796" s="5"/>
      <c r="S3796" s="18"/>
      <c r="T3796" s="18"/>
      <c r="U3796" s="18">
        <v>1200000</v>
      </c>
      <c r="V3796" s="18">
        <f t="shared" si="2589"/>
        <v>1344000.0000000002</v>
      </c>
      <c r="W3796" s="18" t="s">
        <v>1521</v>
      </c>
      <c r="X3796" s="2">
        <v>2016</v>
      </c>
      <c r="Y3796" s="15"/>
    </row>
    <row r="3797" spans="1:25" s="11" customFormat="1" ht="51" customHeight="1" x14ac:dyDescent="0.25">
      <c r="A3797" s="12"/>
      <c r="B3797" s="2" t="s">
        <v>1826</v>
      </c>
      <c r="C3797" s="5" t="s">
        <v>83</v>
      </c>
      <c r="D3797" s="5" t="s">
        <v>1827</v>
      </c>
      <c r="E3797" s="5" t="s">
        <v>1828</v>
      </c>
      <c r="F3797" s="5" t="s">
        <v>1828</v>
      </c>
      <c r="G3797" s="5"/>
      <c r="H3797" s="2" t="s">
        <v>694</v>
      </c>
      <c r="I3797" s="4">
        <v>1</v>
      </c>
      <c r="J3797" s="13">
        <v>710000000</v>
      </c>
      <c r="K3797" s="5" t="s">
        <v>89</v>
      </c>
      <c r="L3797" s="5" t="s">
        <v>1466</v>
      </c>
      <c r="M3797" s="6" t="s">
        <v>701</v>
      </c>
      <c r="N3797" s="2"/>
      <c r="O3797" s="7" t="s">
        <v>697</v>
      </c>
      <c r="P3797" s="5" t="s">
        <v>1550</v>
      </c>
      <c r="Q3797" s="2"/>
      <c r="R3797" s="5"/>
      <c r="S3797" s="18"/>
      <c r="T3797" s="18"/>
      <c r="U3797" s="18">
        <v>120000</v>
      </c>
      <c r="V3797" s="18">
        <f t="shared" si="2589"/>
        <v>134400</v>
      </c>
      <c r="W3797" s="2" t="s">
        <v>1521</v>
      </c>
      <c r="X3797" s="2">
        <v>2016</v>
      </c>
      <c r="Y3797" s="15"/>
    </row>
    <row r="3798" spans="1:25" s="12" customFormat="1" ht="63.75" customHeight="1" x14ac:dyDescent="0.25">
      <c r="B3798" s="2" t="s">
        <v>1829</v>
      </c>
      <c r="C3798" s="5" t="s">
        <v>83</v>
      </c>
      <c r="D3798" s="5" t="s">
        <v>1830</v>
      </c>
      <c r="E3798" s="5" t="s">
        <v>1831</v>
      </c>
      <c r="F3798" s="5" t="s">
        <v>1832</v>
      </c>
      <c r="G3798" s="5"/>
      <c r="H3798" s="2" t="s">
        <v>694</v>
      </c>
      <c r="I3798" s="4">
        <v>1</v>
      </c>
      <c r="J3798" s="13">
        <v>710000000</v>
      </c>
      <c r="K3798" s="5" t="s">
        <v>89</v>
      </c>
      <c r="L3798" s="5" t="s">
        <v>1466</v>
      </c>
      <c r="M3798" s="6" t="s">
        <v>701</v>
      </c>
      <c r="N3798" s="2"/>
      <c r="O3798" s="7" t="s">
        <v>697</v>
      </c>
      <c r="P3798" s="5" t="s">
        <v>1550</v>
      </c>
      <c r="Q3798" s="2"/>
      <c r="R3798" s="5"/>
      <c r="S3798" s="18"/>
      <c r="T3798" s="18"/>
      <c r="U3798" s="18">
        <v>150000</v>
      </c>
      <c r="V3798" s="18">
        <f t="shared" si="2589"/>
        <v>168000.00000000003</v>
      </c>
      <c r="W3798" s="18" t="s">
        <v>1521</v>
      </c>
      <c r="X3798" s="2">
        <v>2016</v>
      </c>
      <c r="Y3798" s="15"/>
    </row>
    <row r="3799" spans="1:25" s="12" customFormat="1" ht="51" customHeight="1" x14ac:dyDescent="0.25">
      <c r="B3799" s="2" t="s">
        <v>1833</v>
      </c>
      <c r="C3799" s="5" t="s">
        <v>83</v>
      </c>
      <c r="D3799" s="5" t="s">
        <v>1834</v>
      </c>
      <c r="E3799" s="5" t="s">
        <v>1835</v>
      </c>
      <c r="F3799" s="5" t="s">
        <v>1835</v>
      </c>
      <c r="G3799" s="5"/>
      <c r="H3799" s="2" t="s">
        <v>694</v>
      </c>
      <c r="I3799" s="4">
        <v>1</v>
      </c>
      <c r="J3799" s="13">
        <v>710000000</v>
      </c>
      <c r="K3799" s="5" t="s">
        <v>89</v>
      </c>
      <c r="L3799" s="5" t="s">
        <v>1466</v>
      </c>
      <c r="M3799" s="6" t="s">
        <v>701</v>
      </c>
      <c r="N3799" s="2"/>
      <c r="O3799" s="7" t="s">
        <v>697</v>
      </c>
      <c r="P3799" s="5" t="s">
        <v>1550</v>
      </c>
      <c r="Q3799" s="2"/>
      <c r="R3799" s="5"/>
      <c r="S3799" s="18"/>
      <c r="T3799" s="18"/>
      <c r="U3799" s="18">
        <v>280000</v>
      </c>
      <c r="V3799" s="18">
        <f t="shared" si="2589"/>
        <v>313600.00000000006</v>
      </c>
      <c r="W3799" s="2" t="s">
        <v>1521</v>
      </c>
      <c r="X3799" s="2">
        <v>2016</v>
      </c>
      <c r="Y3799" s="15"/>
    </row>
    <row r="3800" spans="1:25" s="12" customFormat="1" ht="38.25" customHeight="1" x14ac:dyDescent="0.25">
      <c r="B3800" s="2" t="s">
        <v>1836</v>
      </c>
      <c r="C3800" s="5" t="s">
        <v>83</v>
      </c>
      <c r="D3800" s="5" t="s">
        <v>1837</v>
      </c>
      <c r="E3800" s="5" t="s">
        <v>1838</v>
      </c>
      <c r="F3800" s="5" t="s">
        <v>1838</v>
      </c>
      <c r="G3800" s="5"/>
      <c r="H3800" s="2" t="s">
        <v>694</v>
      </c>
      <c r="I3800" s="4">
        <v>1</v>
      </c>
      <c r="J3800" s="13">
        <v>710000000</v>
      </c>
      <c r="K3800" s="5" t="s">
        <v>89</v>
      </c>
      <c r="L3800" s="5" t="s">
        <v>1466</v>
      </c>
      <c r="M3800" s="6" t="s">
        <v>701</v>
      </c>
      <c r="N3800" s="2"/>
      <c r="O3800" s="7" t="s">
        <v>697</v>
      </c>
      <c r="P3800" s="5" t="s">
        <v>1550</v>
      </c>
      <c r="Q3800" s="2"/>
      <c r="R3800" s="5"/>
      <c r="S3800" s="18"/>
      <c r="T3800" s="18"/>
      <c r="U3800" s="18">
        <v>100000</v>
      </c>
      <c r="V3800" s="18">
        <f t="shared" si="2589"/>
        <v>112000.00000000001</v>
      </c>
      <c r="W3800" s="18" t="s">
        <v>1521</v>
      </c>
      <c r="X3800" s="2">
        <v>2016</v>
      </c>
      <c r="Y3800" s="15"/>
    </row>
    <row r="3801" spans="1:25" s="12" customFormat="1" ht="38.25" customHeight="1" x14ac:dyDescent="0.2">
      <c r="A3801" s="24"/>
      <c r="B3801" s="2" t="s">
        <v>1839</v>
      </c>
      <c r="C3801" s="5" t="s">
        <v>83</v>
      </c>
      <c r="D3801" s="5" t="s">
        <v>1840</v>
      </c>
      <c r="E3801" s="5" t="s">
        <v>1841</v>
      </c>
      <c r="F3801" s="5" t="s">
        <v>1841</v>
      </c>
      <c r="G3801" s="5"/>
      <c r="H3801" s="5" t="s">
        <v>694</v>
      </c>
      <c r="I3801" s="4">
        <v>1</v>
      </c>
      <c r="J3801" s="13">
        <v>710000000</v>
      </c>
      <c r="K3801" s="5" t="s">
        <v>89</v>
      </c>
      <c r="L3801" s="5" t="s">
        <v>1466</v>
      </c>
      <c r="M3801" s="5" t="s">
        <v>696</v>
      </c>
      <c r="N3801" s="2"/>
      <c r="O3801" s="5" t="s">
        <v>697</v>
      </c>
      <c r="P3801" s="5" t="s">
        <v>1550</v>
      </c>
      <c r="Q3801" s="2"/>
      <c r="R3801" s="5"/>
      <c r="S3801" s="18"/>
      <c r="T3801" s="18"/>
      <c r="U3801" s="18">
        <v>0</v>
      </c>
      <c r="V3801" s="18">
        <f t="shared" si="2589"/>
        <v>0</v>
      </c>
      <c r="W3801" s="2" t="s">
        <v>1521</v>
      </c>
      <c r="X3801" s="2">
        <v>2016</v>
      </c>
      <c r="Y3801" s="15" t="s">
        <v>1590</v>
      </c>
    </row>
    <row r="3802" spans="1:25" s="12" customFormat="1" ht="38.25" customHeight="1" x14ac:dyDescent="0.25">
      <c r="B3802" s="2" t="s">
        <v>7722</v>
      </c>
      <c r="C3802" s="5" t="s">
        <v>83</v>
      </c>
      <c r="D3802" s="5" t="s">
        <v>1840</v>
      </c>
      <c r="E3802" s="5" t="s">
        <v>1841</v>
      </c>
      <c r="F3802" s="5" t="s">
        <v>1841</v>
      </c>
      <c r="G3802" s="5"/>
      <c r="H3802" s="5" t="s">
        <v>694</v>
      </c>
      <c r="I3802" s="4">
        <v>1</v>
      </c>
      <c r="J3802" s="13">
        <v>710000000</v>
      </c>
      <c r="K3802" s="5" t="s">
        <v>89</v>
      </c>
      <c r="L3802" s="5" t="s">
        <v>754</v>
      </c>
      <c r="M3802" s="5" t="s">
        <v>696</v>
      </c>
      <c r="N3802" s="2"/>
      <c r="O3802" s="5" t="s">
        <v>697</v>
      </c>
      <c r="P3802" s="5" t="s">
        <v>1550</v>
      </c>
      <c r="Q3802" s="2"/>
      <c r="R3802" s="5"/>
      <c r="S3802" s="18"/>
      <c r="T3802" s="18"/>
      <c r="U3802" s="18">
        <v>900000</v>
      </c>
      <c r="V3802" s="18">
        <f t="shared" ref="V3802" si="2595">U3802*1.12</f>
        <v>1008000.0000000001</v>
      </c>
      <c r="W3802" s="2" t="s">
        <v>1521</v>
      </c>
      <c r="X3802" s="2">
        <v>2016</v>
      </c>
      <c r="Y3802" s="15"/>
    </row>
    <row r="3803" spans="1:25" s="12" customFormat="1" ht="51" customHeight="1" x14ac:dyDescent="0.25">
      <c r="A3803" s="11"/>
      <c r="B3803" s="2" t="s">
        <v>1842</v>
      </c>
      <c r="C3803" s="3" t="s">
        <v>83</v>
      </c>
      <c r="D3803" s="3" t="s">
        <v>1843</v>
      </c>
      <c r="E3803" s="3" t="s">
        <v>1844</v>
      </c>
      <c r="F3803" s="3" t="s">
        <v>1844</v>
      </c>
      <c r="G3803" s="3" t="s">
        <v>1845</v>
      </c>
      <c r="H3803" s="5" t="s">
        <v>88</v>
      </c>
      <c r="I3803" s="27">
        <v>1</v>
      </c>
      <c r="J3803" s="13">
        <v>710000000</v>
      </c>
      <c r="K3803" s="5" t="s">
        <v>89</v>
      </c>
      <c r="L3803" s="5" t="s">
        <v>1730</v>
      </c>
      <c r="M3803" s="3" t="s">
        <v>696</v>
      </c>
      <c r="N3803" s="2"/>
      <c r="O3803" s="5" t="s">
        <v>697</v>
      </c>
      <c r="P3803" s="5" t="s">
        <v>1550</v>
      </c>
      <c r="Q3803" s="3"/>
      <c r="R3803" s="3"/>
      <c r="S3803" s="17"/>
      <c r="T3803" s="17"/>
      <c r="U3803" s="18">
        <v>15258928.571</v>
      </c>
      <c r="V3803" s="18">
        <f t="shared" si="2589"/>
        <v>17089999.999520004</v>
      </c>
      <c r="W3803" s="18" t="s">
        <v>1521</v>
      </c>
      <c r="X3803" s="2">
        <v>2016</v>
      </c>
      <c r="Y3803" s="3"/>
    </row>
    <row r="3804" spans="1:25" s="12" customFormat="1" ht="51" customHeight="1" x14ac:dyDescent="0.25">
      <c r="B3804" s="2" t="s">
        <v>1846</v>
      </c>
      <c r="C3804" s="5" t="s">
        <v>83</v>
      </c>
      <c r="D3804" s="5" t="s">
        <v>1847</v>
      </c>
      <c r="E3804" s="5" t="s">
        <v>1848</v>
      </c>
      <c r="F3804" s="5" t="s">
        <v>1849</v>
      </c>
      <c r="G3804" s="5"/>
      <c r="H3804" s="5" t="s">
        <v>694</v>
      </c>
      <c r="I3804" s="4">
        <v>1</v>
      </c>
      <c r="J3804" s="13">
        <v>710000000</v>
      </c>
      <c r="K3804" s="5" t="s">
        <v>89</v>
      </c>
      <c r="L3804" s="5" t="s">
        <v>90</v>
      </c>
      <c r="M3804" s="5" t="s">
        <v>696</v>
      </c>
      <c r="N3804" s="2"/>
      <c r="O3804" s="5" t="s">
        <v>697</v>
      </c>
      <c r="P3804" s="5" t="s">
        <v>1550</v>
      </c>
      <c r="Q3804" s="2"/>
      <c r="R3804" s="5"/>
      <c r="S3804" s="18"/>
      <c r="T3804" s="18"/>
      <c r="U3804" s="18">
        <v>1600000</v>
      </c>
      <c r="V3804" s="18">
        <f t="shared" si="2589"/>
        <v>1792000.0000000002</v>
      </c>
      <c r="W3804" s="2" t="s">
        <v>1521</v>
      </c>
      <c r="X3804" s="2">
        <v>2016</v>
      </c>
      <c r="Y3804" s="15"/>
    </row>
    <row r="3805" spans="1:25" s="11" customFormat="1" ht="76.5" customHeight="1" x14ac:dyDescent="0.25">
      <c r="A3805" s="12"/>
      <c r="B3805" s="2" t="s">
        <v>1850</v>
      </c>
      <c r="C3805" s="3" t="s">
        <v>83</v>
      </c>
      <c r="D3805" s="3" t="s">
        <v>1851</v>
      </c>
      <c r="E3805" s="3" t="s">
        <v>1852</v>
      </c>
      <c r="F3805" s="3" t="s">
        <v>1852</v>
      </c>
      <c r="G3805" s="5" t="s">
        <v>1853</v>
      </c>
      <c r="H3805" s="5" t="s">
        <v>694</v>
      </c>
      <c r="I3805" s="4">
        <v>0.5</v>
      </c>
      <c r="J3805" s="13">
        <v>710000000</v>
      </c>
      <c r="K3805" s="5" t="s">
        <v>89</v>
      </c>
      <c r="L3805" s="5" t="s">
        <v>1466</v>
      </c>
      <c r="M3805" s="6" t="s">
        <v>1527</v>
      </c>
      <c r="N3805" s="2"/>
      <c r="O3805" s="5" t="s">
        <v>697</v>
      </c>
      <c r="P3805" s="5" t="s">
        <v>1550</v>
      </c>
      <c r="Q3805" s="2"/>
      <c r="R3805" s="2"/>
      <c r="S3805" s="18"/>
      <c r="T3805" s="18"/>
      <c r="U3805" s="18">
        <v>1476770</v>
      </c>
      <c r="V3805" s="18">
        <f t="shared" si="2589"/>
        <v>1653982.4000000001</v>
      </c>
      <c r="W3805" s="18" t="s">
        <v>1521</v>
      </c>
      <c r="X3805" s="2">
        <v>2016</v>
      </c>
      <c r="Y3805" s="15"/>
    </row>
    <row r="3806" spans="1:25" s="12" customFormat="1" ht="76.5" customHeight="1" x14ac:dyDescent="0.25">
      <c r="B3806" s="2" t="s">
        <v>1854</v>
      </c>
      <c r="C3806" s="3" t="s">
        <v>83</v>
      </c>
      <c r="D3806" s="3" t="s">
        <v>1851</v>
      </c>
      <c r="E3806" s="3" t="s">
        <v>1852</v>
      </c>
      <c r="F3806" s="3" t="s">
        <v>1852</v>
      </c>
      <c r="G3806" s="5" t="s">
        <v>1855</v>
      </c>
      <c r="H3806" s="5" t="s">
        <v>694</v>
      </c>
      <c r="I3806" s="4">
        <v>0.5</v>
      </c>
      <c r="J3806" s="13">
        <v>710000000</v>
      </c>
      <c r="K3806" s="5" t="s">
        <v>89</v>
      </c>
      <c r="L3806" s="5" t="s">
        <v>1466</v>
      </c>
      <c r="M3806" s="6" t="s">
        <v>1527</v>
      </c>
      <c r="N3806" s="2"/>
      <c r="O3806" s="5" t="s">
        <v>697</v>
      </c>
      <c r="P3806" s="5" t="s">
        <v>1550</v>
      </c>
      <c r="Q3806" s="2"/>
      <c r="R3806" s="2"/>
      <c r="S3806" s="18"/>
      <c r="T3806" s="18"/>
      <c r="U3806" s="18">
        <v>218620</v>
      </c>
      <c r="V3806" s="18">
        <f t="shared" si="2589"/>
        <v>244854.40000000002</v>
      </c>
      <c r="W3806" s="2" t="s">
        <v>1521</v>
      </c>
      <c r="X3806" s="2">
        <v>2016</v>
      </c>
      <c r="Y3806" s="15"/>
    </row>
    <row r="3807" spans="1:25" s="12" customFormat="1" ht="63.75" customHeight="1" x14ac:dyDescent="0.25">
      <c r="B3807" s="2" t="s">
        <v>1856</v>
      </c>
      <c r="C3807" s="5" t="s">
        <v>83</v>
      </c>
      <c r="D3807" s="5" t="s">
        <v>1857</v>
      </c>
      <c r="E3807" s="5" t="s">
        <v>1858</v>
      </c>
      <c r="F3807" s="5" t="s">
        <v>1859</v>
      </c>
      <c r="G3807" s="5"/>
      <c r="H3807" s="2" t="s">
        <v>694</v>
      </c>
      <c r="I3807" s="4">
        <v>1</v>
      </c>
      <c r="J3807" s="13">
        <v>710000000</v>
      </c>
      <c r="K3807" s="5" t="s">
        <v>89</v>
      </c>
      <c r="L3807" s="5" t="s">
        <v>1466</v>
      </c>
      <c r="M3807" s="5" t="s">
        <v>1860</v>
      </c>
      <c r="N3807" s="2"/>
      <c r="O3807" s="5" t="s">
        <v>697</v>
      </c>
      <c r="P3807" s="5" t="s">
        <v>1550</v>
      </c>
      <c r="Q3807" s="2"/>
      <c r="R3807" s="5"/>
      <c r="S3807" s="18"/>
      <c r="T3807" s="18"/>
      <c r="U3807" s="18">
        <v>14486000</v>
      </c>
      <c r="V3807" s="18">
        <f t="shared" si="2589"/>
        <v>16224320.000000002</v>
      </c>
      <c r="W3807" s="18" t="s">
        <v>1521</v>
      </c>
      <c r="X3807" s="2">
        <v>2016</v>
      </c>
      <c r="Y3807" s="15"/>
    </row>
    <row r="3808" spans="1:25" s="12" customFormat="1" ht="76.5" customHeight="1" x14ac:dyDescent="0.25">
      <c r="B3808" s="2" t="s">
        <v>1861</v>
      </c>
      <c r="C3808" s="5" t="s">
        <v>83</v>
      </c>
      <c r="D3808" s="5" t="s">
        <v>1862</v>
      </c>
      <c r="E3808" s="5" t="s">
        <v>1863</v>
      </c>
      <c r="F3808" s="5" t="s">
        <v>1863</v>
      </c>
      <c r="G3808" s="5" t="s">
        <v>1864</v>
      </c>
      <c r="H3808" s="2" t="s">
        <v>694</v>
      </c>
      <c r="I3808" s="4">
        <v>1</v>
      </c>
      <c r="J3808" s="13">
        <v>710000000</v>
      </c>
      <c r="K3808" s="5" t="s">
        <v>89</v>
      </c>
      <c r="L3808" s="5" t="s">
        <v>1735</v>
      </c>
      <c r="M3808" s="5" t="s">
        <v>696</v>
      </c>
      <c r="N3808" s="2"/>
      <c r="O3808" s="5" t="s">
        <v>697</v>
      </c>
      <c r="P3808" s="5" t="s">
        <v>1550</v>
      </c>
      <c r="Q3808" s="2"/>
      <c r="R3808" s="5"/>
      <c r="S3808" s="18"/>
      <c r="T3808" s="18"/>
      <c r="U3808" s="18">
        <v>1200000</v>
      </c>
      <c r="V3808" s="18">
        <f t="shared" si="2589"/>
        <v>1344000.0000000002</v>
      </c>
      <c r="W3808" s="2" t="s">
        <v>1521</v>
      </c>
      <c r="X3808" s="2">
        <v>2016</v>
      </c>
      <c r="Y3808" s="15"/>
    </row>
    <row r="3809" spans="1:25" s="12" customFormat="1" ht="51" customHeight="1" x14ac:dyDescent="0.2">
      <c r="A3809" s="24"/>
      <c r="B3809" s="2" t="s">
        <v>1865</v>
      </c>
      <c r="C3809" s="5" t="s">
        <v>83</v>
      </c>
      <c r="D3809" s="5" t="s">
        <v>1866</v>
      </c>
      <c r="E3809" s="5" t="s">
        <v>1867</v>
      </c>
      <c r="F3809" s="5" t="s">
        <v>1868</v>
      </c>
      <c r="G3809" s="5" t="s">
        <v>1869</v>
      </c>
      <c r="H3809" s="2" t="s">
        <v>694</v>
      </c>
      <c r="I3809" s="4">
        <v>1</v>
      </c>
      <c r="J3809" s="13">
        <v>710000000</v>
      </c>
      <c r="K3809" s="5" t="s">
        <v>89</v>
      </c>
      <c r="L3809" s="5" t="s">
        <v>90</v>
      </c>
      <c r="M3809" s="5" t="s">
        <v>696</v>
      </c>
      <c r="N3809" s="2"/>
      <c r="O3809" s="5" t="s">
        <v>697</v>
      </c>
      <c r="P3809" s="5" t="s">
        <v>1550</v>
      </c>
      <c r="Q3809" s="2"/>
      <c r="R3809" s="5"/>
      <c r="S3809" s="18"/>
      <c r="T3809" s="18"/>
      <c r="U3809" s="18">
        <v>0</v>
      </c>
      <c r="V3809" s="18">
        <f t="shared" si="2589"/>
        <v>0</v>
      </c>
      <c r="W3809" s="18" t="s">
        <v>1521</v>
      </c>
      <c r="X3809" s="2">
        <v>2016</v>
      </c>
      <c r="Y3809" s="15" t="s">
        <v>2322</v>
      </c>
    </row>
    <row r="3810" spans="1:25" s="12" customFormat="1" ht="51" customHeight="1" x14ac:dyDescent="0.25">
      <c r="B3810" s="2" t="s">
        <v>2321</v>
      </c>
      <c r="C3810" s="5" t="s">
        <v>83</v>
      </c>
      <c r="D3810" s="5" t="s">
        <v>1866</v>
      </c>
      <c r="E3810" s="5" t="s">
        <v>1867</v>
      </c>
      <c r="F3810" s="5" t="s">
        <v>1868</v>
      </c>
      <c r="G3810" s="5" t="s">
        <v>1869</v>
      </c>
      <c r="H3810" s="2" t="s">
        <v>694</v>
      </c>
      <c r="I3810" s="4">
        <v>1</v>
      </c>
      <c r="J3810" s="13">
        <v>710000000</v>
      </c>
      <c r="K3810" s="5" t="s">
        <v>89</v>
      </c>
      <c r="L3810" s="5" t="s">
        <v>90</v>
      </c>
      <c r="M3810" s="5" t="s">
        <v>696</v>
      </c>
      <c r="N3810" s="2"/>
      <c r="O3810" s="5" t="s">
        <v>697</v>
      </c>
      <c r="P3810" s="5" t="s">
        <v>1725</v>
      </c>
      <c r="Q3810" s="2"/>
      <c r="R3810" s="5"/>
      <c r="S3810" s="18"/>
      <c r="T3810" s="18"/>
      <c r="U3810" s="18">
        <v>1272321.43</v>
      </c>
      <c r="V3810" s="18">
        <f t="shared" si="2589"/>
        <v>1425000.0016000001</v>
      </c>
      <c r="W3810" s="18" t="s">
        <v>1521</v>
      </c>
      <c r="X3810" s="2">
        <v>2016</v>
      </c>
      <c r="Y3810" s="15"/>
    </row>
    <row r="3811" spans="1:25" s="12" customFormat="1" ht="63.75" customHeight="1" x14ac:dyDescent="0.25">
      <c r="B3811" s="2" t="s">
        <v>1870</v>
      </c>
      <c r="C3811" s="5" t="s">
        <v>83</v>
      </c>
      <c r="D3811" s="5" t="s">
        <v>1857</v>
      </c>
      <c r="E3811" s="5" t="s">
        <v>1858</v>
      </c>
      <c r="F3811" s="5" t="s">
        <v>1859</v>
      </c>
      <c r="G3811" s="5" t="s">
        <v>1871</v>
      </c>
      <c r="H3811" s="5" t="s">
        <v>694</v>
      </c>
      <c r="I3811" s="4">
        <v>1</v>
      </c>
      <c r="J3811" s="13">
        <v>710000000</v>
      </c>
      <c r="K3811" s="5" t="s">
        <v>89</v>
      </c>
      <c r="L3811" s="5" t="s">
        <v>1872</v>
      </c>
      <c r="M3811" s="5" t="s">
        <v>696</v>
      </c>
      <c r="N3811" s="2"/>
      <c r="O3811" s="5" t="s">
        <v>697</v>
      </c>
      <c r="P3811" s="5" t="s">
        <v>1550</v>
      </c>
      <c r="Q3811" s="2"/>
      <c r="R3811" s="5"/>
      <c r="S3811" s="18"/>
      <c r="T3811" s="18"/>
      <c r="U3811" s="18">
        <v>497722</v>
      </c>
      <c r="V3811" s="18">
        <f t="shared" si="2589"/>
        <v>557448.64</v>
      </c>
      <c r="W3811" s="2" t="s">
        <v>1521</v>
      </c>
      <c r="X3811" s="2">
        <v>2016</v>
      </c>
      <c r="Y3811" s="15"/>
    </row>
    <row r="3812" spans="1:25" s="12" customFormat="1" ht="51" customHeight="1" x14ac:dyDescent="0.25">
      <c r="B3812" s="2" t="s">
        <v>1873</v>
      </c>
      <c r="C3812" s="5" t="s">
        <v>83</v>
      </c>
      <c r="D3812" s="5" t="s">
        <v>1874</v>
      </c>
      <c r="E3812" s="5" t="s">
        <v>1875</v>
      </c>
      <c r="F3812" s="5" t="s">
        <v>1876</v>
      </c>
      <c r="G3812" s="5" t="s">
        <v>1877</v>
      </c>
      <c r="H3812" s="5" t="s">
        <v>694</v>
      </c>
      <c r="I3812" s="4">
        <v>1</v>
      </c>
      <c r="J3812" s="13">
        <v>710000000</v>
      </c>
      <c r="K3812" s="5" t="s">
        <v>89</v>
      </c>
      <c r="L3812" s="5" t="s">
        <v>90</v>
      </c>
      <c r="M3812" s="5" t="s">
        <v>696</v>
      </c>
      <c r="N3812" s="2"/>
      <c r="O3812" s="5" t="s">
        <v>697</v>
      </c>
      <c r="P3812" s="5" t="s">
        <v>1550</v>
      </c>
      <c r="Q3812" s="2"/>
      <c r="R3812" s="5"/>
      <c r="S3812" s="18"/>
      <c r="T3812" s="18"/>
      <c r="U3812" s="18">
        <v>1687925</v>
      </c>
      <c r="V3812" s="18">
        <f t="shared" si="2589"/>
        <v>1890476.0000000002</v>
      </c>
      <c r="W3812" s="18" t="s">
        <v>1521</v>
      </c>
      <c r="X3812" s="2">
        <v>2016</v>
      </c>
      <c r="Y3812" s="15"/>
    </row>
    <row r="3813" spans="1:25" s="12" customFormat="1" ht="140.25" customHeight="1" x14ac:dyDescent="0.25">
      <c r="B3813" s="2" t="s">
        <v>1878</v>
      </c>
      <c r="C3813" s="5" t="s">
        <v>83</v>
      </c>
      <c r="D3813" s="5" t="s">
        <v>1879</v>
      </c>
      <c r="E3813" s="5" t="s">
        <v>1880</v>
      </c>
      <c r="F3813" s="5" t="s">
        <v>1880</v>
      </c>
      <c r="G3813" s="5" t="s">
        <v>1881</v>
      </c>
      <c r="H3813" s="5" t="s">
        <v>694</v>
      </c>
      <c r="I3813" s="4">
        <v>1</v>
      </c>
      <c r="J3813" s="13">
        <v>710000000</v>
      </c>
      <c r="K3813" s="5" t="s">
        <v>89</v>
      </c>
      <c r="L3813" s="5" t="s">
        <v>1735</v>
      </c>
      <c r="M3813" s="5" t="s">
        <v>696</v>
      </c>
      <c r="N3813" s="2"/>
      <c r="O3813" s="5" t="s">
        <v>697</v>
      </c>
      <c r="P3813" s="5" t="s">
        <v>1550</v>
      </c>
      <c r="Q3813" s="2"/>
      <c r="R3813" s="5"/>
      <c r="S3813" s="18"/>
      <c r="T3813" s="18"/>
      <c r="U3813" s="18">
        <v>0</v>
      </c>
      <c r="V3813" s="18">
        <f t="shared" si="2589"/>
        <v>0</v>
      </c>
      <c r="W3813" s="2" t="s">
        <v>1521</v>
      </c>
      <c r="X3813" s="2">
        <v>2016</v>
      </c>
      <c r="Y3813" s="15" t="s">
        <v>1590</v>
      </c>
    </row>
    <row r="3814" spans="1:25" s="12" customFormat="1" ht="140.25" customHeight="1" x14ac:dyDescent="0.25">
      <c r="B3814" s="2" t="s">
        <v>8848</v>
      </c>
      <c r="C3814" s="5" t="s">
        <v>83</v>
      </c>
      <c r="D3814" s="5" t="s">
        <v>1879</v>
      </c>
      <c r="E3814" s="5" t="s">
        <v>1880</v>
      </c>
      <c r="F3814" s="5" t="s">
        <v>1880</v>
      </c>
      <c r="G3814" s="5" t="s">
        <v>1881</v>
      </c>
      <c r="H3814" s="5" t="s">
        <v>694</v>
      </c>
      <c r="I3814" s="4">
        <v>1</v>
      </c>
      <c r="J3814" s="13">
        <v>710000000</v>
      </c>
      <c r="K3814" s="5" t="s">
        <v>89</v>
      </c>
      <c r="L3814" s="5" t="s">
        <v>8710</v>
      </c>
      <c r="M3814" s="5" t="s">
        <v>696</v>
      </c>
      <c r="N3814" s="2"/>
      <c r="O3814" s="5" t="s">
        <v>697</v>
      </c>
      <c r="P3814" s="5" t="s">
        <v>1550</v>
      </c>
      <c r="Q3814" s="2"/>
      <c r="R3814" s="5"/>
      <c r="S3814" s="18"/>
      <c r="T3814" s="18"/>
      <c r="U3814" s="18">
        <v>168000</v>
      </c>
      <c r="V3814" s="18">
        <f t="shared" ref="V3814" si="2596">U3814*1.12</f>
        <v>188160.00000000003</v>
      </c>
      <c r="W3814" s="2" t="s">
        <v>1521</v>
      </c>
      <c r="X3814" s="2">
        <v>2016</v>
      </c>
      <c r="Y3814" s="15"/>
    </row>
    <row r="3815" spans="1:25" s="12" customFormat="1" ht="140.25" customHeight="1" x14ac:dyDescent="0.25">
      <c r="B3815" s="2" t="s">
        <v>1882</v>
      </c>
      <c r="C3815" s="5" t="s">
        <v>83</v>
      </c>
      <c r="D3815" s="5" t="s">
        <v>1879</v>
      </c>
      <c r="E3815" s="5" t="s">
        <v>1880</v>
      </c>
      <c r="F3815" s="5" t="s">
        <v>1880</v>
      </c>
      <c r="G3815" s="5" t="s">
        <v>1883</v>
      </c>
      <c r="H3815" s="5" t="s">
        <v>694</v>
      </c>
      <c r="I3815" s="4">
        <v>1</v>
      </c>
      <c r="J3815" s="13">
        <v>710000000</v>
      </c>
      <c r="K3815" s="5" t="s">
        <v>89</v>
      </c>
      <c r="L3815" s="5" t="s">
        <v>90</v>
      </c>
      <c r="M3815" s="5" t="s">
        <v>696</v>
      </c>
      <c r="N3815" s="2"/>
      <c r="O3815" s="5" t="s">
        <v>697</v>
      </c>
      <c r="P3815" s="5" t="s">
        <v>1550</v>
      </c>
      <c r="Q3815" s="2"/>
      <c r="R3815" s="5"/>
      <c r="S3815" s="18"/>
      <c r="T3815" s="18"/>
      <c r="U3815" s="18">
        <v>60000</v>
      </c>
      <c r="V3815" s="18">
        <f t="shared" si="2589"/>
        <v>67200</v>
      </c>
      <c r="W3815" s="18" t="s">
        <v>1521</v>
      </c>
      <c r="X3815" s="2">
        <v>2016</v>
      </c>
      <c r="Y3815" s="15"/>
    </row>
    <row r="3816" spans="1:25" s="12" customFormat="1" ht="38.25" customHeight="1" x14ac:dyDescent="0.2">
      <c r="A3816" s="24"/>
      <c r="B3816" s="2" t="s">
        <v>1884</v>
      </c>
      <c r="C3816" s="5" t="s">
        <v>83</v>
      </c>
      <c r="D3816" s="5" t="s">
        <v>1885</v>
      </c>
      <c r="E3816" s="5" t="s">
        <v>1886</v>
      </c>
      <c r="F3816" s="5" t="s">
        <v>1887</v>
      </c>
      <c r="G3816" s="5" t="s">
        <v>1888</v>
      </c>
      <c r="H3816" s="5" t="s">
        <v>765</v>
      </c>
      <c r="I3816" s="4">
        <v>1</v>
      </c>
      <c r="J3816" s="13">
        <v>710000000</v>
      </c>
      <c r="K3816" s="5" t="s">
        <v>89</v>
      </c>
      <c r="L3816" s="5" t="s">
        <v>90</v>
      </c>
      <c r="M3816" s="5" t="s">
        <v>696</v>
      </c>
      <c r="N3816" s="2"/>
      <c r="O3816" s="5" t="s">
        <v>697</v>
      </c>
      <c r="P3816" s="5" t="s">
        <v>1550</v>
      </c>
      <c r="Q3816" s="2"/>
      <c r="R3816" s="5"/>
      <c r="S3816" s="18"/>
      <c r="T3816" s="18"/>
      <c r="U3816" s="18">
        <v>0</v>
      </c>
      <c r="V3816" s="18">
        <f t="shared" ref="V3816:V3821" si="2597">U3816*1.12</f>
        <v>0</v>
      </c>
      <c r="W3816" s="2" t="s">
        <v>1521</v>
      </c>
      <c r="X3816" s="2">
        <v>2016</v>
      </c>
      <c r="Y3816" s="15" t="s">
        <v>7475</v>
      </c>
    </row>
    <row r="3817" spans="1:25" s="12" customFormat="1" ht="38.25" customHeight="1" x14ac:dyDescent="0.25">
      <c r="B3817" s="2" t="s">
        <v>7474</v>
      </c>
      <c r="C3817" s="5" t="s">
        <v>83</v>
      </c>
      <c r="D3817" s="5" t="s">
        <v>1885</v>
      </c>
      <c r="E3817" s="5" t="s">
        <v>1886</v>
      </c>
      <c r="F3817" s="5" t="s">
        <v>1887</v>
      </c>
      <c r="G3817" s="5" t="s">
        <v>1888</v>
      </c>
      <c r="H3817" s="5" t="s">
        <v>694</v>
      </c>
      <c r="I3817" s="4">
        <v>1</v>
      </c>
      <c r="J3817" s="13">
        <v>710000000</v>
      </c>
      <c r="K3817" s="5" t="s">
        <v>89</v>
      </c>
      <c r="L3817" s="5" t="s">
        <v>754</v>
      </c>
      <c r="M3817" s="5" t="s">
        <v>696</v>
      </c>
      <c r="N3817" s="2"/>
      <c r="O3817" s="5" t="s">
        <v>697</v>
      </c>
      <c r="P3817" s="5" t="s">
        <v>1550</v>
      </c>
      <c r="Q3817" s="2"/>
      <c r="R3817" s="5"/>
      <c r="S3817" s="18"/>
      <c r="T3817" s="18"/>
      <c r="U3817" s="18">
        <v>348214.29</v>
      </c>
      <c r="V3817" s="18">
        <f t="shared" si="2597"/>
        <v>390000.0048</v>
      </c>
      <c r="W3817" s="2" t="s">
        <v>1521</v>
      </c>
      <c r="X3817" s="2">
        <v>2016</v>
      </c>
      <c r="Y3817" s="15"/>
    </row>
    <row r="3818" spans="1:25" s="12" customFormat="1" ht="51" customHeight="1" x14ac:dyDescent="0.2">
      <c r="A3818" s="24"/>
      <c r="B3818" s="2" t="s">
        <v>1889</v>
      </c>
      <c r="C3818" s="5" t="s">
        <v>83</v>
      </c>
      <c r="D3818" s="5" t="s">
        <v>1890</v>
      </c>
      <c r="E3818" s="5" t="s">
        <v>1891</v>
      </c>
      <c r="F3818" s="5" t="s">
        <v>1891</v>
      </c>
      <c r="G3818" s="5" t="s">
        <v>1892</v>
      </c>
      <c r="H3818" s="5" t="s">
        <v>765</v>
      </c>
      <c r="I3818" s="4">
        <v>1</v>
      </c>
      <c r="J3818" s="13">
        <v>710000000</v>
      </c>
      <c r="K3818" s="5" t="s">
        <v>89</v>
      </c>
      <c r="L3818" s="5" t="s">
        <v>90</v>
      </c>
      <c r="M3818" s="5" t="s">
        <v>696</v>
      </c>
      <c r="N3818" s="2"/>
      <c r="O3818" s="5" t="s">
        <v>697</v>
      </c>
      <c r="P3818" s="5" t="s">
        <v>1550</v>
      </c>
      <c r="Q3818" s="2"/>
      <c r="R3818" s="5"/>
      <c r="S3818" s="18"/>
      <c r="T3818" s="18"/>
      <c r="U3818" s="18">
        <v>0</v>
      </c>
      <c r="V3818" s="18">
        <f t="shared" si="2597"/>
        <v>0</v>
      </c>
      <c r="W3818" s="18" t="s">
        <v>1521</v>
      </c>
      <c r="X3818" s="2">
        <v>2016</v>
      </c>
      <c r="Y3818" s="15" t="s">
        <v>7475</v>
      </c>
    </row>
    <row r="3819" spans="1:25" s="12" customFormat="1" ht="51" customHeight="1" x14ac:dyDescent="0.25">
      <c r="B3819" s="2" t="s">
        <v>7476</v>
      </c>
      <c r="C3819" s="5" t="s">
        <v>83</v>
      </c>
      <c r="D3819" s="5" t="s">
        <v>1890</v>
      </c>
      <c r="E3819" s="5" t="s">
        <v>1891</v>
      </c>
      <c r="F3819" s="5" t="s">
        <v>1891</v>
      </c>
      <c r="G3819" s="5" t="s">
        <v>1892</v>
      </c>
      <c r="H3819" s="5" t="s">
        <v>694</v>
      </c>
      <c r="I3819" s="4">
        <v>1</v>
      </c>
      <c r="J3819" s="13">
        <v>710000000</v>
      </c>
      <c r="K3819" s="5" t="s">
        <v>89</v>
      </c>
      <c r="L3819" s="5" t="s">
        <v>754</v>
      </c>
      <c r="M3819" s="5" t="s">
        <v>696</v>
      </c>
      <c r="N3819" s="2"/>
      <c r="O3819" s="5" t="s">
        <v>697</v>
      </c>
      <c r="P3819" s="5" t="s">
        <v>1550</v>
      </c>
      <c r="Q3819" s="2"/>
      <c r="R3819" s="5"/>
      <c r="S3819" s="18"/>
      <c r="T3819" s="18"/>
      <c r="U3819" s="18">
        <v>11941.96</v>
      </c>
      <c r="V3819" s="18">
        <f t="shared" si="2597"/>
        <v>13374.995199999999</v>
      </c>
      <c r="W3819" s="18" t="s">
        <v>1521</v>
      </c>
      <c r="X3819" s="2">
        <v>2016</v>
      </c>
      <c r="Y3819" s="15"/>
    </row>
    <row r="3820" spans="1:25" s="12" customFormat="1" ht="140.25" customHeight="1" x14ac:dyDescent="0.25">
      <c r="B3820" s="2" t="s">
        <v>1893</v>
      </c>
      <c r="C3820" s="5" t="s">
        <v>83</v>
      </c>
      <c r="D3820" s="5" t="s">
        <v>1894</v>
      </c>
      <c r="E3820" s="5" t="s">
        <v>1895</v>
      </c>
      <c r="F3820" s="5" t="s">
        <v>1895</v>
      </c>
      <c r="G3820" s="5" t="s">
        <v>1896</v>
      </c>
      <c r="H3820" s="2" t="s">
        <v>694</v>
      </c>
      <c r="I3820" s="4">
        <v>1</v>
      </c>
      <c r="J3820" s="13">
        <v>710000000</v>
      </c>
      <c r="K3820" s="5" t="s">
        <v>89</v>
      </c>
      <c r="L3820" s="5" t="s">
        <v>90</v>
      </c>
      <c r="M3820" s="5" t="s">
        <v>787</v>
      </c>
      <c r="N3820" s="2"/>
      <c r="O3820" s="7" t="s">
        <v>697</v>
      </c>
      <c r="P3820" s="5" t="s">
        <v>1550</v>
      </c>
      <c r="Q3820" s="2"/>
      <c r="R3820" s="5"/>
      <c r="S3820" s="18"/>
      <c r="T3820" s="18"/>
      <c r="U3820" s="18">
        <v>219000</v>
      </c>
      <c r="V3820" s="18">
        <f t="shared" si="2597"/>
        <v>245280.00000000003</v>
      </c>
      <c r="W3820" s="2" t="s">
        <v>1521</v>
      </c>
      <c r="X3820" s="2">
        <v>2016</v>
      </c>
      <c r="Y3820" s="15"/>
    </row>
    <row r="3821" spans="1:25" s="12" customFormat="1" ht="38.25" customHeight="1" x14ac:dyDescent="0.25">
      <c r="B3821" s="2" t="s">
        <v>1897</v>
      </c>
      <c r="C3821" s="5" t="s">
        <v>83</v>
      </c>
      <c r="D3821" s="5" t="s">
        <v>1898</v>
      </c>
      <c r="E3821" s="5" t="s">
        <v>1899</v>
      </c>
      <c r="F3821" s="5" t="s">
        <v>1900</v>
      </c>
      <c r="G3821" s="5" t="s">
        <v>1901</v>
      </c>
      <c r="H3821" s="5" t="s">
        <v>694</v>
      </c>
      <c r="I3821" s="4">
        <v>1</v>
      </c>
      <c r="J3821" s="13">
        <v>710000000</v>
      </c>
      <c r="K3821" s="5" t="s">
        <v>89</v>
      </c>
      <c r="L3821" s="5" t="s">
        <v>90</v>
      </c>
      <c r="M3821" s="5" t="s">
        <v>1902</v>
      </c>
      <c r="N3821" s="2"/>
      <c r="O3821" s="7" t="s">
        <v>697</v>
      </c>
      <c r="P3821" s="5" t="s">
        <v>1550</v>
      </c>
      <c r="Q3821" s="2"/>
      <c r="R3821" s="5"/>
      <c r="S3821" s="18"/>
      <c r="T3821" s="18"/>
      <c r="U3821" s="18">
        <v>216326</v>
      </c>
      <c r="V3821" s="18">
        <f t="shared" si="2597"/>
        <v>242285.12000000002</v>
      </c>
      <c r="W3821" s="18" t="s">
        <v>1521</v>
      </c>
      <c r="X3821" s="2">
        <v>2016</v>
      </c>
      <c r="Y3821" s="15"/>
    </row>
    <row r="3822" spans="1:25" s="12" customFormat="1" ht="63.75" customHeight="1" x14ac:dyDescent="0.25">
      <c r="B3822" s="2" t="s">
        <v>1903</v>
      </c>
      <c r="C3822" s="5" t="s">
        <v>83</v>
      </c>
      <c r="D3822" s="5" t="s">
        <v>1904</v>
      </c>
      <c r="E3822" s="5" t="s">
        <v>1905</v>
      </c>
      <c r="F3822" s="5" t="s">
        <v>1905</v>
      </c>
      <c r="G3822" s="5" t="s">
        <v>1906</v>
      </c>
      <c r="H3822" s="2" t="s">
        <v>694</v>
      </c>
      <c r="I3822" s="4">
        <v>0.5</v>
      </c>
      <c r="J3822" s="13">
        <v>710000000</v>
      </c>
      <c r="K3822" s="5" t="s">
        <v>89</v>
      </c>
      <c r="L3822" s="5" t="s">
        <v>90</v>
      </c>
      <c r="M3822" s="6" t="s">
        <v>696</v>
      </c>
      <c r="N3822" s="2"/>
      <c r="O3822" s="7" t="s">
        <v>697</v>
      </c>
      <c r="P3822" s="5" t="s">
        <v>1550</v>
      </c>
      <c r="Q3822" s="2"/>
      <c r="R3822" s="5"/>
      <c r="S3822" s="18"/>
      <c r="T3822" s="18"/>
      <c r="U3822" s="18">
        <f>97768+39107+13036</f>
        <v>149911</v>
      </c>
      <c r="V3822" s="18">
        <f t="shared" ref="V3822:V3835" si="2598">U3822*1.12</f>
        <v>167900.32</v>
      </c>
      <c r="W3822" s="2" t="s">
        <v>1521</v>
      </c>
      <c r="X3822" s="2">
        <v>2016</v>
      </c>
      <c r="Y3822" s="15"/>
    </row>
    <row r="3823" spans="1:25" s="12" customFormat="1" ht="51" customHeight="1" x14ac:dyDescent="0.25">
      <c r="B3823" s="2" t="s">
        <v>1907</v>
      </c>
      <c r="C3823" s="5" t="s">
        <v>83</v>
      </c>
      <c r="D3823" s="5" t="s">
        <v>1908</v>
      </c>
      <c r="E3823" s="5" t="s">
        <v>1909</v>
      </c>
      <c r="F3823" s="5" t="s">
        <v>1909</v>
      </c>
      <c r="G3823" s="5" t="s">
        <v>1910</v>
      </c>
      <c r="H3823" s="2" t="s">
        <v>694</v>
      </c>
      <c r="I3823" s="4">
        <v>0.5</v>
      </c>
      <c r="J3823" s="13">
        <v>710000000</v>
      </c>
      <c r="K3823" s="5" t="s">
        <v>89</v>
      </c>
      <c r="L3823" s="5" t="s">
        <v>90</v>
      </c>
      <c r="M3823" s="6" t="s">
        <v>696</v>
      </c>
      <c r="N3823" s="2"/>
      <c r="O3823" s="7" t="s">
        <v>697</v>
      </c>
      <c r="P3823" s="5" t="s">
        <v>1550</v>
      </c>
      <c r="Q3823" s="2"/>
      <c r="R3823" s="5"/>
      <c r="S3823" s="18"/>
      <c r="T3823" s="18"/>
      <c r="U3823" s="18">
        <f>95414+238536+95415</f>
        <v>429365</v>
      </c>
      <c r="V3823" s="18">
        <f t="shared" si="2598"/>
        <v>480888.80000000005</v>
      </c>
      <c r="W3823" s="18" t="s">
        <v>1521</v>
      </c>
      <c r="X3823" s="2">
        <v>2016</v>
      </c>
      <c r="Y3823" s="15"/>
    </row>
    <row r="3824" spans="1:25" s="12" customFormat="1" ht="102" customHeight="1" x14ac:dyDescent="0.2">
      <c r="A3824" s="24"/>
      <c r="B3824" s="2" t="s">
        <v>1911</v>
      </c>
      <c r="C3824" s="5" t="s">
        <v>83</v>
      </c>
      <c r="D3824" s="5" t="s">
        <v>1665</v>
      </c>
      <c r="E3824" s="5" t="s">
        <v>1666</v>
      </c>
      <c r="F3824" s="5" t="s">
        <v>1666</v>
      </c>
      <c r="G3824" s="5"/>
      <c r="H3824" s="2" t="s">
        <v>765</v>
      </c>
      <c r="I3824" s="4">
        <v>0.5</v>
      </c>
      <c r="J3824" s="13">
        <v>710000000</v>
      </c>
      <c r="K3824" s="5" t="s">
        <v>89</v>
      </c>
      <c r="L3824" s="5" t="s">
        <v>90</v>
      </c>
      <c r="M3824" s="6" t="s">
        <v>696</v>
      </c>
      <c r="N3824" s="2"/>
      <c r="O3824" s="7" t="s">
        <v>697</v>
      </c>
      <c r="P3824" s="5" t="s">
        <v>1550</v>
      </c>
      <c r="Q3824" s="2"/>
      <c r="R3824" s="5"/>
      <c r="S3824" s="18"/>
      <c r="T3824" s="18"/>
      <c r="U3824" s="18">
        <v>0</v>
      </c>
      <c r="V3824" s="18">
        <f t="shared" si="2598"/>
        <v>0</v>
      </c>
      <c r="W3824" s="2" t="s">
        <v>1521</v>
      </c>
      <c r="X3824" s="2">
        <v>2016</v>
      </c>
      <c r="Y3824" s="15" t="s">
        <v>7475</v>
      </c>
    </row>
    <row r="3825" spans="1:25" s="12" customFormat="1" ht="102" customHeight="1" x14ac:dyDescent="0.25">
      <c r="B3825" s="2" t="s">
        <v>7511</v>
      </c>
      <c r="C3825" s="5" t="s">
        <v>83</v>
      </c>
      <c r="D3825" s="5" t="s">
        <v>1665</v>
      </c>
      <c r="E3825" s="5" t="s">
        <v>1666</v>
      </c>
      <c r="F3825" s="5" t="s">
        <v>1666</v>
      </c>
      <c r="G3825" s="5" t="s">
        <v>7663</v>
      </c>
      <c r="H3825" s="2" t="s">
        <v>694</v>
      </c>
      <c r="I3825" s="4">
        <v>0.5</v>
      </c>
      <c r="J3825" s="13">
        <v>710000000</v>
      </c>
      <c r="K3825" s="5" t="s">
        <v>89</v>
      </c>
      <c r="L3825" s="5" t="s">
        <v>754</v>
      </c>
      <c r="M3825" s="6" t="s">
        <v>696</v>
      </c>
      <c r="N3825" s="2"/>
      <c r="O3825" s="7" t="s">
        <v>697</v>
      </c>
      <c r="P3825" s="5" t="s">
        <v>1550</v>
      </c>
      <c r="Q3825" s="2"/>
      <c r="R3825" s="5"/>
      <c r="S3825" s="18"/>
      <c r="T3825" s="18"/>
      <c r="U3825" s="18">
        <f>204911+204911+416993</f>
        <v>826815</v>
      </c>
      <c r="V3825" s="18">
        <f t="shared" ref="V3825" si="2599">U3825*1.12</f>
        <v>926032.8</v>
      </c>
      <c r="W3825" s="2" t="s">
        <v>1521</v>
      </c>
      <c r="X3825" s="2">
        <v>2016</v>
      </c>
      <c r="Y3825" s="15"/>
    </row>
    <row r="3826" spans="1:25" s="12" customFormat="1" ht="51" customHeight="1" x14ac:dyDescent="0.25">
      <c r="B3826" s="2" t="s">
        <v>1912</v>
      </c>
      <c r="C3826" s="5" t="s">
        <v>83</v>
      </c>
      <c r="D3826" s="5" t="s">
        <v>1913</v>
      </c>
      <c r="E3826" s="5" t="s">
        <v>1914</v>
      </c>
      <c r="F3826" s="5" t="s">
        <v>1914</v>
      </c>
      <c r="G3826" s="5"/>
      <c r="H3826" s="2" t="s">
        <v>694</v>
      </c>
      <c r="I3826" s="4">
        <v>1</v>
      </c>
      <c r="J3826" s="13">
        <v>710000000</v>
      </c>
      <c r="K3826" s="5" t="s">
        <v>89</v>
      </c>
      <c r="L3826" s="5" t="s">
        <v>90</v>
      </c>
      <c r="M3826" s="6" t="s">
        <v>696</v>
      </c>
      <c r="N3826" s="2"/>
      <c r="O3826" s="5" t="s">
        <v>697</v>
      </c>
      <c r="P3826" s="5" t="s">
        <v>1550</v>
      </c>
      <c r="Q3826" s="2"/>
      <c r="R3826" s="5"/>
      <c r="S3826" s="18"/>
      <c r="T3826" s="18"/>
      <c r="U3826" s="18">
        <f>8929+49393</f>
        <v>58322</v>
      </c>
      <c r="V3826" s="18">
        <f t="shared" si="2598"/>
        <v>65320.640000000007</v>
      </c>
      <c r="W3826" s="18" t="s">
        <v>1521</v>
      </c>
      <c r="X3826" s="2">
        <v>2016</v>
      </c>
      <c r="Y3826" s="15"/>
    </row>
    <row r="3827" spans="1:25" s="12" customFormat="1" ht="165.75" customHeight="1" x14ac:dyDescent="0.2">
      <c r="A3827" s="24"/>
      <c r="B3827" s="2" t="s">
        <v>1915</v>
      </c>
      <c r="C3827" s="5" t="s">
        <v>83</v>
      </c>
      <c r="D3827" s="5" t="s">
        <v>1916</v>
      </c>
      <c r="E3827" s="5" t="s">
        <v>1917</v>
      </c>
      <c r="F3827" s="5" t="s">
        <v>1917</v>
      </c>
      <c r="G3827" s="5" t="s">
        <v>1918</v>
      </c>
      <c r="H3827" s="2" t="s">
        <v>88</v>
      </c>
      <c r="I3827" s="4">
        <v>0.3</v>
      </c>
      <c r="J3827" s="13">
        <v>710000000</v>
      </c>
      <c r="K3827" s="5" t="s">
        <v>89</v>
      </c>
      <c r="L3827" s="5" t="s">
        <v>1466</v>
      </c>
      <c r="M3827" s="6" t="s">
        <v>696</v>
      </c>
      <c r="N3827" s="2"/>
      <c r="O3827" s="5" t="s">
        <v>697</v>
      </c>
      <c r="P3827" s="5" t="s">
        <v>1550</v>
      </c>
      <c r="Q3827" s="2"/>
      <c r="R3827" s="5"/>
      <c r="S3827" s="18"/>
      <c r="T3827" s="18"/>
      <c r="U3827" s="18">
        <v>0</v>
      </c>
      <c r="V3827" s="18">
        <f t="shared" si="2598"/>
        <v>0</v>
      </c>
      <c r="W3827" s="2" t="s">
        <v>1521</v>
      </c>
      <c r="X3827" s="2">
        <v>2016</v>
      </c>
      <c r="Y3827" s="15" t="s">
        <v>2030</v>
      </c>
    </row>
    <row r="3828" spans="1:25" s="12" customFormat="1" ht="165.75" customHeight="1" x14ac:dyDescent="0.25">
      <c r="B3828" s="2" t="s">
        <v>2032</v>
      </c>
      <c r="C3828" s="5" t="s">
        <v>83</v>
      </c>
      <c r="D3828" s="5" t="s">
        <v>1916</v>
      </c>
      <c r="E3828" s="5" t="s">
        <v>1917</v>
      </c>
      <c r="F3828" s="5" t="s">
        <v>1917</v>
      </c>
      <c r="G3828" s="5" t="s">
        <v>1918</v>
      </c>
      <c r="H3828" s="2" t="s">
        <v>694</v>
      </c>
      <c r="I3828" s="4">
        <v>0.3</v>
      </c>
      <c r="J3828" s="13">
        <v>710000000</v>
      </c>
      <c r="K3828" s="5" t="s">
        <v>89</v>
      </c>
      <c r="L3828" s="5" t="s">
        <v>1466</v>
      </c>
      <c r="M3828" s="6" t="s">
        <v>696</v>
      </c>
      <c r="N3828" s="2"/>
      <c r="O3828" s="5" t="s">
        <v>697</v>
      </c>
      <c r="P3828" s="5" t="s">
        <v>1550</v>
      </c>
      <c r="Q3828" s="2"/>
      <c r="R3828" s="5"/>
      <c r="S3828" s="18"/>
      <c r="T3828" s="18"/>
      <c r="U3828" s="18">
        <v>0</v>
      </c>
      <c r="V3828" s="18">
        <f t="shared" ref="V3828" si="2600">U3828*1.12</f>
        <v>0</v>
      </c>
      <c r="W3828" s="2" t="s">
        <v>1521</v>
      </c>
      <c r="X3828" s="2">
        <v>2016</v>
      </c>
      <c r="Y3828" s="15" t="s">
        <v>8482</v>
      </c>
    </row>
    <row r="3829" spans="1:25" s="12" customFormat="1" ht="165.75" customHeight="1" x14ac:dyDescent="0.25">
      <c r="B3829" s="2" t="s">
        <v>8888</v>
      </c>
      <c r="C3829" s="5" t="s">
        <v>83</v>
      </c>
      <c r="D3829" s="5" t="s">
        <v>1916</v>
      </c>
      <c r="E3829" s="5" t="s">
        <v>1917</v>
      </c>
      <c r="F3829" s="5" t="s">
        <v>1917</v>
      </c>
      <c r="G3829" s="5" t="s">
        <v>1918</v>
      </c>
      <c r="H3829" s="2" t="s">
        <v>694</v>
      </c>
      <c r="I3829" s="4">
        <v>0.3</v>
      </c>
      <c r="J3829" s="13">
        <v>710000000</v>
      </c>
      <c r="K3829" s="5" t="s">
        <v>89</v>
      </c>
      <c r="L3829" s="5" t="s">
        <v>8889</v>
      </c>
      <c r="M3829" s="6" t="s">
        <v>696</v>
      </c>
      <c r="N3829" s="2"/>
      <c r="O3829" s="5" t="s">
        <v>697</v>
      </c>
      <c r="P3829" s="5" t="s">
        <v>1550</v>
      </c>
      <c r="Q3829" s="2"/>
      <c r="R3829" s="5"/>
      <c r="S3829" s="18"/>
      <c r="T3829" s="18"/>
      <c r="U3829" s="18">
        <f>210000+200000</f>
        <v>410000</v>
      </c>
      <c r="V3829" s="18">
        <f t="shared" ref="V3829" si="2601">U3829*1.12</f>
        <v>459200.00000000006</v>
      </c>
      <c r="W3829" s="2"/>
      <c r="X3829" s="2">
        <v>2016</v>
      </c>
      <c r="Y3829" s="15"/>
    </row>
    <row r="3830" spans="1:25" s="12" customFormat="1" ht="38.25" customHeight="1" x14ac:dyDescent="0.25">
      <c r="B3830" s="2" t="s">
        <v>1919</v>
      </c>
      <c r="C3830" s="5" t="s">
        <v>83</v>
      </c>
      <c r="D3830" s="5" t="s">
        <v>1920</v>
      </c>
      <c r="E3830" s="5" t="s">
        <v>1921</v>
      </c>
      <c r="F3830" s="5" t="s">
        <v>1922</v>
      </c>
      <c r="G3830" s="17"/>
      <c r="H3830" s="2" t="s">
        <v>694</v>
      </c>
      <c r="I3830" s="4">
        <v>1</v>
      </c>
      <c r="J3830" s="13">
        <v>710000000</v>
      </c>
      <c r="K3830" s="5" t="s">
        <v>89</v>
      </c>
      <c r="L3830" s="5" t="s">
        <v>90</v>
      </c>
      <c r="M3830" s="5" t="s">
        <v>696</v>
      </c>
      <c r="N3830" s="2"/>
      <c r="O3830" s="5" t="s">
        <v>697</v>
      </c>
      <c r="P3830" s="5" t="s">
        <v>1550</v>
      </c>
      <c r="Q3830" s="2"/>
      <c r="R3830" s="5"/>
      <c r="S3830" s="18"/>
      <c r="T3830" s="18"/>
      <c r="U3830" s="18">
        <v>1803571.43</v>
      </c>
      <c r="V3830" s="18">
        <f t="shared" si="2598"/>
        <v>2020000.0016000001</v>
      </c>
      <c r="W3830" s="18" t="s">
        <v>1521</v>
      </c>
      <c r="X3830" s="2">
        <v>2016</v>
      </c>
      <c r="Y3830" s="15"/>
    </row>
    <row r="3831" spans="1:25" s="12" customFormat="1" ht="51" customHeight="1" x14ac:dyDescent="0.2">
      <c r="A3831" s="24"/>
      <c r="B3831" s="2" t="s">
        <v>1923</v>
      </c>
      <c r="C3831" s="5" t="s">
        <v>83</v>
      </c>
      <c r="D3831" s="5" t="s">
        <v>1924</v>
      </c>
      <c r="E3831" s="5" t="s">
        <v>1925</v>
      </c>
      <c r="F3831" s="5" t="s">
        <v>1925</v>
      </c>
      <c r="G3831" s="5"/>
      <c r="H3831" s="2" t="s">
        <v>765</v>
      </c>
      <c r="I3831" s="4">
        <v>0.5</v>
      </c>
      <c r="J3831" s="13">
        <v>710000000</v>
      </c>
      <c r="K3831" s="5" t="s">
        <v>89</v>
      </c>
      <c r="L3831" s="5" t="s">
        <v>90</v>
      </c>
      <c r="M3831" s="5" t="s">
        <v>696</v>
      </c>
      <c r="N3831" s="2"/>
      <c r="O3831" s="5" t="s">
        <v>697</v>
      </c>
      <c r="P3831" s="5" t="s">
        <v>1550</v>
      </c>
      <c r="Q3831" s="2"/>
      <c r="R3831" s="5"/>
      <c r="S3831" s="18"/>
      <c r="T3831" s="18"/>
      <c r="U3831" s="18">
        <v>0</v>
      </c>
      <c r="V3831" s="18">
        <f t="shared" si="2598"/>
        <v>0</v>
      </c>
      <c r="W3831" s="2" t="s">
        <v>1521</v>
      </c>
      <c r="X3831" s="2">
        <v>2016</v>
      </c>
      <c r="Y3831" s="15" t="s">
        <v>7521</v>
      </c>
    </row>
    <row r="3832" spans="1:25" s="12" customFormat="1" ht="51" customHeight="1" x14ac:dyDescent="0.25">
      <c r="B3832" s="2" t="s">
        <v>7507</v>
      </c>
      <c r="C3832" s="5" t="s">
        <v>83</v>
      </c>
      <c r="D3832" s="5" t="s">
        <v>1924</v>
      </c>
      <c r="E3832" s="5" t="s">
        <v>1925</v>
      </c>
      <c r="F3832" s="5" t="s">
        <v>1925</v>
      </c>
      <c r="G3832" s="5" t="s">
        <v>7520</v>
      </c>
      <c r="H3832" s="2" t="s">
        <v>765</v>
      </c>
      <c r="I3832" s="4">
        <v>0.5</v>
      </c>
      <c r="J3832" s="13">
        <v>710000000</v>
      </c>
      <c r="K3832" s="5" t="s">
        <v>89</v>
      </c>
      <c r="L3832" s="5" t="s">
        <v>754</v>
      </c>
      <c r="M3832" s="5" t="s">
        <v>696</v>
      </c>
      <c r="N3832" s="2"/>
      <c r="O3832" s="5" t="s">
        <v>697</v>
      </c>
      <c r="P3832" s="5" t="s">
        <v>1550</v>
      </c>
      <c r="Q3832" s="2"/>
      <c r="R3832" s="5"/>
      <c r="S3832" s="18"/>
      <c r="T3832" s="18"/>
      <c r="U3832" s="18">
        <v>2712857</v>
      </c>
      <c r="V3832" s="18">
        <f t="shared" ref="V3832" si="2602">U3832*1.12</f>
        <v>3038399.8400000003</v>
      </c>
      <c r="W3832" s="2" t="s">
        <v>1521</v>
      </c>
      <c r="X3832" s="2">
        <v>2016</v>
      </c>
      <c r="Y3832" s="15"/>
    </row>
    <row r="3833" spans="1:25" s="12" customFormat="1" ht="102" customHeight="1" x14ac:dyDescent="0.2">
      <c r="A3833" s="24"/>
      <c r="B3833" s="2" t="s">
        <v>1926</v>
      </c>
      <c r="C3833" s="5" t="s">
        <v>83</v>
      </c>
      <c r="D3833" s="5" t="s">
        <v>1927</v>
      </c>
      <c r="E3833" s="5" t="s">
        <v>1928</v>
      </c>
      <c r="F3833" s="5" t="s">
        <v>1928</v>
      </c>
      <c r="G3833" s="5" t="s">
        <v>1929</v>
      </c>
      <c r="H3833" s="2" t="s">
        <v>765</v>
      </c>
      <c r="I3833" s="4">
        <v>0.5</v>
      </c>
      <c r="J3833" s="13">
        <v>710000000</v>
      </c>
      <c r="K3833" s="5" t="s">
        <v>89</v>
      </c>
      <c r="L3833" s="5" t="s">
        <v>90</v>
      </c>
      <c r="M3833" s="5" t="s">
        <v>696</v>
      </c>
      <c r="N3833" s="2"/>
      <c r="O3833" s="5" t="s">
        <v>697</v>
      </c>
      <c r="P3833" s="5" t="s">
        <v>1550</v>
      </c>
      <c r="Q3833" s="2"/>
      <c r="R3833" s="5"/>
      <c r="S3833" s="18"/>
      <c r="T3833" s="18"/>
      <c r="U3833" s="18">
        <v>0</v>
      </c>
      <c r="V3833" s="18">
        <f t="shared" si="2598"/>
        <v>0</v>
      </c>
      <c r="W3833" s="18" t="s">
        <v>1521</v>
      </c>
      <c r="X3833" s="2">
        <v>2016</v>
      </c>
      <c r="Y3833" s="15" t="s">
        <v>7475</v>
      </c>
    </row>
    <row r="3834" spans="1:25" s="12" customFormat="1" ht="102" customHeight="1" x14ac:dyDescent="0.25">
      <c r="B3834" s="2" t="s">
        <v>7477</v>
      </c>
      <c r="C3834" s="5" t="s">
        <v>83</v>
      </c>
      <c r="D3834" s="5" t="s">
        <v>1927</v>
      </c>
      <c r="E3834" s="5" t="s">
        <v>1928</v>
      </c>
      <c r="F3834" s="5" t="s">
        <v>1928</v>
      </c>
      <c r="G3834" s="5" t="s">
        <v>1929</v>
      </c>
      <c r="H3834" s="2" t="s">
        <v>694</v>
      </c>
      <c r="I3834" s="4">
        <v>0.5</v>
      </c>
      <c r="J3834" s="13">
        <v>710000000</v>
      </c>
      <c r="K3834" s="5" t="s">
        <v>89</v>
      </c>
      <c r="L3834" s="5" t="s">
        <v>754</v>
      </c>
      <c r="M3834" s="5" t="s">
        <v>696</v>
      </c>
      <c r="N3834" s="2"/>
      <c r="O3834" s="5" t="s">
        <v>697</v>
      </c>
      <c r="P3834" s="5" t="s">
        <v>1550</v>
      </c>
      <c r="Q3834" s="2"/>
      <c r="R3834" s="5"/>
      <c r="S3834" s="18"/>
      <c r="T3834" s="18"/>
      <c r="U3834" s="18">
        <f>6250+6250+6250</f>
        <v>18750</v>
      </c>
      <c r="V3834" s="18">
        <f t="shared" ref="V3834" si="2603">U3834*1.12</f>
        <v>21000.000000000004</v>
      </c>
      <c r="W3834" s="18" t="s">
        <v>1521</v>
      </c>
      <c r="X3834" s="2">
        <v>2016</v>
      </c>
      <c r="Y3834" s="15"/>
    </row>
    <row r="3835" spans="1:25" s="12" customFormat="1" ht="63.75" customHeight="1" x14ac:dyDescent="0.2">
      <c r="A3835" s="24"/>
      <c r="B3835" s="2" t="s">
        <v>1930</v>
      </c>
      <c r="C3835" s="5" t="s">
        <v>83</v>
      </c>
      <c r="D3835" s="5" t="s">
        <v>1695</v>
      </c>
      <c r="E3835" s="5" t="s">
        <v>1696</v>
      </c>
      <c r="F3835" s="5" t="s">
        <v>1696</v>
      </c>
      <c r="G3835" s="5" t="s">
        <v>1931</v>
      </c>
      <c r="H3835" s="2" t="s">
        <v>765</v>
      </c>
      <c r="I3835" s="4">
        <v>0.5</v>
      </c>
      <c r="J3835" s="13">
        <v>710000000</v>
      </c>
      <c r="K3835" s="5" t="s">
        <v>89</v>
      </c>
      <c r="L3835" s="5" t="s">
        <v>90</v>
      </c>
      <c r="M3835" s="5" t="s">
        <v>696</v>
      </c>
      <c r="N3835" s="2"/>
      <c r="O3835" s="5" t="s">
        <v>697</v>
      </c>
      <c r="P3835" s="5" t="s">
        <v>1550</v>
      </c>
      <c r="Q3835" s="2"/>
      <c r="R3835" s="5"/>
      <c r="S3835" s="18"/>
      <c r="T3835" s="18"/>
      <c r="U3835" s="18">
        <v>0</v>
      </c>
      <c r="V3835" s="18">
        <f t="shared" si="2598"/>
        <v>0</v>
      </c>
      <c r="W3835" s="2" t="s">
        <v>1521</v>
      </c>
      <c r="X3835" s="2">
        <v>2016</v>
      </c>
      <c r="Y3835" s="15" t="s">
        <v>7475</v>
      </c>
    </row>
    <row r="3836" spans="1:25" s="12" customFormat="1" ht="63.75" customHeight="1" x14ac:dyDescent="0.25">
      <c r="B3836" s="2" t="s">
        <v>7496</v>
      </c>
      <c r="C3836" s="5" t="s">
        <v>83</v>
      </c>
      <c r="D3836" s="5" t="s">
        <v>1695</v>
      </c>
      <c r="E3836" s="5" t="s">
        <v>1696</v>
      </c>
      <c r="F3836" s="5" t="s">
        <v>1696</v>
      </c>
      <c r="G3836" s="5" t="s">
        <v>1931</v>
      </c>
      <c r="H3836" s="2" t="s">
        <v>694</v>
      </c>
      <c r="I3836" s="4">
        <v>0.5</v>
      </c>
      <c r="J3836" s="13">
        <v>710000000</v>
      </c>
      <c r="K3836" s="5" t="s">
        <v>89</v>
      </c>
      <c r="L3836" s="5" t="s">
        <v>754</v>
      </c>
      <c r="M3836" s="5" t="s">
        <v>696</v>
      </c>
      <c r="N3836" s="2"/>
      <c r="O3836" s="5" t="s">
        <v>697</v>
      </c>
      <c r="P3836" s="5" t="s">
        <v>1550</v>
      </c>
      <c r="Q3836" s="2"/>
      <c r="R3836" s="5"/>
      <c r="S3836" s="18"/>
      <c r="T3836" s="18"/>
      <c r="U3836" s="18">
        <f>84196+67411+25268</f>
        <v>176875</v>
      </c>
      <c r="V3836" s="18">
        <f t="shared" ref="V3836" si="2604">U3836*1.12</f>
        <v>198100.00000000003</v>
      </c>
      <c r="W3836" s="2" t="s">
        <v>1521</v>
      </c>
      <c r="X3836" s="2">
        <v>2016</v>
      </c>
      <c r="Y3836" s="15"/>
    </row>
    <row r="3837" spans="1:25" s="12" customFormat="1" ht="114.75" customHeight="1" x14ac:dyDescent="0.2">
      <c r="A3837" s="24"/>
      <c r="B3837" s="2" t="s">
        <v>1932</v>
      </c>
      <c r="C3837" s="5" t="s">
        <v>83</v>
      </c>
      <c r="D3837" s="5" t="s">
        <v>1933</v>
      </c>
      <c r="E3837" s="5" t="s">
        <v>1934</v>
      </c>
      <c r="F3837" s="5" t="s">
        <v>1934</v>
      </c>
      <c r="G3837" s="5" t="s">
        <v>1935</v>
      </c>
      <c r="H3837" s="2" t="s">
        <v>765</v>
      </c>
      <c r="I3837" s="4">
        <v>1</v>
      </c>
      <c r="J3837" s="13">
        <v>710000000</v>
      </c>
      <c r="K3837" s="5" t="s">
        <v>89</v>
      </c>
      <c r="L3837" s="5" t="s">
        <v>90</v>
      </c>
      <c r="M3837" s="6" t="s">
        <v>1481</v>
      </c>
      <c r="N3837" s="2"/>
      <c r="O3837" s="5" t="s">
        <v>697</v>
      </c>
      <c r="P3837" s="5" t="s">
        <v>1550</v>
      </c>
      <c r="Q3837" s="2"/>
      <c r="R3837" s="5"/>
      <c r="S3837" s="18"/>
      <c r="T3837" s="18"/>
      <c r="U3837" s="18">
        <v>0</v>
      </c>
      <c r="V3837" s="18">
        <f t="shared" ref="V3837:V3842" si="2605">U3837*1.12</f>
        <v>0</v>
      </c>
      <c r="W3837" s="18" t="s">
        <v>1521</v>
      </c>
      <c r="X3837" s="2">
        <v>2016</v>
      </c>
      <c r="Y3837" s="15" t="s">
        <v>1590</v>
      </c>
    </row>
    <row r="3838" spans="1:25" s="12" customFormat="1" ht="114.75" customHeight="1" x14ac:dyDescent="0.25">
      <c r="B3838" s="2" t="s">
        <v>7508</v>
      </c>
      <c r="C3838" s="5" t="s">
        <v>83</v>
      </c>
      <c r="D3838" s="5" t="s">
        <v>1933</v>
      </c>
      <c r="E3838" s="5" t="s">
        <v>1934</v>
      </c>
      <c r="F3838" s="5" t="s">
        <v>1934</v>
      </c>
      <c r="G3838" s="5" t="s">
        <v>1935</v>
      </c>
      <c r="H3838" s="2" t="s">
        <v>765</v>
      </c>
      <c r="I3838" s="4">
        <v>1</v>
      </c>
      <c r="J3838" s="13">
        <v>710000000</v>
      </c>
      <c r="K3838" s="5" t="s">
        <v>89</v>
      </c>
      <c r="L3838" s="5" t="s">
        <v>754</v>
      </c>
      <c r="M3838" s="6" t="s">
        <v>1481</v>
      </c>
      <c r="N3838" s="2"/>
      <c r="O3838" s="5" t="s">
        <v>697</v>
      </c>
      <c r="P3838" s="5" t="s">
        <v>1550</v>
      </c>
      <c r="Q3838" s="2"/>
      <c r="R3838" s="5"/>
      <c r="S3838" s="18"/>
      <c r="T3838" s="18"/>
      <c r="U3838" s="18">
        <v>0</v>
      </c>
      <c r="V3838" s="18">
        <f t="shared" si="2605"/>
        <v>0</v>
      </c>
      <c r="W3838" s="18" t="s">
        <v>1521</v>
      </c>
      <c r="X3838" s="2">
        <v>2016</v>
      </c>
      <c r="Y3838" s="15" t="s">
        <v>8999</v>
      </c>
    </row>
    <row r="3839" spans="1:25" s="12" customFormat="1" ht="114.75" customHeight="1" x14ac:dyDescent="0.25">
      <c r="B3839" s="2" t="s">
        <v>8874</v>
      </c>
      <c r="C3839" s="5" t="s">
        <v>83</v>
      </c>
      <c r="D3839" s="5" t="s">
        <v>1933</v>
      </c>
      <c r="E3839" s="5" t="s">
        <v>1934</v>
      </c>
      <c r="F3839" s="5" t="s">
        <v>1934</v>
      </c>
      <c r="G3839" s="5" t="s">
        <v>1935</v>
      </c>
      <c r="H3839" s="2" t="s">
        <v>765</v>
      </c>
      <c r="I3839" s="4">
        <v>1</v>
      </c>
      <c r="J3839" s="13">
        <v>710000000</v>
      </c>
      <c r="K3839" s="5" t="s">
        <v>89</v>
      </c>
      <c r="L3839" s="5" t="s">
        <v>8710</v>
      </c>
      <c r="M3839" s="6" t="s">
        <v>1481</v>
      </c>
      <c r="N3839" s="2"/>
      <c r="O3839" s="5" t="s">
        <v>697</v>
      </c>
      <c r="P3839" s="5" t="s">
        <v>1550</v>
      </c>
      <c r="Q3839" s="2"/>
      <c r="R3839" s="5"/>
      <c r="S3839" s="18"/>
      <c r="T3839" s="18"/>
      <c r="U3839" s="18">
        <v>2678571.4300000002</v>
      </c>
      <c r="V3839" s="18">
        <f t="shared" si="2605"/>
        <v>3000000.0016000005</v>
      </c>
      <c r="W3839" s="18"/>
      <c r="X3839" s="2">
        <v>2016</v>
      </c>
      <c r="Y3839" s="15"/>
    </row>
    <row r="3840" spans="1:25" s="12" customFormat="1" ht="51" customHeight="1" x14ac:dyDescent="0.2">
      <c r="A3840" s="24"/>
      <c r="B3840" s="2" t="s">
        <v>1936</v>
      </c>
      <c r="C3840" s="5" t="s">
        <v>83</v>
      </c>
      <c r="D3840" s="5" t="s">
        <v>1937</v>
      </c>
      <c r="E3840" s="5" t="s">
        <v>1938</v>
      </c>
      <c r="F3840" s="5" t="s">
        <v>1938</v>
      </c>
      <c r="G3840" s="5"/>
      <c r="H3840" s="2" t="s">
        <v>88</v>
      </c>
      <c r="I3840" s="4">
        <v>1</v>
      </c>
      <c r="J3840" s="13">
        <v>710000000</v>
      </c>
      <c r="K3840" s="5" t="s">
        <v>89</v>
      </c>
      <c r="L3840" s="5" t="s">
        <v>90</v>
      </c>
      <c r="M3840" s="6" t="s">
        <v>1939</v>
      </c>
      <c r="N3840" s="2"/>
      <c r="O3840" s="5" t="s">
        <v>697</v>
      </c>
      <c r="P3840" s="5" t="s">
        <v>1550</v>
      </c>
      <c r="Q3840" s="2"/>
      <c r="R3840" s="5"/>
      <c r="S3840" s="18"/>
      <c r="T3840" s="18"/>
      <c r="U3840" s="18">
        <v>0</v>
      </c>
      <c r="V3840" s="18">
        <f t="shared" si="2605"/>
        <v>0</v>
      </c>
      <c r="W3840" s="2" t="s">
        <v>1521</v>
      </c>
      <c r="X3840" s="2">
        <v>2016</v>
      </c>
      <c r="Y3840" s="15" t="s">
        <v>1590</v>
      </c>
    </row>
    <row r="3841" spans="1:25" s="12" customFormat="1" ht="51" customHeight="1" x14ac:dyDescent="0.2">
      <c r="A3841" s="24"/>
      <c r="B3841" s="2" t="s">
        <v>7668</v>
      </c>
      <c r="C3841" s="5" t="s">
        <v>83</v>
      </c>
      <c r="D3841" s="5" t="s">
        <v>1937</v>
      </c>
      <c r="E3841" s="5" t="s">
        <v>1938</v>
      </c>
      <c r="F3841" s="5" t="s">
        <v>1938</v>
      </c>
      <c r="G3841" s="5"/>
      <c r="H3841" s="2" t="s">
        <v>88</v>
      </c>
      <c r="I3841" s="4">
        <v>1</v>
      </c>
      <c r="J3841" s="13">
        <v>710000000</v>
      </c>
      <c r="K3841" s="5" t="s">
        <v>89</v>
      </c>
      <c r="L3841" s="5" t="s">
        <v>1735</v>
      </c>
      <c r="M3841" s="6" t="s">
        <v>1939</v>
      </c>
      <c r="N3841" s="2"/>
      <c r="O3841" s="5" t="s">
        <v>697</v>
      </c>
      <c r="P3841" s="5" t="s">
        <v>1550</v>
      </c>
      <c r="Q3841" s="2"/>
      <c r="R3841" s="5"/>
      <c r="S3841" s="18"/>
      <c r="T3841" s="18"/>
      <c r="U3841" s="18">
        <v>0</v>
      </c>
      <c r="V3841" s="18">
        <f t="shared" si="2605"/>
        <v>0</v>
      </c>
      <c r="W3841" s="2"/>
      <c r="X3841" s="2">
        <v>2016</v>
      </c>
      <c r="Y3841" s="15" t="s">
        <v>9322</v>
      </c>
    </row>
    <row r="3842" spans="1:25" s="12" customFormat="1" ht="51" customHeight="1" x14ac:dyDescent="0.25">
      <c r="B3842" s="2" t="s">
        <v>9323</v>
      </c>
      <c r="C3842" s="5" t="s">
        <v>83</v>
      </c>
      <c r="D3842" s="5" t="s">
        <v>1937</v>
      </c>
      <c r="E3842" s="5" t="s">
        <v>1938</v>
      </c>
      <c r="F3842" s="5" t="s">
        <v>1938</v>
      </c>
      <c r="G3842" s="5"/>
      <c r="H3842" s="2" t="s">
        <v>88</v>
      </c>
      <c r="I3842" s="4">
        <v>1</v>
      </c>
      <c r="J3842" s="13">
        <v>710000000</v>
      </c>
      <c r="K3842" s="5" t="s">
        <v>89</v>
      </c>
      <c r="L3842" s="5" t="s">
        <v>1730</v>
      </c>
      <c r="M3842" s="6" t="s">
        <v>1939</v>
      </c>
      <c r="N3842" s="2"/>
      <c r="O3842" s="5" t="s">
        <v>697</v>
      </c>
      <c r="P3842" s="5" t="s">
        <v>1550</v>
      </c>
      <c r="Q3842" s="2"/>
      <c r="R3842" s="5"/>
      <c r="S3842" s="18"/>
      <c r="T3842" s="18"/>
      <c r="U3842" s="18">
        <f>16614180+1842874+152000+747920</f>
        <v>19356974</v>
      </c>
      <c r="V3842" s="18">
        <f t="shared" si="2605"/>
        <v>21679810.880000003</v>
      </c>
      <c r="W3842" s="2"/>
      <c r="X3842" s="2">
        <v>2016</v>
      </c>
      <c r="Y3842" s="15"/>
    </row>
    <row r="3843" spans="1:25" s="12" customFormat="1" ht="51" customHeight="1" x14ac:dyDescent="0.2">
      <c r="A3843" s="24"/>
      <c r="B3843" s="2" t="s">
        <v>1940</v>
      </c>
      <c r="C3843" s="5" t="s">
        <v>83</v>
      </c>
      <c r="D3843" s="5" t="s">
        <v>1941</v>
      </c>
      <c r="E3843" s="5" t="s">
        <v>1942</v>
      </c>
      <c r="F3843" s="5" t="s">
        <v>1942</v>
      </c>
      <c r="G3843" s="5"/>
      <c r="H3843" s="5" t="s">
        <v>694</v>
      </c>
      <c r="I3843" s="4">
        <v>1</v>
      </c>
      <c r="J3843" s="13">
        <v>710000000</v>
      </c>
      <c r="K3843" s="5" t="s">
        <v>89</v>
      </c>
      <c r="L3843" s="5" t="s">
        <v>90</v>
      </c>
      <c r="M3843" s="6" t="s">
        <v>701</v>
      </c>
      <c r="N3843" s="2"/>
      <c r="O3843" s="5" t="s">
        <v>697</v>
      </c>
      <c r="P3843" s="5" t="s">
        <v>1550</v>
      </c>
      <c r="Q3843" s="2"/>
      <c r="R3843" s="5"/>
      <c r="S3843" s="18"/>
      <c r="T3843" s="18"/>
      <c r="U3843" s="18">
        <v>0</v>
      </c>
      <c r="V3843" s="18">
        <f t="shared" si="2589"/>
        <v>0</v>
      </c>
      <c r="W3843" s="18" t="s">
        <v>1521</v>
      </c>
      <c r="X3843" s="2">
        <v>2016</v>
      </c>
      <c r="Y3843" s="15" t="s">
        <v>7513</v>
      </c>
    </row>
    <row r="3844" spans="1:25" s="12" customFormat="1" ht="63.75" customHeight="1" x14ac:dyDescent="0.25">
      <c r="B3844" s="2" t="s">
        <v>7665</v>
      </c>
      <c r="C3844" s="5" t="s">
        <v>83</v>
      </c>
      <c r="D3844" s="5" t="s">
        <v>1941</v>
      </c>
      <c r="E3844" s="5" t="s">
        <v>1942</v>
      </c>
      <c r="F3844" s="5" t="s">
        <v>1942</v>
      </c>
      <c r="G3844" s="5"/>
      <c r="H3844" s="5" t="s">
        <v>694</v>
      </c>
      <c r="I3844" s="4">
        <v>1</v>
      </c>
      <c r="J3844" s="13">
        <v>710000000</v>
      </c>
      <c r="K3844" s="5" t="s">
        <v>89</v>
      </c>
      <c r="L3844" s="5" t="s">
        <v>754</v>
      </c>
      <c r="M3844" s="6" t="s">
        <v>701</v>
      </c>
      <c r="N3844" s="2"/>
      <c r="O3844" s="5" t="s">
        <v>697</v>
      </c>
      <c r="P3844" s="5" t="s">
        <v>1550</v>
      </c>
      <c r="Q3844" s="2"/>
      <c r="R3844" s="5"/>
      <c r="S3844" s="18"/>
      <c r="T3844" s="18"/>
      <c r="U3844" s="18">
        <f>346232-96033</f>
        <v>250199</v>
      </c>
      <c r="V3844" s="18">
        <f t="shared" ref="V3844" si="2606">U3844*1.12</f>
        <v>280222.88</v>
      </c>
      <c r="W3844" s="18" t="s">
        <v>1521</v>
      </c>
      <c r="X3844" s="2">
        <v>2016</v>
      </c>
      <c r="Y3844" s="15"/>
    </row>
    <row r="3845" spans="1:25" s="12" customFormat="1" ht="51" customHeight="1" x14ac:dyDescent="0.2">
      <c r="A3845" s="24"/>
      <c r="B3845" s="2" t="s">
        <v>1943</v>
      </c>
      <c r="C3845" s="5" t="s">
        <v>83</v>
      </c>
      <c r="D3845" s="5" t="s">
        <v>1941</v>
      </c>
      <c r="E3845" s="5" t="s">
        <v>1942</v>
      </c>
      <c r="F3845" s="5" t="s">
        <v>1942</v>
      </c>
      <c r="G3845" s="5" t="s">
        <v>1944</v>
      </c>
      <c r="H3845" s="5" t="s">
        <v>694</v>
      </c>
      <c r="I3845" s="4">
        <v>1</v>
      </c>
      <c r="J3845" s="13">
        <v>710000000</v>
      </c>
      <c r="K3845" s="5" t="s">
        <v>89</v>
      </c>
      <c r="L3845" s="5" t="s">
        <v>90</v>
      </c>
      <c r="M3845" s="5" t="s">
        <v>730</v>
      </c>
      <c r="N3845" s="2"/>
      <c r="O3845" s="5" t="s">
        <v>697</v>
      </c>
      <c r="P3845" s="5" t="s">
        <v>1550</v>
      </c>
      <c r="Q3845" s="2"/>
      <c r="R3845" s="5"/>
      <c r="S3845" s="18"/>
      <c r="T3845" s="18"/>
      <c r="U3845" s="18">
        <v>0</v>
      </c>
      <c r="V3845" s="18">
        <f>U3845*1.12</f>
        <v>0</v>
      </c>
      <c r="W3845" s="2" t="s">
        <v>1521</v>
      </c>
      <c r="X3845" s="2">
        <v>2016</v>
      </c>
      <c r="Y3845" s="15" t="s">
        <v>1590</v>
      </c>
    </row>
    <row r="3846" spans="1:25" s="12" customFormat="1" ht="51" customHeight="1" x14ac:dyDescent="0.25">
      <c r="B3846" s="2" t="s">
        <v>7669</v>
      </c>
      <c r="C3846" s="5" t="s">
        <v>83</v>
      </c>
      <c r="D3846" s="5" t="s">
        <v>1941</v>
      </c>
      <c r="E3846" s="5" t="s">
        <v>1942</v>
      </c>
      <c r="F3846" s="5" t="s">
        <v>1942</v>
      </c>
      <c r="G3846" s="5" t="s">
        <v>1944</v>
      </c>
      <c r="H3846" s="5" t="s">
        <v>694</v>
      </c>
      <c r="I3846" s="4">
        <v>1</v>
      </c>
      <c r="J3846" s="13">
        <v>710000000</v>
      </c>
      <c r="K3846" s="5" t="s">
        <v>89</v>
      </c>
      <c r="L3846" s="5" t="s">
        <v>754</v>
      </c>
      <c r="M3846" s="5" t="s">
        <v>730</v>
      </c>
      <c r="N3846" s="2"/>
      <c r="O3846" s="5" t="s">
        <v>697</v>
      </c>
      <c r="P3846" s="5" t="s">
        <v>1550</v>
      </c>
      <c r="Q3846" s="2"/>
      <c r="R3846" s="5"/>
      <c r="S3846" s="18"/>
      <c r="T3846" s="18"/>
      <c r="U3846" s="18">
        <f>505575+433350</f>
        <v>938925</v>
      </c>
      <c r="V3846" s="18">
        <f>U3846*1.12</f>
        <v>1051596</v>
      </c>
      <c r="W3846" s="2" t="s">
        <v>1521</v>
      </c>
      <c r="X3846" s="2">
        <v>2016</v>
      </c>
      <c r="Y3846" s="15"/>
    </row>
    <row r="3847" spans="1:25" s="12" customFormat="1" ht="51" customHeight="1" x14ac:dyDescent="0.2">
      <c r="A3847" s="24"/>
      <c r="B3847" s="2" t="s">
        <v>1945</v>
      </c>
      <c r="C3847" s="5" t="s">
        <v>83</v>
      </c>
      <c r="D3847" s="5" t="s">
        <v>1946</v>
      </c>
      <c r="E3847" s="5" t="s">
        <v>1947</v>
      </c>
      <c r="F3847" s="5" t="s">
        <v>1947</v>
      </c>
      <c r="G3847" s="5" t="s">
        <v>1948</v>
      </c>
      <c r="H3847" s="2" t="s">
        <v>765</v>
      </c>
      <c r="I3847" s="4">
        <v>1</v>
      </c>
      <c r="J3847" s="13">
        <v>710000000</v>
      </c>
      <c r="K3847" s="5" t="s">
        <v>89</v>
      </c>
      <c r="L3847" s="5" t="s">
        <v>1466</v>
      </c>
      <c r="M3847" s="6" t="s">
        <v>701</v>
      </c>
      <c r="N3847" s="2"/>
      <c r="O3847" s="7" t="s">
        <v>697</v>
      </c>
      <c r="P3847" s="5" t="s">
        <v>1550</v>
      </c>
      <c r="Q3847" s="2"/>
      <c r="R3847" s="5"/>
      <c r="S3847" s="18"/>
      <c r="T3847" s="18"/>
      <c r="U3847" s="18">
        <v>0</v>
      </c>
      <c r="V3847" s="18">
        <f t="shared" si="2589"/>
        <v>0</v>
      </c>
      <c r="W3847" s="18" t="s">
        <v>1521</v>
      </c>
      <c r="X3847" s="2">
        <v>2016</v>
      </c>
      <c r="Y3847" s="15" t="s">
        <v>1590</v>
      </c>
    </row>
    <row r="3848" spans="1:25" s="12" customFormat="1" ht="63.75" customHeight="1" x14ac:dyDescent="0.25">
      <c r="B3848" s="2" t="s">
        <v>7509</v>
      </c>
      <c r="C3848" s="5" t="s">
        <v>83</v>
      </c>
      <c r="D3848" s="5" t="s">
        <v>1946</v>
      </c>
      <c r="E3848" s="5" t="s">
        <v>1947</v>
      </c>
      <c r="F3848" s="5" t="s">
        <v>1947</v>
      </c>
      <c r="G3848" s="5" t="s">
        <v>1948</v>
      </c>
      <c r="H3848" s="2" t="s">
        <v>765</v>
      </c>
      <c r="I3848" s="4">
        <v>1</v>
      </c>
      <c r="J3848" s="13">
        <v>710000000</v>
      </c>
      <c r="K3848" s="5" t="s">
        <v>89</v>
      </c>
      <c r="L3848" s="5" t="s">
        <v>754</v>
      </c>
      <c r="M3848" s="6" t="s">
        <v>701</v>
      </c>
      <c r="N3848" s="2"/>
      <c r="O3848" s="7" t="s">
        <v>697</v>
      </c>
      <c r="P3848" s="5" t="s">
        <v>1550</v>
      </c>
      <c r="Q3848" s="2"/>
      <c r="R3848" s="5"/>
      <c r="S3848" s="18"/>
      <c r="T3848" s="18"/>
      <c r="U3848" s="18">
        <v>4287600</v>
      </c>
      <c r="V3848" s="18">
        <f t="shared" ref="V3848" si="2607">U3848*1.12</f>
        <v>4802112</v>
      </c>
      <c r="W3848" s="18" t="s">
        <v>1521</v>
      </c>
      <c r="X3848" s="2">
        <v>2016</v>
      </c>
      <c r="Y3848" s="15"/>
    </row>
    <row r="3849" spans="1:25" s="12" customFormat="1" ht="38.25" customHeight="1" x14ac:dyDescent="0.25">
      <c r="A3849" s="11"/>
      <c r="B3849" s="2" t="s">
        <v>1949</v>
      </c>
      <c r="C3849" s="5" t="s">
        <v>83</v>
      </c>
      <c r="D3849" s="5" t="s">
        <v>1950</v>
      </c>
      <c r="E3849" s="5" t="s">
        <v>1951</v>
      </c>
      <c r="F3849" s="5" t="s">
        <v>1952</v>
      </c>
      <c r="G3849" s="5"/>
      <c r="H3849" s="2" t="s">
        <v>694</v>
      </c>
      <c r="I3849" s="4">
        <v>1</v>
      </c>
      <c r="J3849" s="13">
        <v>710000000</v>
      </c>
      <c r="K3849" s="5" t="s">
        <v>89</v>
      </c>
      <c r="L3849" s="5" t="s">
        <v>1466</v>
      </c>
      <c r="M3849" s="5" t="s">
        <v>91</v>
      </c>
      <c r="N3849" s="5"/>
      <c r="O3849" s="7" t="s">
        <v>697</v>
      </c>
      <c r="P3849" s="5" t="s">
        <v>1550</v>
      </c>
      <c r="Q3849" s="5"/>
      <c r="R3849" s="5"/>
      <c r="S3849" s="17"/>
      <c r="T3849" s="17"/>
      <c r="U3849" s="17">
        <v>0</v>
      </c>
      <c r="V3849" s="17">
        <f t="shared" si="2589"/>
        <v>0</v>
      </c>
      <c r="W3849" s="2" t="s">
        <v>1521</v>
      </c>
      <c r="X3849" s="2">
        <v>2016</v>
      </c>
      <c r="Y3849" s="10">
        <v>11</v>
      </c>
    </row>
    <row r="3850" spans="1:25" s="12" customFormat="1" ht="38.25" customHeight="1" x14ac:dyDescent="0.25">
      <c r="A3850" s="11"/>
      <c r="B3850" s="2" t="s">
        <v>8405</v>
      </c>
      <c r="C3850" s="5" t="s">
        <v>83</v>
      </c>
      <c r="D3850" s="5" t="s">
        <v>1950</v>
      </c>
      <c r="E3850" s="5" t="s">
        <v>1951</v>
      </c>
      <c r="F3850" s="5" t="s">
        <v>1952</v>
      </c>
      <c r="G3850" s="5"/>
      <c r="H3850" s="2" t="s">
        <v>694</v>
      </c>
      <c r="I3850" s="4">
        <v>1</v>
      </c>
      <c r="J3850" s="13">
        <v>710000000</v>
      </c>
      <c r="K3850" s="5" t="s">
        <v>89</v>
      </c>
      <c r="L3850" s="5" t="s">
        <v>1735</v>
      </c>
      <c r="M3850" s="5" t="s">
        <v>91</v>
      </c>
      <c r="N3850" s="5"/>
      <c r="O3850" s="7" t="s">
        <v>697</v>
      </c>
      <c r="P3850" s="5" t="s">
        <v>1550</v>
      </c>
      <c r="Q3850" s="5"/>
      <c r="R3850" s="5"/>
      <c r="S3850" s="17"/>
      <c r="T3850" s="17"/>
      <c r="U3850" s="17">
        <v>0</v>
      </c>
      <c r="V3850" s="17">
        <f t="shared" ref="V3850" si="2608">U3850*1.12</f>
        <v>0</v>
      </c>
      <c r="W3850" s="2" t="s">
        <v>1521</v>
      </c>
      <c r="X3850" s="2">
        <v>2016</v>
      </c>
      <c r="Y3850" s="15" t="s">
        <v>8449</v>
      </c>
    </row>
    <row r="3851" spans="1:25" s="12" customFormat="1" ht="38.25" customHeight="1" x14ac:dyDescent="0.25">
      <c r="A3851" s="11"/>
      <c r="B3851" s="2" t="s">
        <v>8445</v>
      </c>
      <c r="C3851" s="5" t="s">
        <v>83</v>
      </c>
      <c r="D3851" s="5" t="s">
        <v>1950</v>
      </c>
      <c r="E3851" s="5" t="s">
        <v>1951</v>
      </c>
      <c r="F3851" s="5" t="s">
        <v>1952</v>
      </c>
      <c r="G3851" s="5" t="s">
        <v>8446</v>
      </c>
      <c r="H3851" s="2" t="s">
        <v>694</v>
      </c>
      <c r="I3851" s="4">
        <v>1</v>
      </c>
      <c r="J3851" s="13">
        <v>710000000</v>
      </c>
      <c r="K3851" s="5" t="s">
        <v>89</v>
      </c>
      <c r="L3851" s="5" t="s">
        <v>1735</v>
      </c>
      <c r="M3851" s="5" t="s">
        <v>91</v>
      </c>
      <c r="N3851" s="5"/>
      <c r="O3851" s="7" t="s">
        <v>697</v>
      </c>
      <c r="P3851" s="5" t="s">
        <v>1550</v>
      </c>
      <c r="Q3851" s="5"/>
      <c r="R3851" s="5"/>
      <c r="S3851" s="17"/>
      <c r="T3851" s="17"/>
      <c r="U3851" s="17">
        <v>445101</v>
      </c>
      <c r="V3851" s="17">
        <f t="shared" ref="V3851" si="2609">U3851*1.12</f>
        <v>498513.12000000005</v>
      </c>
      <c r="W3851" s="2"/>
      <c r="X3851" s="2">
        <v>2016</v>
      </c>
      <c r="Y3851" s="10"/>
    </row>
    <row r="3852" spans="1:25" s="12" customFormat="1" ht="51" customHeight="1" x14ac:dyDescent="0.25">
      <c r="B3852" s="2" t="s">
        <v>1953</v>
      </c>
      <c r="C3852" s="5" t="s">
        <v>83</v>
      </c>
      <c r="D3852" s="5" t="s">
        <v>1954</v>
      </c>
      <c r="E3852" s="5" t="s">
        <v>1955</v>
      </c>
      <c r="F3852" s="5" t="s">
        <v>1955</v>
      </c>
      <c r="G3852" s="5"/>
      <c r="H3852" s="2" t="s">
        <v>694</v>
      </c>
      <c r="I3852" s="4">
        <v>1</v>
      </c>
      <c r="J3852" s="13">
        <v>710000000</v>
      </c>
      <c r="K3852" s="5" t="s">
        <v>89</v>
      </c>
      <c r="L3852" s="5" t="s">
        <v>1466</v>
      </c>
      <c r="M3852" s="6" t="s">
        <v>701</v>
      </c>
      <c r="N3852" s="2"/>
      <c r="O3852" s="7" t="s">
        <v>697</v>
      </c>
      <c r="P3852" s="5" t="s">
        <v>1550</v>
      </c>
      <c r="Q3852" s="2"/>
      <c r="R3852" s="5"/>
      <c r="S3852" s="18"/>
      <c r="T3852" s="18"/>
      <c r="U3852" s="18">
        <v>118260</v>
      </c>
      <c r="V3852" s="18">
        <f t="shared" si="2589"/>
        <v>132451.20000000001</v>
      </c>
      <c r="W3852" s="18" t="s">
        <v>1521</v>
      </c>
      <c r="X3852" s="2">
        <v>2016</v>
      </c>
      <c r="Y3852" s="15"/>
    </row>
    <row r="3853" spans="1:25" s="11" customFormat="1" ht="63.75" customHeight="1" x14ac:dyDescent="0.2">
      <c r="A3853" s="24"/>
      <c r="B3853" s="2" t="s">
        <v>1956</v>
      </c>
      <c r="C3853" s="5" t="s">
        <v>83</v>
      </c>
      <c r="D3853" s="5" t="s">
        <v>1551</v>
      </c>
      <c r="E3853" s="5" t="s">
        <v>1552</v>
      </c>
      <c r="F3853" s="5" t="s">
        <v>1552</v>
      </c>
      <c r="G3853" s="5" t="s">
        <v>1957</v>
      </c>
      <c r="H3853" s="2" t="s">
        <v>694</v>
      </c>
      <c r="I3853" s="4">
        <v>1</v>
      </c>
      <c r="J3853" s="13">
        <v>710000000</v>
      </c>
      <c r="K3853" s="5" t="s">
        <v>89</v>
      </c>
      <c r="L3853" s="5" t="s">
        <v>1466</v>
      </c>
      <c r="M3853" s="6" t="s">
        <v>701</v>
      </c>
      <c r="N3853" s="2"/>
      <c r="O3853" s="7" t="s">
        <v>697</v>
      </c>
      <c r="P3853" s="5" t="s">
        <v>1550</v>
      </c>
      <c r="Q3853" s="2"/>
      <c r="R3853" s="5"/>
      <c r="S3853" s="18"/>
      <c r="T3853" s="18"/>
      <c r="U3853" s="18">
        <v>0</v>
      </c>
      <c r="V3853" s="18">
        <f t="shared" si="2589"/>
        <v>0</v>
      </c>
      <c r="W3853" s="2" t="s">
        <v>1521</v>
      </c>
      <c r="X3853" s="2">
        <v>2016</v>
      </c>
      <c r="Y3853" s="15" t="s">
        <v>7667</v>
      </c>
    </row>
    <row r="3854" spans="1:25" s="11" customFormat="1" ht="63.75" customHeight="1" x14ac:dyDescent="0.25">
      <c r="A3854" s="12"/>
      <c r="B3854" s="2" t="s">
        <v>7666</v>
      </c>
      <c r="C3854" s="5" t="s">
        <v>83</v>
      </c>
      <c r="D3854" s="5" t="s">
        <v>1551</v>
      </c>
      <c r="E3854" s="5" t="s">
        <v>1552</v>
      </c>
      <c r="F3854" s="5" t="s">
        <v>1552</v>
      </c>
      <c r="G3854" s="5" t="s">
        <v>1957</v>
      </c>
      <c r="H3854" s="2" t="s">
        <v>694</v>
      </c>
      <c r="I3854" s="4">
        <v>1</v>
      </c>
      <c r="J3854" s="13">
        <v>710000000</v>
      </c>
      <c r="K3854" s="5" t="s">
        <v>89</v>
      </c>
      <c r="L3854" s="5" t="s">
        <v>1466</v>
      </c>
      <c r="M3854" s="6" t="s">
        <v>701</v>
      </c>
      <c r="N3854" s="2"/>
      <c r="O3854" s="7" t="s">
        <v>697</v>
      </c>
      <c r="P3854" s="5" t="s">
        <v>1550</v>
      </c>
      <c r="Q3854" s="2"/>
      <c r="R3854" s="5"/>
      <c r="S3854" s="18"/>
      <c r="T3854" s="18"/>
      <c r="U3854" s="18">
        <v>560098</v>
      </c>
      <c r="V3854" s="18">
        <f t="shared" ref="V3854" si="2610">U3854*1.12</f>
        <v>627309.76</v>
      </c>
      <c r="W3854" s="2" t="s">
        <v>1521</v>
      </c>
      <c r="X3854" s="2">
        <v>2016</v>
      </c>
      <c r="Y3854" s="15"/>
    </row>
    <row r="3855" spans="1:25" s="12" customFormat="1" ht="63.75" customHeight="1" x14ac:dyDescent="0.25">
      <c r="B3855" s="2" t="s">
        <v>1958</v>
      </c>
      <c r="C3855" s="5" t="s">
        <v>83</v>
      </c>
      <c r="D3855" s="5" t="s">
        <v>1959</v>
      </c>
      <c r="E3855" s="5" t="s">
        <v>1960</v>
      </c>
      <c r="F3855" s="5" t="s">
        <v>1960</v>
      </c>
      <c r="G3855" s="5" t="s">
        <v>1961</v>
      </c>
      <c r="H3855" s="2" t="s">
        <v>694</v>
      </c>
      <c r="I3855" s="4">
        <v>1</v>
      </c>
      <c r="J3855" s="13">
        <v>710000000</v>
      </c>
      <c r="K3855" s="5" t="s">
        <v>89</v>
      </c>
      <c r="L3855" s="5" t="s">
        <v>90</v>
      </c>
      <c r="M3855" s="5" t="s">
        <v>728</v>
      </c>
      <c r="N3855" s="2"/>
      <c r="O3855" s="5" t="s">
        <v>697</v>
      </c>
      <c r="P3855" s="5" t="s">
        <v>1550</v>
      </c>
      <c r="Q3855" s="2"/>
      <c r="R3855" s="5"/>
      <c r="S3855" s="18"/>
      <c r="T3855" s="18"/>
      <c r="U3855" s="18">
        <f>642857.14+442500</f>
        <v>1085357.1400000001</v>
      </c>
      <c r="V3855" s="18">
        <f t="shared" si="2589"/>
        <v>1215599.9968000003</v>
      </c>
      <c r="W3855" s="18" t="s">
        <v>1521</v>
      </c>
      <c r="X3855" s="2">
        <v>2016</v>
      </c>
      <c r="Y3855" s="15"/>
    </row>
    <row r="3856" spans="1:25" s="12" customFormat="1" ht="51" customHeight="1" x14ac:dyDescent="0.25">
      <c r="B3856" s="2" t="s">
        <v>1962</v>
      </c>
      <c r="C3856" s="5" t="s">
        <v>83</v>
      </c>
      <c r="D3856" s="5" t="s">
        <v>1959</v>
      </c>
      <c r="E3856" s="5" t="s">
        <v>1960</v>
      </c>
      <c r="F3856" s="5" t="s">
        <v>1960</v>
      </c>
      <c r="G3856" s="5" t="s">
        <v>1963</v>
      </c>
      <c r="H3856" s="2" t="s">
        <v>694</v>
      </c>
      <c r="I3856" s="4">
        <v>1</v>
      </c>
      <c r="J3856" s="13">
        <v>710000000</v>
      </c>
      <c r="K3856" s="5" t="s">
        <v>89</v>
      </c>
      <c r="L3856" s="5" t="s">
        <v>90</v>
      </c>
      <c r="M3856" s="5" t="s">
        <v>728</v>
      </c>
      <c r="N3856" s="2"/>
      <c r="O3856" s="5" t="s">
        <v>697</v>
      </c>
      <c r="P3856" s="5" t="s">
        <v>1550</v>
      </c>
      <c r="Q3856" s="2"/>
      <c r="R3856" s="5"/>
      <c r="S3856" s="18"/>
      <c r="T3856" s="18"/>
      <c r="U3856" s="18">
        <v>68571.429999999993</v>
      </c>
      <c r="V3856" s="18">
        <f t="shared" si="2589"/>
        <v>76800.001600000003</v>
      </c>
      <c r="W3856" s="2" t="s">
        <v>1521</v>
      </c>
      <c r="X3856" s="2">
        <v>2016</v>
      </c>
      <c r="Y3856" s="15"/>
    </row>
    <row r="3857" spans="1:25" s="12" customFormat="1" ht="51" customHeight="1" x14ac:dyDescent="0.25">
      <c r="B3857" s="2" t="s">
        <v>1964</v>
      </c>
      <c r="C3857" s="5" t="s">
        <v>83</v>
      </c>
      <c r="D3857" s="5" t="s">
        <v>1965</v>
      </c>
      <c r="E3857" s="5" t="s">
        <v>1966</v>
      </c>
      <c r="F3857" s="5" t="s">
        <v>1966</v>
      </c>
      <c r="G3857" s="5" t="s">
        <v>1967</v>
      </c>
      <c r="H3857" s="5" t="s">
        <v>694</v>
      </c>
      <c r="I3857" s="4">
        <v>1</v>
      </c>
      <c r="J3857" s="13">
        <v>710000000</v>
      </c>
      <c r="K3857" s="5" t="s">
        <v>89</v>
      </c>
      <c r="L3857" s="5" t="s">
        <v>90</v>
      </c>
      <c r="M3857" s="5" t="s">
        <v>728</v>
      </c>
      <c r="N3857" s="2"/>
      <c r="O3857" s="5" t="s">
        <v>697</v>
      </c>
      <c r="P3857" s="5" t="s">
        <v>1550</v>
      </c>
      <c r="Q3857" s="2"/>
      <c r="R3857" s="5"/>
      <c r="S3857" s="18"/>
      <c r="T3857" s="18"/>
      <c r="U3857" s="18">
        <v>1737000</v>
      </c>
      <c r="V3857" s="18">
        <f>U3857*1.12</f>
        <v>1945440.0000000002</v>
      </c>
      <c r="W3857" s="18" t="s">
        <v>1521</v>
      </c>
      <c r="X3857" s="2">
        <v>2016</v>
      </c>
      <c r="Y3857" s="15"/>
    </row>
    <row r="3858" spans="1:25" s="12" customFormat="1" ht="51" customHeight="1" x14ac:dyDescent="0.25">
      <c r="B3858" s="2" t="s">
        <v>1968</v>
      </c>
      <c r="C3858" s="5" t="s">
        <v>83</v>
      </c>
      <c r="D3858" s="5" t="s">
        <v>1965</v>
      </c>
      <c r="E3858" s="5" t="s">
        <v>1966</v>
      </c>
      <c r="F3858" s="5" t="s">
        <v>1966</v>
      </c>
      <c r="G3858" s="5" t="s">
        <v>1967</v>
      </c>
      <c r="H3858" s="5" t="s">
        <v>694</v>
      </c>
      <c r="I3858" s="4">
        <v>1</v>
      </c>
      <c r="J3858" s="13">
        <v>710000000</v>
      </c>
      <c r="K3858" s="5" t="s">
        <v>89</v>
      </c>
      <c r="L3858" s="5" t="s">
        <v>90</v>
      </c>
      <c r="M3858" s="5" t="s">
        <v>730</v>
      </c>
      <c r="N3858" s="2"/>
      <c r="O3858" s="5" t="s">
        <v>697</v>
      </c>
      <c r="P3858" s="5" t="s">
        <v>1550</v>
      </c>
      <c r="Q3858" s="2"/>
      <c r="R3858" s="5"/>
      <c r="S3858" s="18"/>
      <c r="T3858" s="18"/>
      <c r="U3858" s="18">
        <f>570000+570000</f>
        <v>1140000</v>
      </c>
      <c r="V3858" s="18">
        <f>U3858*1.12</f>
        <v>1276800.0000000002</v>
      </c>
      <c r="W3858" s="2" t="s">
        <v>1521</v>
      </c>
      <c r="X3858" s="2">
        <v>2016</v>
      </c>
      <c r="Y3858" s="15"/>
    </row>
    <row r="3859" spans="1:25" s="12" customFormat="1" ht="51" customHeight="1" x14ac:dyDescent="0.25">
      <c r="B3859" s="2" t="s">
        <v>1969</v>
      </c>
      <c r="C3859" s="5" t="s">
        <v>83</v>
      </c>
      <c r="D3859" s="5" t="s">
        <v>1965</v>
      </c>
      <c r="E3859" s="5" t="s">
        <v>1966</v>
      </c>
      <c r="F3859" s="5" t="s">
        <v>1966</v>
      </c>
      <c r="G3859" s="5" t="s">
        <v>1970</v>
      </c>
      <c r="H3859" s="5" t="s">
        <v>694</v>
      </c>
      <c r="I3859" s="4">
        <v>1</v>
      </c>
      <c r="J3859" s="13">
        <v>710000000</v>
      </c>
      <c r="K3859" s="5" t="s">
        <v>89</v>
      </c>
      <c r="L3859" s="5" t="s">
        <v>90</v>
      </c>
      <c r="M3859" s="3" t="s">
        <v>689</v>
      </c>
      <c r="N3859" s="2"/>
      <c r="O3859" s="5" t="s">
        <v>697</v>
      </c>
      <c r="P3859" s="5" t="s">
        <v>1550</v>
      </c>
      <c r="Q3859" s="2"/>
      <c r="R3859" s="5"/>
      <c r="S3859" s="18"/>
      <c r="T3859" s="18"/>
      <c r="U3859" s="18">
        <v>485148</v>
      </c>
      <c r="V3859" s="18">
        <f t="shared" ref="V3859:V3864" si="2611">U3859*1.12</f>
        <v>543365.76</v>
      </c>
      <c r="W3859" s="18" t="s">
        <v>1521</v>
      </c>
      <c r="X3859" s="2">
        <v>2016</v>
      </c>
      <c r="Y3859" s="15"/>
    </row>
    <row r="3860" spans="1:25" s="12" customFormat="1" ht="51" customHeight="1" x14ac:dyDescent="0.25">
      <c r="B3860" s="2" t="s">
        <v>1971</v>
      </c>
      <c r="C3860" s="5" t="s">
        <v>83</v>
      </c>
      <c r="D3860" s="5" t="s">
        <v>1972</v>
      </c>
      <c r="E3860" s="5" t="s">
        <v>1973</v>
      </c>
      <c r="F3860" s="5" t="s">
        <v>1973</v>
      </c>
      <c r="G3860" s="5" t="s">
        <v>1974</v>
      </c>
      <c r="H3860" s="5" t="s">
        <v>694</v>
      </c>
      <c r="I3860" s="4">
        <v>1</v>
      </c>
      <c r="J3860" s="13">
        <v>710000000</v>
      </c>
      <c r="K3860" s="5" t="s">
        <v>89</v>
      </c>
      <c r="L3860" s="5" t="s">
        <v>90</v>
      </c>
      <c r="M3860" s="3" t="s">
        <v>689</v>
      </c>
      <c r="N3860" s="2"/>
      <c r="O3860" s="5" t="s">
        <v>697</v>
      </c>
      <c r="P3860" s="5" t="s">
        <v>1550</v>
      </c>
      <c r="Q3860" s="2"/>
      <c r="R3860" s="5"/>
      <c r="S3860" s="18"/>
      <c r="T3860" s="18"/>
      <c r="U3860" s="18">
        <v>475000</v>
      </c>
      <c r="V3860" s="18">
        <f t="shared" si="2611"/>
        <v>532000</v>
      </c>
      <c r="W3860" s="2" t="s">
        <v>1521</v>
      </c>
      <c r="X3860" s="2">
        <v>2016</v>
      </c>
      <c r="Y3860" s="15"/>
    </row>
    <row r="3861" spans="1:25" s="12" customFormat="1" ht="38.25" customHeight="1" x14ac:dyDescent="0.25">
      <c r="B3861" s="2" t="s">
        <v>1975</v>
      </c>
      <c r="C3861" s="5" t="s">
        <v>83</v>
      </c>
      <c r="D3861" s="5" t="s">
        <v>1976</v>
      </c>
      <c r="E3861" s="5" t="s">
        <v>1977</v>
      </c>
      <c r="F3861" s="5" t="s">
        <v>1977</v>
      </c>
      <c r="G3861" s="5" t="s">
        <v>1978</v>
      </c>
      <c r="H3861" s="5" t="s">
        <v>694</v>
      </c>
      <c r="I3861" s="4">
        <v>1</v>
      </c>
      <c r="J3861" s="13">
        <v>710000000</v>
      </c>
      <c r="K3861" s="5" t="s">
        <v>89</v>
      </c>
      <c r="L3861" s="5" t="s">
        <v>90</v>
      </c>
      <c r="M3861" s="3" t="s">
        <v>689</v>
      </c>
      <c r="N3861" s="2"/>
      <c r="O3861" s="5" t="s">
        <v>697</v>
      </c>
      <c r="P3861" s="5" t="s">
        <v>1550</v>
      </c>
      <c r="Q3861" s="2"/>
      <c r="R3861" s="5"/>
      <c r="S3861" s="18"/>
      <c r="T3861" s="18"/>
      <c r="U3861" s="18">
        <v>319320</v>
      </c>
      <c r="V3861" s="18">
        <f t="shared" si="2611"/>
        <v>357638.40000000002</v>
      </c>
      <c r="W3861" s="18" t="s">
        <v>1521</v>
      </c>
      <c r="X3861" s="2">
        <v>2016</v>
      </c>
      <c r="Y3861" s="15"/>
    </row>
    <row r="3862" spans="1:25" s="12" customFormat="1" ht="38.25" customHeight="1" x14ac:dyDescent="0.25">
      <c r="B3862" s="2" t="s">
        <v>1979</v>
      </c>
      <c r="C3862" s="5" t="s">
        <v>83</v>
      </c>
      <c r="D3862" s="5" t="s">
        <v>1980</v>
      </c>
      <c r="E3862" s="5" t="s">
        <v>1981</v>
      </c>
      <c r="F3862" s="5" t="s">
        <v>1981</v>
      </c>
      <c r="G3862" s="5" t="s">
        <v>1978</v>
      </c>
      <c r="H3862" s="5" t="s">
        <v>694</v>
      </c>
      <c r="I3862" s="4">
        <v>1</v>
      </c>
      <c r="J3862" s="13">
        <v>710000000</v>
      </c>
      <c r="K3862" s="5" t="s">
        <v>89</v>
      </c>
      <c r="L3862" s="5" t="s">
        <v>90</v>
      </c>
      <c r="M3862" s="3" t="s">
        <v>689</v>
      </c>
      <c r="N3862" s="2"/>
      <c r="O3862" s="5" t="s">
        <v>697</v>
      </c>
      <c r="P3862" s="5" t="s">
        <v>1550</v>
      </c>
      <c r="Q3862" s="2"/>
      <c r="R3862" s="5"/>
      <c r="S3862" s="18"/>
      <c r="T3862" s="18"/>
      <c r="U3862" s="18">
        <v>36000</v>
      </c>
      <c r="V3862" s="18">
        <f t="shared" si="2611"/>
        <v>40320.000000000007</v>
      </c>
      <c r="W3862" s="2" t="s">
        <v>1521</v>
      </c>
      <c r="X3862" s="2">
        <v>2016</v>
      </c>
      <c r="Y3862" s="15"/>
    </row>
    <row r="3863" spans="1:25" s="12" customFormat="1" ht="89.25" customHeight="1" x14ac:dyDescent="0.25">
      <c r="B3863" s="2" t="s">
        <v>1982</v>
      </c>
      <c r="C3863" s="5" t="s">
        <v>83</v>
      </c>
      <c r="D3863" s="5" t="s">
        <v>1983</v>
      </c>
      <c r="E3863" s="5" t="s">
        <v>1984</v>
      </c>
      <c r="F3863" s="5" t="s">
        <v>1985</v>
      </c>
      <c r="G3863" s="5" t="s">
        <v>1986</v>
      </c>
      <c r="H3863" s="2" t="s">
        <v>694</v>
      </c>
      <c r="I3863" s="4">
        <v>1</v>
      </c>
      <c r="J3863" s="13">
        <v>710000000</v>
      </c>
      <c r="K3863" s="5" t="s">
        <v>89</v>
      </c>
      <c r="L3863" s="5" t="s">
        <v>90</v>
      </c>
      <c r="M3863" s="3" t="s">
        <v>689</v>
      </c>
      <c r="N3863" s="2"/>
      <c r="O3863" s="5" t="s">
        <v>697</v>
      </c>
      <c r="P3863" s="5" t="s">
        <v>1550</v>
      </c>
      <c r="Q3863" s="2"/>
      <c r="R3863" s="5"/>
      <c r="S3863" s="18"/>
      <c r="T3863" s="18"/>
      <c r="U3863" s="18">
        <v>240000</v>
      </c>
      <c r="V3863" s="18">
        <f t="shared" si="2611"/>
        <v>268800</v>
      </c>
      <c r="W3863" s="18" t="s">
        <v>1521</v>
      </c>
      <c r="X3863" s="2">
        <v>2016</v>
      </c>
      <c r="Y3863" s="15"/>
    </row>
    <row r="3864" spans="1:25" s="12" customFormat="1" ht="165.75" customHeight="1" x14ac:dyDescent="0.25">
      <c r="B3864" s="2" t="s">
        <v>1987</v>
      </c>
      <c r="C3864" s="5" t="s">
        <v>83</v>
      </c>
      <c r="D3864" s="5" t="s">
        <v>1988</v>
      </c>
      <c r="E3864" s="5" t="s">
        <v>1989</v>
      </c>
      <c r="F3864" s="5" t="s">
        <v>1990</v>
      </c>
      <c r="G3864" s="5" t="s">
        <v>1978</v>
      </c>
      <c r="H3864" s="5" t="s">
        <v>694</v>
      </c>
      <c r="I3864" s="4">
        <v>1</v>
      </c>
      <c r="J3864" s="13">
        <v>710000000</v>
      </c>
      <c r="K3864" s="5" t="s">
        <v>89</v>
      </c>
      <c r="L3864" s="5" t="s">
        <v>90</v>
      </c>
      <c r="M3864" s="3" t="s">
        <v>689</v>
      </c>
      <c r="N3864" s="2"/>
      <c r="O3864" s="5" t="s">
        <v>697</v>
      </c>
      <c r="P3864" s="5" t="s">
        <v>1550</v>
      </c>
      <c r="Q3864" s="2"/>
      <c r="R3864" s="5"/>
      <c r="S3864" s="18"/>
      <c r="T3864" s="18"/>
      <c r="U3864" s="18">
        <v>480000</v>
      </c>
      <c r="V3864" s="18">
        <f t="shared" si="2611"/>
        <v>537600</v>
      </c>
      <c r="W3864" s="2" t="s">
        <v>1521</v>
      </c>
      <c r="X3864" s="2">
        <v>2016</v>
      </c>
      <c r="Y3864" s="15"/>
    </row>
    <row r="3865" spans="1:25" s="12" customFormat="1" ht="63.75" customHeight="1" x14ac:dyDescent="0.25">
      <c r="B3865" s="2" t="s">
        <v>1991</v>
      </c>
      <c r="C3865" s="5" t="s">
        <v>83</v>
      </c>
      <c r="D3865" s="5" t="s">
        <v>1992</v>
      </c>
      <c r="E3865" s="5" t="s">
        <v>1993</v>
      </c>
      <c r="F3865" s="5" t="s">
        <v>1993</v>
      </c>
      <c r="G3865" s="5" t="s">
        <v>1994</v>
      </c>
      <c r="H3865" s="2" t="s">
        <v>694</v>
      </c>
      <c r="I3865" s="4">
        <v>0.5</v>
      </c>
      <c r="J3865" s="13">
        <v>710000000</v>
      </c>
      <c r="K3865" s="5" t="s">
        <v>89</v>
      </c>
      <c r="L3865" s="5" t="s">
        <v>90</v>
      </c>
      <c r="M3865" s="6" t="s">
        <v>682</v>
      </c>
      <c r="N3865" s="2"/>
      <c r="O3865" s="5" t="s">
        <v>697</v>
      </c>
      <c r="P3865" s="5" t="s">
        <v>1550</v>
      </c>
      <c r="Q3865" s="2"/>
      <c r="R3865" s="5"/>
      <c r="S3865" s="18"/>
      <c r="T3865" s="18"/>
      <c r="U3865" s="18">
        <v>60000</v>
      </c>
      <c r="V3865" s="18">
        <f>U3865*1.12</f>
        <v>67200</v>
      </c>
      <c r="W3865" s="18" t="s">
        <v>1521</v>
      </c>
      <c r="X3865" s="2">
        <v>2016</v>
      </c>
      <c r="Y3865" s="15"/>
    </row>
    <row r="3866" spans="1:25" s="12" customFormat="1" ht="51" customHeight="1" x14ac:dyDescent="0.25">
      <c r="B3866" s="2" t="s">
        <v>1995</v>
      </c>
      <c r="C3866" s="5" t="s">
        <v>83</v>
      </c>
      <c r="D3866" s="5" t="s">
        <v>1996</v>
      </c>
      <c r="E3866" s="5" t="s">
        <v>1997</v>
      </c>
      <c r="F3866" s="5" t="s">
        <v>1997</v>
      </c>
      <c r="G3866" s="5"/>
      <c r="H3866" s="2" t="s">
        <v>694</v>
      </c>
      <c r="I3866" s="4">
        <v>1</v>
      </c>
      <c r="J3866" s="13">
        <v>710000000</v>
      </c>
      <c r="K3866" s="5" t="s">
        <v>89</v>
      </c>
      <c r="L3866" s="5" t="s">
        <v>90</v>
      </c>
      <c r="M3866" s="6" t="s">
        <v>714</v>
      </c>
      <c r="N3866" s="2"/>
      <c r="O3866" s="5" t="s">
        <v>697</v>
      </c>
      <c r="P3866" s="5" t="s">
        <v>1550</v>
      </c>
      <c r="Q3866" s="2"/>
      <c r="R3866" s="5"/>
      <c r="S3866" s="18"/>
      <c r="T3866" s="18"/>
      <c r="U3866" s="18">
        <v>94000</v>
      </c>
      <c r="V3866" s="18">
        <f t="shared" ref="V3866:V3867" si="2612">U3866*1.12</f>
        <v>105280.00000000001</v>
      </c>
      <c r="W3866" s="2" t="s">
        <v>1521</v>
      </c>
      <c r="X3866" s="2">
        <v>2016</v>
      </c>
      <c r="Y3866" s="15"/>
    </row>
    <row r="3867" spans="1:25" s="12" customFormat="1" ht="76.5" customHeight="1" x14ac:dyDescent="0.25">
      <c r="B3867" s="2" t="s">
        <v>1998</v>
      </c>
      <c r="C3867" s="5" t="s">
        <v>83</v>
      </c>
      <c r="D3867" s="5" t="s">
        <v>1999</v>
      </c>
      <c r="E3867" s="5" t="s">
        <v>2000</v>
      </c>
      <c r="F3867" s="5" t="s">
        <v>2000</v>
      </c>
      <c r="G3867" s="5"/>
      <c r="H3867" s="2" t="s">
        <v>88</v>
      </c>
      <c r="I3867" s="4">
        <v>0.3</v>
      </c>
      <c r="J3867" s="13">
        <v>710000000</v>
      </c>
      <c r="K3867" s="5" t="s">
        <v>89</v>
      </c>
      <c r="L3867" s="5" t="s">
        <v>90</v>
      </c>
      <c r="M3867" s="5" t="s">
        <v>714</v>
      </c>
      <c r="N3867" s="2"/>
      <c r="O3867" s="5" t="s">
        <v>697</v>
      </c>
      <c r="P3867" s="5" t="s">
        <v>1550</v>
      </c>
      <c r="Q3867" s="2"/>
      <c r="R3867" s="5"/>
      <c r="S3867" s="18"/>
      <c r="T3867" s="18"/>
      <c r="U3867" s="18">
        <v>1820000</v>
      </c>
      <c r="V3867" s="18">
        <f t="shared" si="2612"/>
        <v>2038400.0000000002</v>
      </c>
      <c r="W3867" s="18" t="s">
        <v>1521</v>
      </c>
      <c r="X3867" s="2">
        <v>2016</v>
      </c>
      <c r="Y3867" s="15"/>
    </row>
    <row r="3868" spans="1:25" s="12" customFormat="1" ht="102" customHeight="1" x14ac:dyDescent="0.2">
      <c r="A3868" s="24"/>
      <c r="B3868" s="2" t="s">
        <v>2001</v>
      </c>
      <c r="C3868" s="5" t="s">
        <v>83</v>
      </c>
      <c r="D3868" s="5" t="s">
        <v>2002</v>
      </c>
      <c r="E3868" s="5" t="s">
        <v>2003</v>
      </c>
      <c r="F3868" s="5" t="s">
        <v>2003</v>
      </c>
      <c r="G3868" s="5" t="s">
        <v>2004</v>
      </c>
      <c r="H3868" s="5" t="s">
        <v>694</v>
      </c>
      <c r="I3868" s="4">
        <v>0.5</v>
      </c>
      <c r="J3868" s="13">
        <v>710000000</v>
      </c>
      <c r="K3868" s="5" t="s">
        <v>89</v>
      </c>
      <c r="L3868" s="5" t="s">
        <v>90</v>
      </c>
      <c r="M3868" s="5" t="s">
        <v>714</v>
      </c>
      <c r="N3868" s="2"/>
      <c r="O3868" s="5" t="s">
        <v>697</v>
      </c>
      <c r="P3868" s="5" t="s">
        <v>1550</v>
      </c>
      <c r="Q3868" s="2"/>
      <c r="R3868" s="5"/>
      <c r="S3868" s="18"/>
      <c r="T3868" s="18"/>
      <c r="U3868" s="18">
        <v>0</v>
      </c>
      <c r="V3868" s="18">
        <f>U3868*1.12</f>
        <v>0</v>
      </c>
      <c r="W3868" s="2" t="s">
        <v>1521</v>
      </c>
      <c r="X3868" s="2">
        <v>2016</v>
      </c>
      <c r="Y3868" s="15" t="s">
        <v>1590</v>
      </c>
    </row>
    <row r="3869" spans="1:25" s="12" customFormat="1" ht="102" customHeight="1" x14ac:dyDescent="0.25">
      <c r="B3869" s="2" t="s">
        <v>7676</v>
      </c>
      <c r="C3869" s="5" t="s">
        <v>83</v>
      </c>
      <c r="D3869" s="5" t="s">
        <v>2002</v>
      </c>
      <c r="E3869" s="5" t="s">
        <v>2003</v>
      </c>
      <c r="F3869" s="5" t="s">
        <v>2003</v>
      </c>
      <c r="G3869" s="5" t="s">
        <v>2004</v>
      </c>
      <c r="H3869" s="5" t="s">
        <v>694</v>
      </c>
      <c r="I3869" s="4">
        <v>0.5</v>
      </c>
      <c r="J3869" s="13">
        <v>710000000</v>
      </c>
      <c r="K3869" s="5" t="s">
        <v>89</v>
      </c>
      <c r="L3869" s="5" t="s">
        <v>754</v>
      </c>
      <c r="M3869" s="5" t="s">
        <v>714</v>
      </c>
      <c r="N3869" s="2"/>
      <c r="O3869" s="5" t="s">
        <v>697</v>
      </c>
      <c r="P3869" s="5" t="s">
        <v>1550</v>
      </c>
      <c r="Q3869" s="2"/>
      <c r="R3869" s="5"/>
      <c r="S3869" s="18"/>
      <c r="T3869" s="18"/>
      <c r="U3869" s="18">
        <v>1800000</v>
      </c>
      <c r="V3869" s="18">
        <f>U3869*1.12</f>
        <v>2016000.0000000002</v>
      </c>
      <c r="W3869" s="2" t="s">
        <v>1521</v>
      </c>
      <c r="X3869" s="2">
        <v>2016</v>
      </c>
      <c r="Y3869" s="15"/>
    </row>
    <row r="3870" spans="1:25" s="12" customFormat="1" ht="127.5" customHeight="1" x14ac:dyDescent="0.2">
      <c r="A3870" s="24"/>
      <c r="B3870" s="2" t="s">
        <v>2005</v>
      </c>
      <c r="C3870" s="5" t="s">
        <v>83</v>
      </c>
      <c r="D3870" s="5" t="s">
        <v>2006</v>
      </c>
      <c r="E3870" s="5" t="s">
        <v>2007</v>
      </c>
      <c r="F3870" s="5" t="s">
        <v>2007</v>
      </c>
      <c r="G3870" s="5" t="s">
        <v>2008</v>
      </c>
      <c r="H3870" s="2" t="s">
        <v>765</v>
      </c>
      <c r="I3870" s="4">
        <v>1</v>
      </c>
      <c r="J3870" s="13">
        <v>710000000</v>
      </c>
      <c r="K3870" s="5" t="s">
        <v>89</v>
      </c>
      <c r="L3870" s="5" t="s">
        <v>90</v>
      </c>
      <c r="M3870" s="6" t="s">
        <v>703</v>
      </c>
      <c r="N3870" s="2"/>
      <c r="O3870" s="5" t="s">
        <v>697</v>
      </c>
      <c r="P3870" s="5" t="s">
        <v>1550</v>
      </c>
      <c r="Q3870" s="2"/>
      <c r="R3870" s="5"/>
      <c r="S3870" s="18"/>
      <c r="T3870" s="18"/>
      <c r="U3870" s="18">
        <v>0</v>
      </c>
      <c r="V3870" s="18">
        <f t="shared" ref="V3870" si="2613">U3870*1.12</f>
        <v>0</v>
      </c>
      <c r="W3870" s="18" t="s">
        <v>1521</v>
      </c>
      <c r="X3870" s="2">
        <v>2016</v>
      </c>
      <c r="Y3870" s="15" t="s">
        <v>7475</v>
      </c>
    </row>
    <row r="3871" spans="1:25" s="12" customFormat="1" ht="127.5" customHeight="1" x14ac:dyDescent="0.25">
      <c r="B3871" s="2" t="s">
        <v>7510</v>
      </c>
      <c r="C3871" s="5" t="s">
        <v>83</v>
      </c>
      <c r="D3871" s="5" t="s">
        <v>2006</v>
      </c>
      <c r="E3871" s="5" t="s">
        <v>2007</v>
      </c>
      <c r="F3871" s="5" t="s">
        <v>2007</v>
      </c>
      <c r="G3871" s="5" t="s">
        <v>2008</v>
      </c>
      <c r="H3871" s="2" t="s">
        <v>694</v>
      </c>
      <c r="I3871" s="4">
        <v>1</v>
      </c>
      <c r="J3871" s="13">
        <v>710000000</v>
      </c>
      <c r="K3871" s="5" t="s">
        <v>89</v>
      </c>
      <c r="L3871" s="5" t="s">
        <v>754</v>
      </c>
      <c r="M3871" s="6" t="s">
        <v>703</v>
      </c>
      <c r="N3871" s="2"/>
      <c r="O3871" s="5" t="s">
        <v>697</v>
      </c>
      <c r="P3871" s="5" t="s">
        <v>1550</v>
      </c>
      <c r="Q3871" s="2"/>
      <c r="R3871" s="5"/>
      <c r="S3871" s="18"/>
      <c r="T3871" s="18"/>
      <c r="U3871" s="18">
        <f>912000+332000</f>
        <v>1244000</v>
      </c>
      <c r="V3871" s="18">
        <f t="shared" ref="V3871" si="2614">U3871*1.12</f>
        <v>1393280.0000000002</v>
      </c>
      <c r="W3871" s="18" t="s">
        <v>1521</v>
      </c>
      <c r="X3871" s="2">
        <v>2016</v>
      </c>
      <c r="Y3871" s="15"/>
    </row>
    <row r="3872" spans="1:25" s="12" customFormat="1" ht="63.75" customHeight="1" x14ac:dyDescent="0.25">
      <c r="B3872" s="2" t="s">
        <v>2009</v>
      </c>
      <c r="C3872" s="5" t="s">
        <v>83</v>
      </c>
      <c r="D3872" s="5" t="s">
        <v>1661</v>
      </c>
      <c r="E3872" s="5" t="s">
        <v>1662</v>
      </c>
      <c r="F3872" s="5" t="s">
        <v>1662</v>
      </c>
      <c r="G3872" s="5" t="s">
        <v>2010</v>
      </c>
      <c r="H3872" s="5" t="s">
        <v>694</v>
      </c>
      <c r="I3872" s="4">
        <v>0.5</v>
      </c>
      <c r="J3872" s="13">
        <v>710000000</v>
      </c>
      <c r="K3872" s="5" t="s">
        <v>89</v>
      </c>
      <c r="L3872" s="5" t="s">
        <v>90</v>
      </c>
      <c r="M3872" s="5" t="s">
        <v>696</v>
      </c>
      <c r="N3872" s="2"/>
      <c r="O3872" s="5" t="s">
        <v>697</v>
      </c>
      <c r="P3872" s="5" t="s">
        <v>1550</v>
      </c>
      <c r="Q3872" s="2"/>
      <c r="R3872" s="5"/>
      <c r="S3872" s="18"/>
      <c r="T3872" s="18"/>
      <c r="U3872" s="18">
        <v>771428.57</v>
      </c>
      <c r="V3872" s="18">
        <f>U3872*1.12</f>
        <v>863999.99840000004</v>
      </c>
      <c r="W3872" s="2" t="s">
        <v>1521</v>
      </c>
      <c r="X3872" s="2">
        <v>2016</v>
      </c>
      <c r="Y3872" s="15"/>
    </row>
    <row r="3873" spans="1:25" s="12" customFormat="1" ht="63.75" customHeight="1" x14ac:dyDescent="0.25">
      <c r="B3873" s="2" t="s">
        <v>2011</v>
      </c>
      <c r="C3873" s="5" t="s">
        <v>83</v>
      </c>
      <c r="D3873" s="5" t="s">
        <v>1661</v>
      </c>
      <c r="E3873" s="5" t="s">
        <v>1662</v>
      </c>
      <c r="F3873" s="5" t="s">
        <v>1662</v>
      </c>
      <c r="G3873" s="5" t="s">
        <v>2012</v>
      </c>
      <c r="H3873" s="2" t="s">
        <v>694</v>
      </c>
      <c r="I3873" s="4">
        <v>1</v>
      </c>
      <c r="J3873" s="13">
        <v>710000000</v>
      </c>
      <c r="K3873" s="5" t="s">
        <v>89</v>
      </c>
      <c r="L3873" s="5" t="s">
        <v>90</v>
      </c>
      <c r="M3873" s="6" t="s">
        <v>696</v>
      </c>
      <c r="N3873" s="2"/>
      <c r="O3873" s="5" t="s">
        <v>697</v>
      </c>
      <c r="P3873" s="5" t="s">
        <v>1550</v>
      </c>
      <c r="Q3873" s="2"/>
      <c r="R3873" s="5"/>
      <c r="S3873" s="18"/>
      <c r="T3873" s="18"/>
      <c r="U3873" s="18">
        <v>1482267.86</v>
      </c>
      <c r="V3873" s="18">
        <f t="shared" ref="V3873" si="2615">U3873*1.12</f>
        <v>1660140.0032000004</v>
      </c>
      <c r="W3873" s="18" t="s">
        <v>1521</v>
      </c>
      <c r="X3873" s="2">
        <v>2016</v>
      </c>
      <c r="Y3873" s="15"/>
    </row>
    <row r="3874" spans="1:25" s="12" customFormat="1" ht="102" customHeight="1" x14ac:dyDescent="0.25">
      <c r="B3874" s="2" t="s">
        <v>2015</v>
      </c>
      <c r="C3874" s="5" t="s">
        <v>83</v>
      </c>
      <c r="D3874" s="5" t="s">
        <v>1602</v>
      </c>
      <c r="E3874" s="5" t="s">
        <v>1603</v>
      </c>
      <c r="F3874" s="5" t="s">
        <v>1603</v>
      </c>
      <c r="G3874" s="5" t="s">
        <v>2017</v>
      </c>
      <c r="H3874" s="5" t="s">
        <v>88</v>
      </c>
      <c r="I3874" s="4">
        <v>1</v>
      </c>
      <c r="J3874" s="13">
        <v>710000000</v>
      </c>
      <c r="K3874" s="5" t="s">
        <v>89</v>
      </c>
      <c r="L3874" s="5" t="s">
        <v>90</v>
      </c>
      <c r="M3874" s="5" t="s">
        <v>696</v>
      </c>
      <c r="N3874" s="2"/>
      <c r="O3874" s="5" t="s">
        <v>2018</v>
      </c>
      <c r="P3874" s="5" t="s">
        <v>1550</v>
      </c>
      <c r="Q3874" s="2"/>
      <c r="R3874" s="5"/>
      <c r="S3874" s="18"/>
      <c r="T3874" s="18"/>
      <c r="U3874" s="18">
        <v>0</v>
      </c>
      <c r="V3874" s="18">
        <v>0</v>
      </c>
      <c r="W3874" s="2" t="s">
        <v>1521</v>
      </c>
      <c r="X3874" s="2">
        <v>2016</v>
      </c>
      <c r="Y3874" s="15" t="s">
        <v>8412</v>
      </c>
    </row>
    <row r="3875" spans="1:25" s="12" customFormat="1" ht="102" customHeight="1" x14ac:dyDescent="0.25">
      <c r="B3875" s="2" t="s">
        <v>8437</v>
      </c>
      <c r="C3875" s="5" t="s">
        <v>83</v>
      </c>
      <c r="D3875" s="5" t="s">
        <v>1602</v>
      </c>
      <c r="E3875" s="5" t="s">
        <v>1603</v>
      </c>
      <c r="F3875" s="5" t="s">
        <v>1603</v>
      </c>
      <c r="G3875" s="5" t="s">
        <v>8415</v>
      </c>
      <c r="H3875" s="5" t="s">
        <v>88</v>
      </c>
      <c r="I3875" s="4">
        <v>1</v>
      </c>
      <c r="J3875" s="13">
        <v>710000000</v>
      </c>
      <c r="K3875" s="5" t="s">
        <v>89</v>
      </c>
      <c r="L3875" s="5" t="s">
        <v>90</v>
      </c>
      <c r="M3875" s="5" t="s">
        <v>696</v>
      </c>
      <c r="N3875" s="2"/>
      <c r="O3875" s="5" t="s">
        <v>2018</v>
      </c>
      <c r="P3875" s="5" t="s">
        <v>1550</v>
      </c>
      <c r="Q3875" s="2"/>
      <c r="R3875" s="5"/>
      <c r="S3875" s="18"/>
      <c r="T3875" s="18"/>
      <c r="U3875" s="18">
        <v>10306957</v>
      </c>
      <c r="V3875" s="18">
        <v>11543791.840000002</v>
      </c>
      <c r="W3875" s="2" t="s">
        <v>1521</v>
      </c>
      <c r="X3875" s="2">
        <v>2016</v>
      </c>
      <c r="Y3875" s="15"/>
    </row>
    <row r="3876" spans="1:25" s="12" customFormat="1" ht="102" customHeight="1" x14ac:dyDescent="0.25">
      <c r="B3876" s="2" t="s">
        <v>2016</v>
      </c>
      <c r="C3876" s="5" t="s">
        <v>83</v>
      </c>
      <c r="D3876" s="5" t="s">
        <v>1602</v>
      </c>
      <c r="E3876" s="5" t="s">
        <v>1603</v>
      </c>
      <c r="F3876" s="5" t="s">
        <v>1603</v>
      </c>
      <c r="G3876" s="5" t="s">
        <v>2019</v>
      </c>
      <c r="H3876" s="5" t="s">
        <v>88</v>
      </c>
      <c r="I3876" s="4">
        <v>1</v>
      </c>
      <c r="J3876" s="13">
        <v>710000000</v>
      </c>
      <c r="K3876" s="5" t="s">
        <v>89</v>
      </c>
      <c r="L3876" s="5" t="s">
        <v>90</v>
      </c>
      <c r="M3876" s="5" t="s">
        <v>696</v>
      </c>
      <c r="N3876" s="2"/>
      <c r="O3876" s="5" t="s">
        <v>2018</v>
      </c>
      <c r="P3876" s="5" t="s">
        <v>1550</v>
      </c>
      <c r="Q3876" s="2"/>
      <c r="R3876" s="5"/>
      <c r="S3876" s="18"/>
      <c r="T3876" s="18"/>
      <c r="U3876" s="18">
        <v>21560000</v>
      </c>
      <c r="V3876" s="18">
        <v>24147200.000000004</v>
      </c>
      <c r="W3876" s="18" t="s">
        <v>1521</v>
      </c>
      <c r="X3876" s="2">
        <v>2016</v>
      </c>
      <c r="Y3876" s="15"/>
    </row>
    <row r="3877" spans="1:25" s="12" customFormat="1" ht="63.75" customHeight="1" x14ac:dyDescent="0.25">
      <c r="B3877" s="2" t="s">
        <v>2330</v>
      </c>
      <c r="C3877" s="5" t="s">
        <v>83</v>
      </c>
      <c r="D3877" s="5" t="s">
        <v>2328</v>
      </c>
      <c r="E3877" s="5" t="s">
        <v>2329</v>
      </c>
      <c r="F3877" s="5" t="s">
        <v>2329</v>
      </c>
      <c r="G3877" s="5" t="s">
        <v>2331</v>
      </c>
      <c r="H3877" s="5" t="s">
        <v>694</v>
      </c>
      <c r="I3877" s="4">
        <v>1</v>
      </c>
      <c r="J3877" s="13">
        <v>710000000</v>
      </c>
      <c r="K3877" s="5" t="s">
        <v>89</v>
      </c>
      <c r="L3877" s="5" t="s">
        <v>1466</v>
      </c>
      <c r="M3877" s="6" t="s">
        <v>701</v>
      </c>
      <c r="N3877" s="2"/>
      <c r="O3877" s="5" t="s">
        <v>2018</v>
      </c>
      <c r="P3877" s="5" t="s">
        <v>1550</v>
      </c>
      <c r="Q3877" s="2"/>
      <c r="R3877" s="5"/>
      <c r="S3877" s="18"/>
      <c r="T3877" s="18"/>
      <c r="U3877" s="18">
        <v>1803111</v>
      </c>
      <c r="V3877" s="18">
        <f>U3877*1.12</f>
        <v>2019484.3200000003</v>
      </c>
      <c r="W3877" s="18" t="s">
        <v>1521</v>
      </c>
      <c r="X3877" s="2">
        <v>2016</v>
      </c>
      <c r="Y3877" s="15"/>
    </row>
    <row r="3878" spans="1:25" s="12" customFormat="1" ht="76.5" customHeight="1" x14ac:dyDescent="0.25">
      <c r="B3878" s="2" t="s">
        <v>7471</v>
      </c>
      <c r="C3878" s="5" t="s">
        <v>83</v>
      </c>
      <c r="D3878" s="5" t="s">
        <v>1587</v>
      </c>
      <c r="E3878" s="5" t="s">
        <v>1588</v>
      </c>
      <c r="F3878" s="5" t="s">
        <v>1588</v>
      </c>
      <c r="G3878" s="5" t="s">
        <v>7472</v>
      </c>
      <c r="H3878" s="5" t="s">
        <v>88</v>
      </c>
      <c r="I3878" s="4">
        <v>1</v>
      </c>
      <c r="J3878" s="13">
        <v>710000000</v>
      </c>
      <c r="K3878" s="5" t="s">
        <v>89</v>
      </c>
      <c r="L3878" s="5" t="s">
        <v>754</v>
      </c>
      <c r="M3878" s="6" t="s">
        <v>701</v>
      </c>
      <c r="N3878" s="2"/>
      <c r="O3878" s="5" t="s">
        <v>2018</v>
      </c>
      <c r="P3878" s="5" t="s">
        <v>1550</v>
      </c>
      <c r="Q3878" s="2"/>
      <c r="R3878" s="5"/>
      <c r="S3878" s="18"/>
      <c r="T3878" s="18"/>
      <c r="U3878" s="18">
        <v>701595</v>
      </c>
      <c r="V3878" s="18">
        <f>U3878*1.12</f>
        <v>785786.4</v>
      </c>
      <c r="W3878" s="18" t="s">
        <v>1521</v>
      </c>
      <c r="X3878" s="2">
        <v>2016</v>
      </c>
      <c r="Y3878" s="15"/>
    </row>
    <row r="3879" spans="1:25" s="12" customFormat="1" ht="63.75" customHeight="1" x14ac:dyDescent="0.25">
      <c r="B3879" s="2" t="s">
        <v>7672</v>
      </c>
      <c r="C3879" s="5" t="s">
        <v>83</v>
      </c>
      <c r="D3879" s="5" t="s">
        <v>7673</v>
      </c>
      <c r="E3879" s="5" t="s">
        <v>7674</v>
      </c>
      <c r="F3879" s="5" t="s">
        <v>7674</v>
      </c>
      <c r="G3879" s="5"/>
      <c r="H3879" s="5" t="s">
        <v>694</v>
      </c>
      <c r="I3879" s="4">
        <v>1</v>
      </c>
      <c r="J3879" s="13">
        <v>710000000</v>
      </c>
      <c r="K3879" s="5" t="s">
        <v>89</v>
      </c>
      <c r="L3879" s="5" t="s">
        <v>754</v>
      </c>
      <c r="M3879" s="6" t="s">
        <v>696</v>
      </c>
      <c r="N3879" s="2"/>
      <c r="O3879" s="5" t="s">
        <v>2018</v>
      </c>
      <c r="P3879" s="5" t="s">
        <v>1550</v>
      </c>
      <c r="Q3879" s="2"/>
      <c r="R3879" s="5"/>
      <c r="S3879" s="18"/>
      <c r="T3879" s="18"/>
      <c r="U3879" s="18">
        <v>2187.5</v>
      </c>
      <c r="V3879" s="18">
        <f>U3879*1.12</f>
        <v>2450.0000000000005</v>
      </c>
      <c r="W3879" s="18" t="s">
        <v>1521</v>
      </c>
      <c r="X3879" s="2">
        <v>2016</v>
      </c>
      <c r="Y3879" s="15"/>
    </row>
    <row r="3880" spans="1:25" s="12" customFormat="1" ht="63.75" customHeight="1" x14ac:dyDescent="0.25">
      <c r="B3880" s="2" t="s">
        <v>7705</v>
      </c>
      <c r="C3880" s="5" t="s">
        <v>83</v>
      </c>
      <c r="D3880" s="5" t="s">
        <v>1681</v>
      </c>
      <c r="E3880" s="5" t="s">
        <v>1682</v>
      </c>
      <c r="F3880" s="5" t="s">
        <v>1682</v>
      </c>
      <c r="G3880" s="5"/>
      <c r="H3880" s="5" t="s">
        <v>694</v>
      </c>
      <c r="I3880" s="4">
        <v>1</v>
      </c>
      <c r="J3880" s="13">
        <v>710000000</v>
      </c>
      <c r="K3880" s="5" t="s">
        <v>89</v>
      </c>
      <c r="L3880" s="5" t="s">
        <v>754</v>
      </c>
      <c r="M3880" s="6" t="s">
        <v>701</v>
      </c>
      <c r="N3880" s="2"/>
      <c r="O3880" s="5" t="s">
        <v>2018</v>
      </c>
      <c r="P3880" s="5" t="s">
        <v>1550</v>
      </c>
      <c r="Q3880" s="2"/>
      <c r="R3880" s="5"/>
      <c r="S3880" s="18"/>
      <c r="T3880" s="18"/>
      <c r="U3880" s="18">
        <v>291517.86</v>
      </c>
      <c r="V3880" s="18">
        <f>U3880*1.12</f>
        <v>326500.00320000004</v>
      </c>
      <c r="W3880" s="18" t="s">
        <v>1521</v>
      </c>
      <c r="X3880" s="2">
        <v>2016</v>
      </c>
      <c r="Y3880" s="15"/>
    </row>
    <row r="3881" spans="1:25" s="12" customFormat="1" ht="38.25" customHeight="1" x14ac:dyDescent="0.25">
      <c r="B3881" s="2" t="s">
        <v>7716</v>
      </c>
      <c r="C3881" s="3" t="s">
        <v>83</v>
      </c>
      <c r="D3881" s="3" t="s">
        <v>1814</v>
      </c>
      <c r="E3881" s="3" t="s">
        <v>1815</v>
      </c>
      <c r="F3881" s="3" t="s">
        <v>1815</v>
      </c>
      <c r="G3881" s="3" t="s">
        <v>7717</v>
      </c>
      <c r="H3881" s="5" t="s">
        <v>88</v>
      </c>
      <c r="I3881" s="27">
        <v>0.5</v>
      </c>
      <c r="J3881" s="13">
        <v>710000000</v>
      </c>
      <c r="K3881" s="5" t="s">
        <v>89</v>
      </c>
      <c r="L3881" s="5" t="s">
        <v>754</v>
      </c>
      <c r="M3881" s="3" t="s">
        <v>696</v>
      </c>
      <c r="N3881" s="2"/>
      <c r="O3881" s="5" t="s">
        <v>697</v>
      </c>
      <c r="P3881" s="5" t="s">
        <v>1550</v>
      </c>
      <c r="Q3881" s="3"/>
      <c r="R3881" s="3"/>
      <c r="S3881" s="17"/>
      <c r="T3881" s="17"/>
      <c r="U3881" s="18">
        <v>0</v>
      </c>
      <c r="V3881" s="18">
        <f t="shared" ref="V3881:V3884" si="2616">U3881*1.12</f>
        <v>0</v>
      </c>
      <c r="W3881" s="18" t="s">
        <v>1521</v>
      </c>
      <c r="X3881" s="2">
        <v>2016</v>
      </c>
      <c r="Y3881" s="3">
        <v>11</v>
      </c>
    </row>
    <row r="3882" spans="1:25" s="12" customFormat="1" ht="38.25" x14ac:dyDescent="0.25">
      <c r="B3882" s="2" t="s">
        <v>8805</v>
      </c>
      <c r="C3882" s="3" t="s">
        <v>83</v>
      </c>
      <c r="D3882" s="3" t="s">
        <v>1814</v>
      </c>
      <c r="E3882" s="3" t="s">
        <v>1815</v>
      </c>
      <c r="F3882" s="3" t="s">
        <v>1815</v>
      </c>
      <c r="G3882" s="3" t="s">
        <v>7717</v>
      </c>
      <c r="H3882" s="5" t="s">
        <v>88</v>
      </c>
      <c r="I3882" s="27">
        <v>0.5</v>
      </c>
      <c r="J3882" s="13">
        <v>710000000</v>
      </c>
      <c r="K3882" s="5" t="s">
        <v>89</v>
      </c>
      <c r="L3882" s="5" t="s">
        <v>8710</v>
      </c>
      <c r="M3882" s="3" t="s">
        <v>696</v>
      </c>
      <c r="N3882" s="2"/>
      <c r="O3882" s="5" t="s">
        <v>697</v>
      </c>
      <c r="P3882" s="5" t="s">
        <v>1550</v>
      </c>
      <c r="Q3882" s="3"/>
      <c r="R3882" s="3"/>
      <c r="S3882" s="17"/>
      <c r="T3882" s="17"/>
      <c r="U3882" s="18">
        <v>34000</v>
      </c>
      <c r="V3882" s="18">
        <f t="shared" ref="V3882" si="2617">U3882*1.12</f>
        <v>38080</v>
      </c>
      <c r="W3882" s="18" t="s">
        <v>1521</v>
      </c>
      <c r="X3882" s="2">
        <v>2016</v>
      </c>
      <c r="Y3882" s="3"/>
    </row>
    <row r="3883" spans="1:25" s="12" customFormat="1" ht="102" customHeight="1" x14ac:dyDescent="0.25">
      <c r="B3883" s="2" t="s">
        <v>7718</v>
      </c>
      <c r="C3883" s="3" t="s">
        <v>83</v>
      </c>
      <c r="D3883" s="3" t="s">
        <v>7719</v>
      </c>
      <c r="E3883" s="3" t="s">
        <v>7720</v>
      </c>
      <c r="F3883" s="3" t="s">
        <v>7720</v>
      </c>
      <c r="G3883" s="3" t="s">
        <v>7721</v>
      </c>
      <c r="H3883" s="5" t="s">
        <v>88</v>
      </c>
      <c r="I3883" s="27">
        <v>0.5</v>
      </c>
      <c r="J3883" s="13">
        <v>710000000</v>
      </c>
      <c r="K3883" s="5" t="s">
        <v>89</v>
      </c>
      <c r="L3883" s="5" t="s">
        <v>754</v>
      </c>
      <c r="M3883" s="6" t="s">
        <v>696</v>
      </c>
      <c r="N3883" s="2"/>
      <c r="O3883" s="5" t="s">
        <v>697</v>
      </c>
      <c r="P3883" s="5" t="s">
        <v>1550</v>
      </c>
      <c r="Q3883" s="3"/>
      <c r="R3883" s="3"/>
      <c r="S3883" s="17"/>
      <c r="T3883" s="17"/>
      <c r="U3883" s="18">
        <v>14051000</v>
      </c>
      <c r="V3883" s="18">
        <f t="shared" si="2616"/>
        <v>15737120.000000002</v>
      </c>
      <c r="W3883" s="18" t="s">
        <v>1521</v>
      </c>
      <c r="X3883" s="2">
        <v>2016</v>
      </c>
      <c r="Y3883" s="3"/>
    </row>
    <row r="3884" spans="1:25" s="12" customFormat="1" ht="114.75" customHeight="1" x14ac:dyDescent="0.2">
      <c r="A3884" s="24"/>
      <c r="B3884" s="2" t="s">
        <v>7727</v>
      </c>
      <c r="C3884" s="5" t="s">
        <v>83</v>
      </c>
      <c r="D3884" s="5" t="s">
        <v>1689</v>
      </c>
      <c r="E3884" s="5" t="s">
        <v>1690</v>
      </c>
      <c r="F3884" s="5" t="s">
        <v>1690</v>
      </c>
      <c r="G3884" s="5" t="s">
        <v>1691</v>
      </c>
      <c r="H3884" s="2" t="s">
        <v>765</v>
      </c>
      <c r="I3884" s="4">
        <v>0.5</v>
      </c>
      <c r="J3884" s="13">
        <v>710000000</v>
      </c>
      <c r="K3884" s="5" t="s">
        <v>89</v>
      </c>
      <c r="L3884" s="5" t="s">
        <v>754</v>
      </c>
      <c r="M3884" s="5" t="s">
        <v>1520</v>
      </c>
      <c r="N3884" s="2"/>
      <c r="O3884" s="5" t="s">
        <v>697</v>
      </c>
      <c r="P3884" s="5" t="s">
        <v>1550</v>
      </c>
      <c r="Q3884" s="2"/>
      <c r="R3884" s="5"/>
      <c r="S3884" s="18"/>
      <c r="T3884" s="18"/>
      <c r="U3884" s="18">
        <v>0</v>
      </c>
      <c r="V3884" s="18">
        <f t="shared" si="2616"/>
        <v>0</v>
      </c>
      <c r="W3884" s="18" t="s">
        <v>1521</v>
      </c>
      <c r="X3884" s="2">
        <v>2016</v>
      </c>
      <c r="Y3884" s="15" t="s">
        <v>1590</v>
      </c>
    </row>
    <row r="3885" spans="1:25" s="12" customFormat="1" ht="114.75" customHeight="1" x14ac:dyDescent="0.25">
      <c r="B3885" s="2" t="s">
        <v>9253</v>
      </c>
      <c r="C3885" s="5" t="s">
        <v>83</v>
      </c>
      <c r="D3885" s="5" t="s">
        <v>1689</v>
      </c>
      <c r="E3885" s="5" t="s">
        <v>1690</v>
      </c>
      <c r="F3885" s="5" t="s">
        <v>1690</v>
      </c>
      <c r="G3885" s="5" t="s">
        <v>1691</v>
      </c>
      <c r="H3885" s="2" t="s">
        <v>765</v>
      </c>
      <c r="I3885" s="4">
        <v>0.5</v>
      </c>
      <c r="J3885" s="13">
        <v>710000000</v>
      </c>
      <c r="K3885" s="5" t="s">
        <v>89</v>
      </c>
      <c r="L3885" s="5" t="s">
        <v>9114</v>
      </c>
      <c r="M3885" s="5" t="s">
        <v>1520</v>
      </c>
      <c r="N3885" s="2"/>
      <c r="O3885" s="5" t="s">
        <v>697</v>
      </c>
      <c r="P3885" s="5" t="s">
        <v>1550</v>
      </c>
      <c r="Q3885" s="2"/>
      <c r="R3885" s="5"/>
      <c r="S3885" s="18"/>
      <c r="T3885" s="18"/>
      <c r="U3885" s="18">
        <v>1482697</v>
      </c>
      <c r="V3885" s="18">
        <f t="shared" ref="V3885" si="2618">U3885*1.12</f>
        <v>1660620.6400000001</v>
      </c>
      <c r="W3885" s="18" t="s">
        <v>1521</v>
      </c>
      <c r="X3885" s="2">
        <v>2016</v>
      </c>
      <c r="Y3885" s="15"/>
    </row>
    <row r="3886" spans="1:25" s="12" customFormat="1" ht="63.75" customHeight="1" x14ac:dyDescent="0.25">
      <c r="B3886" s="2" t="s">
        <v>8435</v>
      </c>
      <c r="C3886" s="5" t="s">
        <v>83</v>
      </c>
      <c r="D3886" s="5" t="s">
        <v>1972</v>
      </c>
      <c r="E3886" s="5" t="s">
        <v>1973</v>
      </c>
      <c r="F3886" s="5" t="s">
        <v>1973</v>
      </c>
      <c r="G3886" s="5" t="s">
        <v>8436</v>
      </c>
      <c r="H3886" s="2" t="s">
        <v>694</v>
      </c>
      <c r="I3886" s="4">
        <v>0</v>
      </c>
      <c r="J3886" s="13">
        <v>710000000</v>
      </c>
      <c r="K3886" s="5" t="s">
        <v>89</v>
      </c>
      <c r="L3886" s="5" t="s">
        <v>1735</v>
      </c>
      <c r="M3886" s="5" t="s">
        <v>1481</v>
      </c>
      <c r="N3886" s="2"/>
      <c r="O3886" s="5" t="s">
        <v>697</v>
      </c>
      <c r="P3886" s="5" t="s">
        <v>1550</v>
      </c>
      <c r="Q3886" s="2"/>
      <c r="R3886" s="5"/>
      <c r="S3886" s="18"/>
      <c r="T3886" s="18"/>
      <c r="U3886" s="18">
        <v>29821.43</v>
      </c>
      <c r="V3886" s="18">
        <f t="shared" ref="V3886:V3887" si="2619">U3886*1.12</f>
        <v>33400.001600000003</v>
      </c>
      <c r="W3886" s="18"/>
      <c r="X3886" s="2">
        <v>2016</v>
      </c>
      <c r="Y3886" s="15"/>
    </row>
    <row r="3887" spans="1:25" s="12" customFormat="1" ht="38.25" customHeight="1" x14ac:dyDescent="0.25">
      <c r="A3887" s="11"/>
      <c r="B3887" s="2" t="s">
        <v>8448</v>
      </c>
      <c r="C3887" s="5" t="s">
        <v>83</v>
      </c>
      <c r="D3887" s="5" t="s">
        <v>1950</v>
      </c>
      <c r="E3887" s="5" t="s">
        <v>1951</v>
      </c>
      <c r="F3887" s="5" t="s">
        <v>1952</v>
      </c>
      <c r="G3887" s="5" t="s">
        <v>8447</v>
      </c>
      <c r="H3887" s="2" t="s">
        <v>694</v>
      </c>
      <c r="I3887" s="4">
        <v>1</v>
      </c>
      <c r="J3887" s="13">
        <v>710000000</v>
      </c>
      <c r="K3887" s="5" t="s">
        <v>89</v>
      </c>
      <c r="L3887" s="5" t="s">
        <v>1735</v>
      </c>
      <c r="M3887" s="5" t="s">
        <v>91</v>
      </c>
      <c r="N3887" s="5"/>
      <c r="O3887" s="7" t="s">
        <v>697</v>
      </c>
      <c r="P3887" s="5" t="s">
        <v>1550</v>
      </c>
      <c r="Q3887" s="5"/>
      <c r="R3887" s="5"/>
      <c r="S3887" s="17"/>
      <c r="T3887" s="17"/>
      <c r="U3887" s="17">
        <v>445101</v>
      </c>
      <c r="V3887" s="17">
        <f t="shared" si="2619"/>
        <v>498513.12000000005</v>
      </c>
      <c r="W3887" s="2"/>
      <c r="X3887" s="2">
        <v>2016</v>
      </c>
      <c r="Y3887" s="10"/>
    </row>
    <row r="3888" spans="1:25" s="12" customFormat="1" ht="89.25" customHeight="1" x14ac:dyDescent="0.25">
      <c r="B3888" s="2" t="s">
        <v>8450</v>
      </c>
      <c r="C3888" s="5" t="s">
        <v>83</v>
      </c>
      <c r="D3888" s="5" t="s">
        <v>1771</v>
      </c>
      <c r="E3888" s="5" t="s">
        <v>1772</v>
      </c>
      <c r="F3888" s="5" t="s">
        <v>1772</v>
      </c>
      <c r="G3888" s="5" t="s">
        <v>1773</v>
      </c>
      <c r="H3888" s="2" t="s">
        <v>694</v>
      </c>
      <c r="I3888" s="4">
        <v>1</v>
      </c>
      <c r="J3888" s="13">
        <v>710000000</v>
      </c>
      <c r="K3888" s="5" t="s">
        <v>89</v>
      </c>
      <c r="L3888" s="5" t="s">
        <v>1735</v>
      </c>
      <c r="M3888" s="6" t="s">
        <v>696</v>
      </c>
      <c r="N3888" s="2"/>
      <c r="O3888" s="5" t="s">
        <v>697</v>
      </c>
      <c r="P3888" s="5" t="s">
        <v>1550</v>
      </c>
      <c r="Q3888" s="2"/>
      <c r="R3888" s="5"/>
      <c r="S3888" s="18"/>
      <c r="T3888" s="18"/>
      <c r="U3888" s="18">
        <v>260000</v>
      </c>
      <c r="V3888" s="18">
        <f t="shared" ref="V3888" si="2620">U3888*1.12</f>
        <v>291200</v>
      </c>
      <c r="W3888" s="18"/>
      <c r="X3888" s="2">
        <v>2016</v>
      </c>
      <c r="Y3888" s="15"/>
    </row>
    <row r="3889" spans="2:25" s="12" customFormat="1" ht="127.5" customHeight="1" x14ac:dyDescent="0.25">
      <c r="B3889" s="2" t="s">
        <v>8707</v>
      </c>
      <c r="C3889" s="5" t="s">
        <v>83</v>
      </c>
      <c r="D3889" s="5" t="s">
        <v>1732</v>
      </c>
      <c r="E3889" s="5" t="s">
        <v>1733</v>
      </c>
      <c r="F3889" s="5" t="s">
        <v>1733</v>
      </c>
      <c r="G3889" s="5" t="s">
        <v>8708</v>
      </c>
      <c r="H3889" s="5" t="s">
        <v>694</v>
      </c>
      <c r="I3889" s="4">
        <v>1</v>
      </c>
      <c r="J3889" s="13">
        <v>710000000</v>
      </c>
      <c r="K3889" s="5" t="s">
        <v>89</v>
      </c>
      <c r="L3889" s="5" t="s">
        <v>1738</v>
      </c>
      <c r="M3889" s="5" t="s">
        <v>696</v>
      </c>
      <c r="N3889" s="2"/>
      <c r="O3889" s="5" t="s">
        <v>1724</v>
      </c>
      <c r="P3889" s="5" t="s">
        <v>1725</v>
      </c>
      <c r="Q3889" s="2"/>
      <c r="R3889" s="5"/>
      <c r="S3889" s="18"/>
      <c r="T3889" s="18"/>
      <c r="U3889" s="18">
        <v>720110</v>
      </c>
      <c r="V3889" s="18">
        <f t="shared" ref="V3889" si="2621">U3889</f>
        <v>720110</v>
      </c>
      <c r="W3889" s="18" t="s">
        <v>1521</v>
      </c>
      <c r="X3889" s="2">
        <v>2016</v>
      </c>
      <c r="Y3889" s="15"/>
    </row>
    <row r="3890" spans="2:25" s="12" customFormat="1" ht="51" customHeight="1" x14ac:dyDescent="0.25">
      <c r="B3890" s="2" t="s">
        <v>8887</v>
      </c>
      <c r="C3890" s="5" t="s">
        <v>83</v>
      </c>
      <c r="D3890" s="5" t="s">
        <v>1913</v>
      </c>
      <c r="E3890" s="5" t="s">
        <v>1914</v>
      </c>
      <c r="F3890" s="5" t="s">
        <v>1914</v>
      </c>
      <c r="G3890" s="5" t="s">
        <v>8946</v>
      </c>
      <c r="H3890" s="5" t="s">
        <v>694</v>
      </c>
      <c r="I3890" s="4">
        <v>1</v>
      </c>
      <c r="J3890" s="13">
        <v>710000000</v>
      </c>
      <c r="K3890" s="5" t="s">
        <v>89</v>
      </c>
      <c r="L3890" s="5" t="s">
        <v>8710</v>
      </c>
      <c r="M3890" s="5" t="s">
        <v>672</v>
      </c>
      <c r="N3890" s="2"/>
      <c r="O3890" s="5" t="s">
        <v>697</v>
      </c>
      <c r="P3890" s="5" t="s">
        <v>1550</v>
      </c>
      <c r="Q3890" s="2"/>
      <c r="R3890" s="5"/>
      <c r="S3890" s="18"/>
      <c r="T3890" s="18"/>
      <c r="U3890" s="18">
        <v>62519</v>
      </c>
      <c r="V3890" s="18">
        <f t="shared" ref="V3890:V3898" si="2622">U3890*1.12</f>
        <v>70021.280000000013</v>
      </c>
      <c r="W3890" s="18"/>
      <c r="X3890" s="2">
        <v>2016</v>
      </c>
      <c r="Y3890" s="15"/>
    </row>
    <row r="3891" spans="2:25" s="12" customFormat="1" ht="51" customHeight="1" x14ac:dyDescent="0.25">
      <c r="B3891" s="2" t="s">
        <v>8945</v>
      </c>
      <c r="C3891" s="5" t="s">
        <v>83</v>
      </c>
      <c r="D3891" s="5" t="s">
        <v>1913</v>
      </c>
      <c r="E3891" s="5" t="s">
        <v>1914</v>
      </c>
      <c r="F3891" s="5" t="s">
        <v>1914</v>
      </c>
      <c r="G3891" s="5" t="s">
        <v>8948</v>
      </c>
      <c r="H3891" s="5" t="s">
        <v>694</v>
      </c>
      <c r="I3891" s="4">
        <v>1</v>
      </c>
      <c r="J3891" s="13">
        <v>710000000</v>
      </c>
      <c r="K3891" s="5" t="s">
        <v>89</v>
      </c>
      <c r="L3891" s="5" t="s">
        <v>8710</v>
      </c>
      <c r="M3891" s="5" t="s">
        <v>8951</v>
      </c>
      <c r="N3891" s="2"/>
      <c r="O3891" s="5" t="s">
        <v>697</v>
      </c>
      <c r="P3891" s="5" t="s">
        <v>1550</v>
      </c>
      <c r="Q3891" s="2"/>
      <c r="R3891" s="5"/>
      <c r="S3891" s="18"/>
      <c r="T3891" s="18"/>
      <c r="U3891" s="18">
        <v>260783.5</v>
      </c>
      <c r="V3891" s="18">
        <f t="shared" si="2622"/>
        <v>292077.52</v>
      </c>
      <c r="W3891" s="18"/>
      <c r="X3891" s="2">
        <v>2016</v>
      </c>
      <c r="Y3891" s="15"/>
    </row>
    <row r="3892" spans="2:25" s="12" customFormat="1" ht="51" customHeight="1" x14ac:dyDescent="0.25">
      <c r="B3892" s="2" t="s">
        <v>8947</v>
      </c>
      <c r="C3892" s="5" t="s">
        <v>83</v>
      </c>
      <c r="D3892" s="5" t="s">
        <v>1913</v>
      </c>
      <c r="E3892" s="5" t="s">
        <v>1914</v>
      </c>
      <c r="F3892" s="5" t="s">
        <v>1914</v>
      </c>
      <c r="G3892" s="5" t="s">
        <v>8950</v>
      </c>
      <c r="H3892" s="5" t="s">
        <v>694</v>
      </c>
      <c r="I3892" s="4">
        <v>1</v>
      </c>
      <c r="J3892" s="13">
        <v>710000000</v>
      </c>
      <c r="K3892" s="5" t="s">
        <v>89</v>
      </c>
      <c r="L3892" s="5" t="s">
        <v>8710</v>
      </c>
      <c r="M3892" s="5" t="s">
        <v>1481</v>
      </c>
      <c r="N3892" s="2"/>
      <c r="O3892" s="5" t="s">
        <v>697</v>
      </c>
      <c r="P3892" s="5" t="s">
        <v>1550</v>
      </c>
      <c r="Q3892" s="2"/>
      <c r="R3892" s="5"/>
      <c r="S3892" s="18"/>
      <c r="T3892" s="18"/>
      <c r="U3892" s="18">
        <v>8429</v>
      </c>
      <c r="V3892" s="18">
        <f t="shared" si="2622"/>
        <v>9440.4800000000014</v>
      </c>
      <c r="W3892" s="18"/>
      <c r="X3892" s="2">
        <v>2016</v>
      </c>
      <c r="Y3892" s="15"/>
    </row>
    <row r="3893" spans="2:25" s="12" customFormat="1" ht="51" customHeight="1" x14ac:dyDescent="0.25">
      <c r="B3893" s="2" t="s">
        <v>8949</v>
      </c>
      <c r="C3893" s="5" t="s">
        <v>83</v>
      </c>
      <c r="D3893" s="5" t="s">
        <v>1913</v>
      </c>
      <c r="E3893" s="5" t="s">
        <v>1914</v>
      </c>
      <c r="F3893" s="5" t="s">
        <v>1914</v>
      </c>
      <c r="G3893" s="5" t="s">
        <v>8954</v>
      </c>
      <c r="H3893" s="5" t="s">
        <v>694</v>
      </c>
      <c r="I3893" s="4">
        <v>1</v>
      </c>
      <c r="J3893" s="13">
        <v>710000000</v>
      </c>
      <c r="K3893" s="5" t="s">
        <v>89</v>
      </c>
      <c r="L3893" s="5" t="s">
        <v>8710</v>
      </c>
      <c r="M3893" s="5" t="s">
        <v>696</v>
      </c>
      <c r="N3893" s="2"/>
      <c r="O3893" s="5" t="s">
        <v>697</v>
      </c>
      <c r="P3893" s="5" t="s">
        <v>1550</v>
      </c>
      <c r="Q3893" s="2"/>
      <c r="R3893" s="5"/>
      <c r="S3893" s="18"/>
      <c r="T3893" s="18"/>
      <c r="U3893" s="18">
        <v>45085</v>
      </c>
      <c r="V3893" s="18">
        <f t="shared" si="2622"/>
        <v>50495.200000000004</v>
      </c>
      <c r="W3893" s="18"/>
      <c r="X3893" s="2">
        <v>2016</v>
      </c>
      <c r="Y3893" s="15"/>
    </row>
    <row r="3894" spans="2:25" s="12" customFormat="1" ht="51" customHeight="1" x14ac:dyDescent="0.25">
      <c r="B3894" s="2" t="s">
        <v>8952</v>
      </c>
      <c r="C3894" s="5" t="s">
        <v>83</v>
      </c>
      <c r="D3894" s="5" t="s">
        <v>1913</v>
      </c>
      <c r="E3894" s="5" t="s">
        <v>1914</v>
      </c>
      <c r="F3894" s="5" t="s">
        <v>1914</v>
      </c>
      <c r="G3894" s="5" t="s">
        <v>8955</v>
      </c>
      <c r="H3894" s="5" t="s">
        <v>694</v>
      </c>
      <c r="I3894" s="4">
        <v>1</v>
      </c>
      <c r="J3894" s="13">
        <v>710000000</v>
      </c>
      <c r="K3894" s="5" t="s">
        <v>89</v>
      </c>
      <c r="L3894" s="5" t="s">
        <v>8710</v>
      </c>
      <c r="M3894" s="5" t="s">
        <v>696</v>
      </c>
      <c r="N3894" s="2"/>
      <c r="O3894" s="5" t="s">
        <v>697</v>
      </c>
      <c r="P3894" s="5" t="s">
        <v>1550</v>
      </c>
      <c r="Q3894" s="2"/>
      <c r="R3894" s="5"/>
      <c r="S3894" s="18"/>
      <c r="T3894" s="18"/>
      <c r="U3894" s="18">
        <v>34705.5</v>
      </c>
      <c r="V3894" s="18">
        <f t="shared" si="2622"/>
        <v>38870.160000000003</v>
      </c>
      <c r="W3894" s="18"/>
      <c r="X3894" s="2">
        <v>2016</v>
      </c>
      <c r="Y3894" s="15"/>
    </row>
    <row r="3895" spans="2:25" s="12" customFormat="1" ht="51" customHeight="1" x14ac:dyDescent="0.25">
      <c r="B3895" s="2" t="s">
        <v>8953</v>
      </c>
      <c r="C3895" s="5" t="s">
        <v>83</v>
      </c>
      <c r="D3895" s="5" t="s">
        <v>1913</v>
      </c>
      <c r="E3895" s="5" t="s">
        <v>1914</v>
      </c>
      <c r="F3895" s="5" t="s">
        <v>1914</v>
      </c>
      <c r="G3895" s="5" t="s">
        <v>8957</v>
      </c>
      <c r="H3895" s="5" t="s">
        <v>694</v>
      </c>
      <c r="I3895" s="4">
        <v>1</v>
      </c>
      <c r="J3895" s="13">
        <v>710000000</v>
      </c>
      <c r="K3895" s="5" t="s">
        <v>89</v>
      </c>
      <c r="L3895" s="5" t="s">
        <v>8710</v>
      </c>
      <c r="M3895" s="5" t="s">
        <v>696</v>
      </c>
      <c r="N3895" s="2"/>
      <c r="O3895" s="5" t="s">
        <v>697</v>
      </c>
      <c r="P3895" s="5" t="s">
        <v>1550</v>
      </c>
      <c r="Q3895" s="2"/>
      <c r="R3895" s="5"/>
      <c r="S3895" s="18"/>
      <c r="T3895" s="18"/>
      <c r="U3895" s="18">
        <v>247783.5</v>
      </c>
      <c r="V3895" s="18">
        <f t="shared" si="2622"/>
        <v>277517.52</v>
      </c>
      <c r="W3895" s="18"/>
      <c r="X3895" s="2">
        <v>2016</v>
      </c>
      <c r="Y3895" s="15"/>
    </row>
    <row r="3896" spans="2:25" s="12" customFormat="1" ht="51" customHeight="1" x14ac:dyDescent="0.25">
      <c r="B3896" s="2" t="s">
        <v>8956</v>
      </c>
      <c r="C3896" s="5" t="s">
        <v>83</v>
      </c>
      <c r="D3896" s="5" t="s">
        <v>1913</v>
      </c>
      <c r="E3896" s="5" t="s">
        <v>1914</v>
      </c>
      <c r="F3896" s="5" t="s">
        <v>1914</v>
      </c>
      <c r="G3896" s="5" t="s">
        <v>8959</v>
      </c>
      <c r="H3896" s="5" t="s">
        <v>694</v>
      </c>
      <c r="I3896" s="4">
        <v>1</v>
      </c>
      <c r="J3896" s="13">
        <v>710000000</v>
      </c>
      <c r="K3896" s="5" t="s">
        <v>89</v>
      </c>
      <c r="L3896" s="5" t="s">
        <v>8710</v>
      </c>
      <c r="M3896" s="5" t="s">
        <v>787</v>
      </c>
      <c r="N3896" s="2"/>
      <c r="O3896" s="5" t="s">
        <v>697</v>
      </c>
      <c r="P3896" s="5" t="s">
        <v>1550</v>
      </c>
      <c r="Q3896" s="2"/>
      <c r="R3896" s="5"/>
      <c r="S3896" s="18"/>
      <c r="T3896" s="18"/>
      <c r="U3896" s="18">
        <v>14477</v>
      </c>
      <c r="V3896" s="18">
        <f t="shared" si="2622"/>
        <v>16214.240000000002</v>
      </c>
      <c r="W3896" s="18"/>
      <c r="X3896" s="2">
        <v>2016</v>
      </c>
      <c r="Y3896" s="15"/>
    </row>
    <row r="3897" spans="2:25" s="12" customFormat="1" ht="51" customHeight="1" x14ac:dyDescent="0.25">
      <c r="B3897" s="2" t="s">
        <v>8958</v>
      </c>
      <c r="C3897" s="5" t="s">
        <v>83</v>
      </c>
      <c r="D3897" s="5" t="s">
        <v>1913</v>
      </c>
      <c r="E3897" s="5" t="s">
        <v>1914</v>
      </c>
      <c r="F3897" s="5" t="s">
        <v>1914</v>
      </c>
      <c r="G3897" s="5" t="s">
        <v>8960</v>
      </c>
      <c r="H3897" s="5" t="s">
        <v>694</v>
      </c>
      <c r="I3897" s="4">
        <v>1</v>
      </c>
      <c r="J3897" s="13">
        <v>710000000</v>
      </c>
      <c r="K3897" s="5" t="s">
        <v>89</v>
      </c>
      <c r="L3897" s="5" t="s">
        <v>8710</v>
      </c>
      <c r="M3897" s="5" t="s">
        <v>1500</v>
      </c>
      <c r="N3897" s="2"/>
      <c r="O3897" s="5" t="s">
        <v>697</v>
      </c>
      <c r="P3897" s="5" t="s">
        <v>1550</v>
      </c>
      <c r="Q3897" s="2"/>
      <c r="R3897" s="5"/>
      <c r="S3897" s="18"/>
      <c r="T3897" s="18"/>
      <c r="U3897" s="18">
        <v>4964</v>
      </c>
      <c r="V3897" s="18">
        <f t="shared" si="2622"/>
        <v>5559.68</v>
      </c>
      <c r="W3897" s="18"/>
      <c r="X3897" s="2">
        <v>2016</v>
      </c>
      <c r="Y3897" s="15"/>
    </row>
    <row r="3898" spans="2:25" s="12" customFormat="1" ht="38.25" customHeight="1" x14ac:dyDescent="0.25">
      <c r="B3898" s="2" t="s">
        <v>9268</v>
      </c>
      <c r="C3898" s="5" t="s">
        <v>83</v>
      </c>
      <c r="D3898" s="5" t="s">
        <v>1885</v>
      </c>
      <c r="E3898" s="5" t="s">
        <v>1886</v>
      </c>
      <c r="F3898" s="5" t="s">
        <v>1887</v>
      </c>
      <c r="G3898" s="5" t="s">
        <v>9269</v>
      </c>
      <c r="H3898" s="5" t="s">
        <v>694</v>
      </c>
      <c r="I3898" s="4">
        <v>1</v>
      </c>
      <c r="J3898" s="13">
        <v>710000000</v>
      </c>
      <c r="K3898" s="5" t="s">
        <v>89</v>
      </c>
      <c r="L3898" s="5" t="s">
        <v>1738</v>
      </c>
      <c r="M3898" s="5" t="s">
        <v>696</v>
      </c>
      <c r="N3898" s="2"/>
      <c r="O3898" s="5" t="s">
        <v>697</v>
      </c>
      <c r="P3898" s="5" t="s">
        <v>1550</v>
      </c>
      <c r="Q3898" s="2"/>
      <c r="R3898" s="5"/>
      <c r="S3898" s="18"/>
      <c r="T3898" s="18"/>
      <c r="U3898" s="18">
        <v>28000</v>
      </c>
      <c r="V3898" s="18">
        <f t="shared" si="2622"/>
        <v>31360.000000000004</v>
      </c>
      <c r="W3898" s="2"/>
      <c r="X3898" s="2">
        <v>2016</v>
      </c>
      <c r="Y3898" s="15"/>
    </row>
    <row r="3899" spans="2:25" s="12" customFormat="1" ht="38.25" customHeight="1" x14ac:dyDescent="0.25">
      <c r="B3899" s="2" t="s">
        <v>9270</v>
      </c>
      <c r="C3899" s="5" t="s">
        <v>83</v>
      </c>
      <c r="D3899" s="5" t="s">
        <v>1885</v>
      </c>
      <c r="E3899" s="5" t="s">
        <v>1886</v>
      </c>
      <c r="F3899" s="5" t="s">
        <v>1887</v>
      </c>
      <c r="G3899" s="5" t="s">
        <v>9271</v>
      </c>
      <c r="H3899" s="5" t="s">
        <v>694</v>
      </c>
      <c r="I3899" s="4">
        <v>1</v>
      </c>
      <c r="J3899" s="13">
        <v>710000000</v>
      </c>
      <c r="K3899" s="5" t="s">
        <v>89</v>
      </c>
      <c r="L3899" s="5" t="s">
        <v>1738</v>
      </c>
      <c r="M3899" s="5" t="s">
        <v>696</v>
      </c>
      <c r="N3899" s="2"/>
      <c r="O3899" s="5" t="s">
        <v>697</v>
      </c>
      <c r="P3899" s="5" t="s">
        <v>1550</v>
      </c>
      <c r="Q3899" s="2"/>
      <c r="R3899" s="5"/>
      <c r="S3899" s="18"/>
      <c r="T3899" s="18"/>
      <c r="U3899" s="18">
        <v>32000</v>
      </c>
      <c r="V3899" s="18">
        <f t="shared" ref="V3899" si="2623">U3899*1.12</f>
        <v>35840</v>
      </c>
      <c r="W3899" s="2"/>
      <c r="X3899" s="2">
        <v>2016</v>
      </c>
      <c r="Y3899" s="15"/>
    </row>
    <row r="3900" spans="2:25" s="12" customFormat="1" ht="102" customHeight="1" x14ac:dyDescent="0.25">
      <c r="B3900" s="2" t="s">
        <v>9272</v>
      </c>
      <c r="C3900" s="5" t="s">
        <v>83</v>
      </c>
      <c r="D3900" s="5" t="s">
        <v>9273</v>
      </c>
      <c r="E3900" s="5" t="s">
        <v>9274</v>
      </c>
      <c r="F3900" s="5" t="s">
        <v>9274</v>
      </c>
      <c r="G3900" s="5" t="s">
        <v>9275</v>
      </c>
      <c r="H3900" s="5" t="s">
        <v>694</v>
      </c>
      <c r="I3900" s="4">
        <v>1</v>
      </c>
      <c r="J3900" s="13">
        <v>710000000</v>
      </c>
      <c r="K3900" s="5" t="s">
        <v>89</v>
      </c>
      <c r="L3900" s="5" t="s">
        <v>1738</v>
      </c>
      <c r="M3900" s="5" t="s">
        <v>696</v>
      </c>
      <c r="N3900" s="2"/>
      <c r="O3900" s="5" t="s">
        <v>697</v>
      </c>
      <c r="P3900" s="5" t="s">
        <v>1550</v>
      </c>
      <c r="Q3900" s="2"/>
      <c r="R3900" s="5"/>
      <c r="S3900" s="18"/>
      <c r="T3900" s="18"/>
      <c r="U3900" s="18">
        <v>346400</v>
      </c>
      <c r="V3900" s="18">
        <f t="shared" ref="V3900" si="2624">U3900*1.12</f>
        <v>387968.00000000006</v>
      </c>
      <c r="W3900" s="2"/>
      <c r="X3900" s="2">
        <v>2016</v>
      </c>
      <c r="Y3900" s="15"/>
    </row>
    <row r="3901" spans="2:25" s="12" customFormat="1" ht="38.25" customHeight="1" x14ac:dyDescent="0.25">
      <c r="B3901" s="2" t="s">
        <v>9294</v>
      </c>
      <c r="C3901" s="3" t="s">
        <v>83</v>
      </c>
      <c r="D3901" s="3" t="s">
        <v>1814</v>
      </c>
      <c r="E3901" s="3" t="s">
        <v>1815</v>
      </c>
      <c r="F3901" s="3" t="s">
        <v>1815</v>
      </c>
      <c r="G3901" s="5" t="s">
        <v>9295</v>
      </c>
      <c r="H3901" s="5" t="s">
        <v>88</v>
      </c>
      <c r="I3901" s="27">
        <v>1</v>
      </c>
      <c r="J3901" s="13">
        <v>710000000</v>
      </c>
      <c r="K3901" s="5" t="s">
        <v>89</v>
      </c>
      <c r="L3901" s="5" t="s">
        <v>1730</v>
      </c>
      <c r="M3901" s="5" t="s">
        <v>696</v>
      </c>
      <c r="N3901" s="5"/>
      <c r="O3901" s="5" t="s">
        <v>9296</v>
      </c>
      <c r="P3901" s="5" t="s">
        <v>1550</v>
      </c>
      <c r="Q3901" s="5"/>
      <c r="R3901" s="5"/>
      <c r="S3901" s="17"/>
      <c r="T3901" s="17"/>
      <c r="U3901" s="18">
        <v>750000</v>
      </c>
      <c r="V3901" s="18">
        <f t="shared" ref="V3901:V3903" si="2625">U3901*1.12</f>
        <v>840000.00000000012</v>
      </c>
      <c r="W3901" s="2"/>
      <c r="X3901" s="2">
        <v>2016</v>
      </c>
      <c r="Y3901" s="5"/>
    </row>
    <row r="3902" spans="2:25" s="12" customFormat="1" ht="114.75" customHeight="1" x14ac:dyDescent="0.25">
      <c r="B3902" s="2" t="s">
        <v>9318</v>
      </c>
      <c r="C3902" s="5" t="s">
        <v>83</v>
      </c>
      <c r="D3902" s="5" t="s">
        <v>1689</v>
      </c>
      <c r="E3902" s="5" t="s">
        <v>1690</v>
      </c>
      <c r="F3902" s="5" t="s">
        <v>1690</v>
      </c>
      <c r="G3902" s="5" t="s">
        <v>1691</v>
      </c>
      <c r="H3902" s="2" t="s">
        <v>765</v>
      </c>
      <c r="I3902" s="4">
        <v>0.5</v>
      </c>
      <c r="J3902" s="13">
        <v>710000000</v>
      </c>
      <c r="K3902" s="5" t="s">
        <v>89</v>
      </c>
      <c r="L3902" s="5" t="s">
        <v>1872</v>
      </c>
      <c r="M3902" s="5" t="s">
        <v>1527</v>
      </c>
      <c r="N3902" s="2"/>
      <c r="O3902" s="5" t="s">
        <v>697</v>
      </c>
      <c r="P3902" s="5" t="s">
        <v>1550</v>
      </c>
      <c r="Q3902" s="2"/>
      <c r="R3902" s="5"/>
      <c r="S3902" s="18"/>
      <c r="T3902" s="18"/>
      <c r="U3902" s="18">
        <v>723214.29</v>
      </c>
      <c r="V3902" s="18">
        <f t="shared" si="2625"/>
        <v>810000.00480000011</v>
      </c>
      <c r="W3902" s="18"/>
      <c r="X3902" s="2">
        <v>2016</v>
      </c>
      <c r="Y3902" s="15"/>
    </row>
    <row r="3903" spans="2:25" s="12" customFormat="1" ht="76.5" customHeight="1" x14ac:dyDescent="0.25">
      <c r="B3903" s="2" t="s">
        <v>9325</v>
      </c>
      <c r="C3903" s="5" t="s">
        <v>83</v>
      </c>
      <c r="D3903" s="5" t="s">
        <v>9326</v>
      </c>
      <c r="E3903" s="5" t="s">
        <v>9327</v>
      </c>
      <c r="F3903" s="5" t="s">
        <v>9327</v>
      </c>
      <c r="G3903" s="5" t="s">
        <v>9328</v>
      </c>
      <c r="H3903" s="2" t="s">
        <v>694</v>
      </c>
      <c r="I3903" s="4">
        <v>1</v>
      </c>
      <c r="J3903" s="13">
        <v>710000000</v>
      </c>
      <c r="K3903" s="5" t="s">
        <v>89</v>
      </c>
      <c r="L3903" s="5" t="s">
        <v>1730</v>
      </c>
      <c r="M3903" s="5" t="s">
        <v>1527</v>
      </c>
      <c r="N3903" s="2"/>
      <c r="O3903" s="5" t="s">
        <v>697</v>
      </c>
      <c r="P3903" s="5" t="s">
        <v>1550</v>
      </c>
      <c r="Q3903" s="2"/>
      <c r="R3903" s="5"/>
      <c r="S3903" s="18"/>
      <c r="T3903" s="18"/>
      <c r="U3903" s="18">
        <v>191986.611</v>
      </c>
      <c r="V3903" s="18">
        <f t="shared" si="2625"/>
        <v>215025.00432000004</v>
      </c>
      <c r="W3903" s="18"/>
      <c r="X3903" s="2">
        <v>2016</v>
      </c>
      <c r="Y3903" s="15"/>
    </row>
    <row r="3904" spans="2:25" s="12" customFormat="1" ht="51" customHeight="1" x14ac:dyDescent="0.25">
      <c r="B3904" s="2" t="s">
        <v>9417</v>
      </c>
      <c r="C3904" s="5" t="s">
        <v>83</v>
      </c>
      <c r="D3904" s="5" t="s">
        <v>9405</v>
      </c>
      <c r="E3904" s="5" t="s">
        <v>9406</v>
      </c>
      <c r="F3904" s="5" t="s">
        <v>9407</v>
      </c>
      <c r="G3904" s="5" t="s">
        <v>9419</v>
      </c>
      <c r="H3904" s="5" t="s">
        <v>694</v>
      </c>
      <c r="I3904" s="4">
        <v>1</v>
      </c>
      <c r="J3904" s="13">
        <v>710000000</v>
      </c>
      <c r="K3904" s="5" t="s">
        <v>89</v>
      </c>
      <c r="L3904" s="5" t="s">
        <v>1730</v>
      </c>
      <c r="M3904" s="5" t="s">
        <v>1481</v>
      </c>
      <c r="N3904" s="2"/>
      <c r="O3904" s="5" t="s">
        <v>697</v>
      </c>
      <c r="P3904" s="5" t="s">
        <v>1550</v>
      </c>
      <c r="Q3904" s="2"/>
      <c r="R3904" s="5"/>
      <c r="S3904" s="18"/>
      <c r="T3904" s="18"/>
      <c r="U3904" s="18">
        <v>401785.71</v>
      </c>
      <c r="V3904" s="18">
        <f t="shared" ref="V3904:V3905" si="2626">U3904*1.12</f>
        <v>449999.99520000006</v>
      </c>
      <c r="W3904" s="18"/>
      <c r="X3904" s="2">
        <v>2016</v>
      </c>
      <c r="Y3904" s="15"/>
    </row>
    <row r="3905" spans="1:31" s="12" customFormat="1" ht="63.75" customHeight="1" x14ac:dyDescent="0.25">
      <c r="B3905" s="2" t="s">
        <v>9569</v>
      </c>
      <c r="C3905" s="5" t="s">
        <v>83</v>
      </c>
      <c r="D3905" s="5" t="s">
        <v>1857</v>
      </c>
      <c r="E3905" s="5" t="s">
        <v>1858</v>
      </c>
      <c r="F3905" s="5" t="s">
        <v>1859</v>
      </c>
      <c r="G3905" s="5" t="s">
        <v>9568</v>
      </c>
      <c r="H3905" s="5" t="s">
        <v>694</v>
      </c>
      <c r="I3905" s="4">
        <v>1</v>
      </c>
      <c r="J3905" s="13">
        <v>710000000</v>
      </c>
      <c r="K3905" s="5" t="s">
        <v>89</v>
      </c>
      <c r="L3905" s="5" t="s">
        <v>1730</v>
      </c>
      <c r="M3905" s="6" t="s">
        <v>2682</v>
      </c>
      <c r="N3905" s="2"/>
      <c r="O3905" s="5" t="s">
        <v>697</v>
      </c>
      <c r="P3905" s="5" t="s">
        <v>1550</v>
      </c>
      <c r="Q3905" s="2"/>
      <c r="R3905" s="5"/>
      <c r="S3905" s="18"/>
      <c r="T3905" s="18"/>
      <c r="U3905" s="75">
        <v>177000</v>
      </c>
      <c r="V3905" s="18">
        <f t="shared" si="2626"/>
        <v>198240.00000000003</v>
      </c>
      <c r="W3905" s="71"/>
      <c r="X3905" s="2">
        <v>2016</v>
      </c>
      <c r="Y3905" s="15"/>
    </row>
    <row r="3906" spans="1:31" s="12" customFormat="1" ht="51" customHeight="1" x14ac:dyDescent="0.25">
      <c r="B3906" s="2" t="s">
        <v>9624</v>
      </c>
      <c r="C3906" s="5" t="s">
        <v>83</v>
      </c>
      <c r="D3906" s="5" t="s">
        <v>1941</v>
      </c>
      <c r="E3906" s="5" t="s">
        <v>1942</v>
      </c>
      <c r="F3906" s="5" t="s">
        <v>1942</v>
      </c>
      <c r="G3906" s="5" t="s">
        <v>9627</v>
      </c>
      <c r="H3906" s="5" t="s">
        <v>694</v>
      </c>
      <c r="I3906" s="4">
        <v>1</v>
      </c>
      <c r="J3906" s="13">
        <v>710000000</v>
      </c>
      <c r="K3906" s="5" t="s">
        <v>89</v>
      </c>
      <c r="L3906" s="5" t="s">
        <v>1741</v>
      </c>
      <c r="M3906" s="5" t="s">
        <v>696</v>
      </c>
      <c r="N3906" s="2"/>
      <c r="O3906" s="5" t="s">
        <v>697</v>
      </c>
      <c r="P3906" s="5" t="s">
        <v>1550</v>
      </c>
      <c r="Q3906" s="2"/>
      <c r="R3906" s="5"/>
      <c r="S3906" s="18"/>
      <c r="T3906" s="18"/>
      <c r="U3906" s="18">
        <v>1038080</v>
      </c>
      <c r="V3906" s="18">
        <f>U3906*1.12</f>
        <v>1162649.6000000001</v>
      </c>
      <c r="W3906" s="2"/>
      <c r="X3906" s="2">
        <v>2016</v>
      </c>
      <c r="Y3906" s="15"/>
    </row>
    <row r="3907" spans="1:31" s="12" customFormat="1" ht="63.75" customHeight="1" x14ac:dyDescent="0.25">
      <c r="B3907" s="2" t="s">
        <v>9625</v>
      </c>
      <c r="C3907" s="5" t="s">
        <v>83</v>
      </c>
      <c r="D3907" s="5" t="s">
        <v>1695</v>
      </c>
      <c r="E3907" s="5" t="s">
        <v>1696</v>
      </c>
      <c r="F3907" s="5" t="s">
        <v>1696</v>
      </c>
      <c r="G3907" s="5" t="s">
        <v>9622</v>
      </c>
      <c r="H3907" s="2" t="s">
        <v>765</v>
      </c>
      <c r="I3907" s="4">
        <v>1</v>
      </c>
      <c r="J3907" s="13">
        <v>710000000</v>
      </c>
      <c r="K3907" s="5" t="s">
        <v>89</v>
      </c>
      <c r="L3907" s="5" t="s">
        <v>1741</v>
      </c>
      <c r="M3907" s="5" t="s">
        <v>1494</v>
      </c>
      <c r="N3907" s="2"/>
      <c r="O3907" s="5" t="s">
        <v>697</v>
      </c>
      <c r="P3907" s="5" t="s">
        <v>1550</v>
      </c>
      <c r="Q3907" s="2"/>
      <c r="R3907" s="5"/>
      <c r="S3907" s="18"/>
      <c r="T3907" s="18"/>
      <c r="U3907" s="18">
        <v>542857.14</v>
      </c>
      <c r="V3907" s="18">
        <f t="shared" ref="V3907" si="2627">U3907*1.12</f>
        <v>607999.99680000008</v>
      </c>
      <c r="W3907" s="2"/>
      <c r="X3907" s="2">
        <v>2016</v>
      </c>
      <c r="Y3907" s="15"/>
    </row>
    <row r="3908" spans="1:31" s="12" customFormat="1" ht="127.5" x14ac:dyDescent="0.25">
      <c r="B3908" s="2" t="s">
        <v>9677</v>
      </c>
      <c r="C3908" s="5" t="s">
        <v>83</v>
      </c>
      <c r="D3908" s="5" t="s">
        <v>1732</v>
      </c>
      <c r="E3908" s="5" t="s">
        <v>1733</v>
      </c>
      <c r="F3908" s="5" t="s">
        <v>1733</v>
      </c>
      <c r="G3908" s="5" t="s">
        <v>9679</v>
      </c>
      <c r="H3908" s="5" t="s">
        <v>694</v>
      </c>
      <c r="I3908" s="4">
        <v>1</v>
      </c>
      <c r="J3908" s="13">
        <v>710000000</v>
      </c>
      <c r="K3908" s="5" t="s">
        <v>89</v>
      </c>
      <c r="L3908" s="5" t="s">
        <v>1723</v>
      </c>
      <c r="M3908" s="5" t="s">
        <v>696</v>
      </c>
      <c r="N3908" s="2"/>
      <c r="O3908" s="5" t="s">
        <v>1724</v>
      </c>
      <c r="P3908" s="5" t="s">
        <v>1725</v>
      </c>
      <c r="Q3908" s="2"/>
      <c r="R3908" s="5"/>
      <c r="S3908" s="18"/>
      <c r="T3908" s="18"/>
      <c r="U3908" s="18">
        <v>120000</v>
      </c>
      <c r="V3908" s="18">
        <f t="shared" ref="V3908" si="2628">U3908</f>
        <v>120000</v>
      </c>
      <c r="W3908" s="18"/>
      <c r="X3908" s="2">
        <v>2016</v>
      </c>
      <c r="Y3908" s="15"/>
    </row>
    <row r="3909" spans="1:31" s="12" customFormat="1" ht="12.75" customHeight="1" x14ac:dyDescent="0.25">
      <c r="A3909" s="1"/>
      <c r="B3909" s="101" t="s">
        <v>40</v>
      </c>
      <c r="C3909" s="102"/>
      <c r="D3909" s="103"/>
      <c r="E3909" s="95"/>
      <c r="F3909" s="95"/>
      <c r="G3909" s="95"/>
      <c r="H3909" s="95"/>
      <c r="I3909" s="95"/>
      <c r="J3909" s="95"/>
      <c r="K3909" s="95"/>
      <c r="L3909" s="95"/>
      <c r="M3909" s="95"/>
      <c r="N3909" s="95"/>
      <c r="O3909" s="95"/>
      <c r="P3909" s="95"/>
      <c r="Q3909" s="95"/>
      <c r="R3909" s="95"/>
      <c r="S3909" s="95"/>
      <c r="T3909" s="95"/>
      <c r="U3909" s="106">
        <f>SUM(U3647:U3908)</f>
        <v>809937434.4119997</v>
      </c>
      <c r="V3909" s="106">
        <f>SUM(V3647:V3908)</f>
        <v>895903894.02744007</v>
      </c>
      <c r="W3909" s="105"/>
      <c r="X3909" s="96"/>
      <c r="Y3909" s="96"/>
    </row>
    <row r="3910" spans="1:31" s="12" customFormat="1" ht="12.75" x14ac:dyDescent="0.25">
      <c r="A3910" s="16"/>
      <c r="B3910" s="96"/>
      <c r="C3910" s="96"/>
      <c r="D3910" s="95"/>
      <c r="E3910" s="95"/>
      <c r="F3910" s="95"/>
      <c r="G3910" s="95"/>
      <c r="H3910" s="95"/>
      <c r="I3910" s="95"/>
      <c r="J3910" s="95"/>
      <c r="K3910" s="95"/>
      <c r="L3910" s="95"/>
      <c r="M3910" s="95"/>
      <c r="N3910" s="95"/>
      <c r="O3910" s="95"/>
      <c r="P3910" s="95"/>
      <c r="Q3910" s="95"/>
      <c r="R3910" s="95"/>
      <c r="S3910" s="95"/>
      <c r="T3910" s="95"/>
      <c r="U3910" s="95"/>
      <c r="V3910" s="105"/>
      <c r="W3910" s="105"/>
      <c r="X3910" s="96"/>
      <c r="Y3910" s="96"/>
    </row>
    <row r="3911" spans="1:31" x14ac:dyDescent="0.25">
      <c r="B3911" s="107" t="s">
        <v>7459</v>
      </c>
      <c r="C3911" s="107"/>
      <c r="D3911" s="96"/>
      <c r="E3911" s="107"/>
      <c r="F3911" s="95"/>
      <c r="G3911" s="95"/>
      <c r="H3911" s="95"/>
      <c r="I3911" s="95"/>
      <c r="J3911" s="95"/>
      <c r="K3911" s="95"/>
      <c r="L3911" s="95"/>
      <c r="M3911" s="95"/>
      <c r="N3911" s="95"/>
      <c r="O3911" s="95"/>
      <c r="P3911" s="95"/>
      <c r="Q3911" s="95"/>
      <c r="R3911" s="95"/>
      <c r="S3911" s="95"/>
      <c r="T3911" s="95"/>
      <c r="U3911" s="104">
        <f>SUM(U3909+U3558+U3645)</f>
        <v>2103545636.5934436</v>
      </c>
      <c r="V3911" s="104">
        <f>SUM(V3909+V3558+V3645)</f>
        <v>2344745080.4706564</v>
      </c>
      <c r="W3911" s="105"/>
      <c r="X3911" s="96"/>
      <c r="Y3911" s="96"/>
      <c r="Z3911" s="81"/>
      <c r="AA3911" s="81"/>
      <c r="AB3911" s="81"/>
      <c r="AC3911" s="81"/>
      <c r="AD3911" s="81"/>
      <c r="AE3911" s="81"/>
    </row>
    <row r="3912" spans="1:31" x14ac:dyDescent="0.25">
      <c r="B3912" s="108"/>
      <c r="C3912" s="108"/>
      <c r="D3912" s="109"/>
      <c r="E3912" s="108"/>
      <c r="F3912" s="110"/>
      <c r="G3912" s="110"/>
      <c r="H3912" s="110"/>
      <c r="I3912" s="110"/>
      <c r="J3912" s="110"/>
      <c r="K3912" s="110"/>
      <c r="L3912" s="110"/>
      <c r="M3912" s="16"/>
      <c r="N3912" s="16"/>
      <c r="O3912" s="16"/>
      <c r="P3912" s="16"/>
      <c r="Q3912" s="16"/>
      <c r="R3912" s="16"/>
      <c r="S3912" s="16"/>
      <c r="T3912" s="16"/>
      <c r="U3912" s="16"/>
      <c r="V3912" s="16"/>
      <c r="W3912" s="16"/>
      <c r="Z3912" s="81"/>
      <c r="AA3912" s="81"/>
      <c r="AB3912" s="81"/>
      <c r="AC3912" s="81"/>
      <c r="AD3912" s="81"/>
      <c r="AE3912" s="81"/>
    </row>
    <row r="3913" spans="1:31" ht="15.75" x14ac:dyDescent="0.25">
      <c r="C3913" s="111" t="s">
        <v>41</v>
      </c>
      <c r="D3913" s="112"/>
      <c r="E3913" s="112"/>
      <c r="F3913" s="113"/>
      <c r="G3913" s="113"/>
      <c r="H3913" s="113"/>
      <c r="I3913" s="112"/>
      <c r="J3913" s="112"/>
      <c r="K3913" s="112"/>
      <c r="L3913" s="112"/>
      <c r="M3913" s="113"/>
      <c r="N3913" s="113"/>
      <c r="O3913" s="113"/>
      <c r="P3913" s="113"/>
      <c r="Q3913" s="113"/>
      <c r="R3913" s="113"/>
      <c r="S3913" s="113"/>
      <c r="T3913" s="113"/>
      <c r="U3913" s="113"/>
      <c r="V3913" s="113"/>
      <c r="W3913" s="113"/>
      <c r="X3913" s="113"/>
      <c r="Y3913" s="113"/>
      <c r="Z3913" s="81"/>
      <c r="AA3913" s="81"/>
      <c r="AB3913" s="81"/>
      <c r="AC3913" s="81"/>
      <c r="AD3913" s="81"/>
      <c r="AE3913" s="81"/>
    </row>
    <row r="3914" spans="1:31" ht="15.75" x14ac:dyDescent="0.25">
      <c r="C3914" s="111" t="s">
        <v>42</v>
      </c>
      <c r="D3914" s="113"/>
      <c r="E3914" s="113"/>
      <c r="F3914" s="113"/>
      <c r="G3914" s="113"/>
      <c r="H3914" s="113"/>
      <c r="I3914" s="113"/>
      <c r="J3914" s="113"/>
      <c r="K3914" s="113"/>
      <c r="L3914" s="113"/>
      <c r="M3914" s="113"/>
      <c r="N3914" s="113"/>
      <c r="O3914" s="113"/>
      <c r="P3914" s="113"/>
      <c r="Q3914" s="113"/>
      <c r="R3914" s="113"/>
      <c r="S3914" s="113"/>
      <c r="T3914" s="113"/>
      <c r="U3914" s="113"/>
      <c r="V3914" s="113"/>
      <c r="W3914" s="113"/>
      <c r="X3914" s="113"/>
      <c r="Y3914" s="113"/>
      <c r="Z3914" s="81"/>
      <c r="AA3914" s="81"/>
      <c r="AB3914" s="81"/>
      <c r="AC3914" s="81"/>
      <c r="AD3914" s="81"/>
      <c r="AE3914" s="81"/>
    </row>
    <row r="3915" spans="1:31" ht="15.75" x14ac:dyDescent="0.25">
      <c r="B3915" s="113"/>
      <c r="C3915" s="111" t="s">
        <v>43</v>
      </c>
      <c r="D3915" s="113"/>
      <c r="E3915" s="113"/>
      <c r="F3915" s="113"/>
      <c r="G3915" s="113"/>
      <c r="H3915" s="113"/>
      <c r="I3915" s="113"/>
      <c r="J3915" s="113"/>
      <c r="K3915" s="113"/>
      <c r="L3915" s="113"/>
      <c r="M3915" s="113"/>
      <c r="N3915" s="113"/>
      <c r="O3915" s="113"/>
      <c r="P3915" s="113"/>
      <c r="Q3915" s="113"/>
      <c r="R3915" s="113"/>
      <c r="S3915" s="113"/>
      <c r="T3915" s="113"/>
      <c r="U3915" s="113"/>
      <c r="V3915" s="113"/>
      <c r="W3915" s="113"/>
      <c r="X3915" s="113"/>
      <c r="Y3915" s="113"/>
      <c r="Z3915" s="81"/>
      <c r="AA3915" s="81"/>
      <c r="AB3915" s="81"/>
      <c r="AC3915" s="81"/>
      <c r="AD3915" s="81"/>
      <c r="AE3915" s="81"/>
    </row>
    <row r="3916" spans="1:31" ht="15.75" x14ac:dyDescent="0.25">
      <c r="C3916" s="114" t="s">
        <v>44</v>
      </c>
      <c r="D3916" s="115"/>
      <c r="E3916" s="115"/>
      <c r="F3916" s="115"/>
      <c r="G3916" s="116"/>
      <c r="H3916" s="113"/>
      <c r="I3916" s="113"/>
      <c r="J3916" s="113"/>
      <c r="K3916" s="113"/>
      <c r="L3916" s="113"/>
      <c r="M3916" s="113"/>
      <c r="N3916" s="113"/>
      <c r="O3916" s="113"/>
      <c r="P3916" s="113"/>
      <c r="Q3916" s="113"/>
      <c r="R3916" s="113"/>
      <c r="S3916" s="113"/>
      <c r="T3916" s="113"/>
      <c r="U3916" s="113"/>
      <c r="V3916" s="113"/>
      <c r="W3916" s="113"/>
      <c r="X3916" s="113"/>
      <c r="Y3916" s="113"/>
      <c r="Z3916" s="81"/>
      <c r="AA3916" s="81"/>
      <c r="AB3916" s="81"/>
      <c r="AC3916" s="81"/>
      <c r="AD3916" s="81"/>
      <c r="AE3916" s="81"/>
    </row>
    <row r="3917" spans="1:31" ht="15.75" x14ac:dyDescent="0.25">
      <c r="B3917" s="80">
        <v>1</v>
      </c>
      <c r="C3917" s="111" t="s">
        <v>45</v>
      </c>
      <c r="D3917" s="76"/>
      <c r="E3917" s="76"/>
      <c r="F3917" s="76"/>
      <c r="G3917" s="76"/>
      <c r="H3917" s="76"/>
      <c r="I3917" s="76"/>
      <c r="J3917" s="76"/>
      <c r="K3917" s="76"/>
      <c r="L3917" s="76"/>
      <c r="M3917" s="76"/>
      <c r="N3917" s="76"/>
      <c r="O3917" s="76"/>
      <c r="P3917" s="76"/>
      <c r="Q3917" s="76"/>
      <c r="R3917" s="76"/>
      <c r="S3917" s="76"/>
      <c r="T3917" s="76"/>
      <c r="U3917" s="76"/>
      <c r="V3917" s="76"/>
      <c r="W3917" s="76"/>
      <c r="X3917" s="76"/>
      <c r="Y3917" s="111"/>
      <c r="Z3917" s="81"/>
      <c r="AA3917" s="81"/>
      <c r="AB3917" s="81"/>
      <c r="AC3917" s="81"/>
      <c r="AD3917" s="81"/>
      <c r="AE3917" s="81"/>
    </row>
    <row r="3918" spans="1:31" ht="15.75" x14ac:dyDescent="0.25">
      <c r="B3918" s="80"/>
      <c r="C3918" s="117" t="s">
        <v>46</v>
      </c>
      <c r="D3918" s="76"/>
      <c r="E3918" s="76"/>
      <c r="F3918" s="76"/>
      <c r="G3918" s="76"/>
      <c r="H3918" s="76"/>
      <c r="I3918" s="76"/>
      <c r="J3918" s="76"/>
      <c r="K3918" s="76"/>
      <c r="L3918" s="76"/>
      <c r="M3918" s="76"/>
      <c r="N3918" s="76"/>
      <c r="O3918" s="76"/>
      <c r="P3918" s="76"/>
      <c r="Q3918" s="76"/>
      <c r="R3918" s="76"/>
      <c r="S3918" s="76"/>
      <c r="T3918" s="76"/>
      <c r="U3918" s="76"/>
      <c r="V3918" s="76"/>
      <c r="W3918" s="76"/>
      <c r="X3918" s="76"/>
      <c r="Y3918" s="111"/>
      <c r="Z3918" s="81"/>
      <c r="AA3918" s="81"/>
      <c r="AB3918" s="81"/>
      <c r="AC3918" s="81"/>
      <c r="AD3918" s="81"/>
      <c r="AE3918" s="81"/>
    </row>
    <row r="3919" spans="1:31" ht="15.75" x14ac:dyDescent="0.25">
      <c r="B3919" s="80"/>
      <c r="C3919" s="118" t="s">
        <v>47</v>
      </c>
      <c r="D3919" s="76"/>
      <c r="E3919" s="76"/>
      <c r="F3919" s="76"/>
      <c r="G3919" s="76"/>
      <c r="H3919" s="76"/>
      <c r="I3919" s="76"/>
      <c r="J3919" s="76"/>
      <c r="K3919" s="76"/>
      <c r="L3919" s="76"/>
      <c r="M3919" s="76"/>
      <c r="N3919" s="76"/>
      <c r="O3919" s="76"/>
      <c r="P3919" s="76"/>
      <c r="Q3919" s="76"/>
      <c r="R3919" s="76"/>
      <c r="S3919" s="76"/>
      <c r="T3919" s="76"/>
      <c r="U3919" s="76"/>
      <c r="V3919" s="76"/>
      <c r="W3919" s="76"/>
      <c r="X3919" s="76"/>
      <c r="Y3919" s="111"/>
      <c r="Z3919" s="81"/>
      <c r="AA3919" s="81"/>
      <c r="AB3919" s="81"/>
      <c r="AC3919" s="81"/>
      <c r="AD3919" s="81"/>
      <c r="AE3919" s="81"/>
    </row>
    <row r="3920" spans="1:31" ht="15.75" x14ac:dyDescent="0.25">
      <c r="B3920" s="80"/>
      <c r="C3920" s="111" t="s">
        <v>48</v>
      </c>
      <c r="D3920" s="119"/>
      <c r="E3920" s="119"/>
      <c r="F3920" s="119"/>
      <c r="G3920" s="119"/>
      <c r="H3920" s="119"/>
      <c r="I3920" s="119"/>
      <c r="J3920" s="119"/>
      <c r="K3920" s="119"/>
      <c r="L3920" s="119"/>
      <c r="M3920" s="119"/>
      <c r="N3920" s="76"/>
      <c r="O3920" s="76"/>
      <c r="P3920" s="76"/>
      <c r="Q3920" s="76"/>
      <c r="R3920" s="76"/>
      <c r="S3920" s="76"/>
      <c r="T3920" s="76"/>
      <c r="U3920" s="76"/>
      <c r="V3920" s="76"/>
      <c r="W3920" s="76"/>
      <c r="X3920" s="76"/>
      <c r="Y3920" s="111"/>
      <c r="Z3920" s="81"/>
      <c r="AA3920" s="81"/>
      <c r="AB3920" s="81"/>
      <c r="AC3920" s="81"/>
      <c r="AD3920" s="81"/>
      <c r="AE3920" s="81"/>
    </row>
    <row r="3921" spans="1:31" ht="15.75" x14ac:dyDescent="0.25">
      <c r="B3921" s="80"/>
      <c r="C3921" s="114" t="s">
        <v>49</v>
      </c>
      <c r="D3921" s="119"/>
      <c r="E3921" s="119"/>
      <c r="F3921" s="119"/>
      <c r="G3921" s="119"/>
      <c r="H3921" s="119"/>
      <c r="I3921" s="119"/>
      <c r="J3921" s="119"/>
      <c r="K3921" s="119"/>
      <c r="L3921" s="119"/>
      <c r="M3921" s="119"/>
      <c r="N3921" s="76"/>
      <c r="O3921" s="76"/>
      <c r="P3921" s="76"/>
      <c r="Q3921" s="76"/>
      <c r="R3921" s="76"/>
      <c r="S3921" s="76"/>
      <c r="T3921" s="76"/>
      <c r="U3921" s="76"/>
      <c r="V3921" s="76"/>
      <c r="W3921" s="76"/>
      <c r="X3921" s="76"/>
      <c r="Y3921" s="111"/>
      <c r="Z3921" s="81"/>
      <c r="AA3921" s="81"/>
      <c r="AB3921" s="81"/>
      <c r="AC3921" s="81"/>
      <c r="AD3921" s="81"/>
      <c r="AE3921" s="81"/>
    </row>
    <row r="3922" spans="1:31" ht="15.75" x14ac:dyDescent="0.25">
      <c r="A3922" s="79"/>
      <c r="B3922" s="80"/>
      <c r="C3922" s="114" t="s">
        <v>50</v>
      </c>
      <c r="D3922" s="119"/>
      <c r="E3922" s="119"/>
      <c r="F3922" s="119"/>
      <c r="G3922" s="119"/>
      <c r="H3922" s="119"/>
      <c r="I3922" s="119"/>
      <c r="J3922" s="119"/>
      <c r="K3922" s="119"/>
      <c r="L3922" s="119"/>
      <c r="M3922" s="119"/>
      <c r="N3922" s="76"/>
      <c r="O3922" s="76"/>
      <c r="P3922" s="76"/>
      <c r="Q3922" s="76"/>
      <c r="R3922" s="76"/>
      <c r="S3922" s="76"/>
      <c r="T3922" s="76"/>
      <c r="U3922" s="76"/>
      <c r="V3922" s="76"/>
      <c r="W3922" s="76"/>
      <c r="X3922" s="76"/>
      <c r="Y3922" s="111"/>
      <c r="Z3922" s="81"/>
      <c r="AA3922" s="81"/>
      <c r="AB3922" s="81"/>
      <c r="AC3922" s="81"/>
      <c r="AD3922" s="81"/>
      <c r="AE3922" s="81"/>
    </row>
    <row r="3923" spans="1:31" ht="15.75" x14ac:dyDescent="0.25">
      <c r="A3923" s="79"/>
      <c r="B3923" s="80"/>
      <c r="C3923" s="118" t="s">
        <v>51</v>
      </c>
      <c r="D3923" s="76"/>
      <c r="E3923" s="76"/>
      <c r="F3923" s="76"/>
      <c r="G3923" s="76"/>
      <c r="H3923" s="76"/>
      <c r="I3923" s="76"/>
      <c r="J3923" s="76"/>
      <c r="K3923" s="76"/>
      <c r="L3923" s="76"/>
      <c r="M3923" s="76"/>
      <c r="N3923" s="76"/>
      <c r="O3923" s="76"/>
      <c r="P3923" s="76"/>
      <c r="Q3923" s="76"/>
      <c r="R3923" s="76"/>
      <c r="S3923" s="76"/>
      <c r="T3923" s="76"/>
      <c r="U3923" s="76"/>
      <c r="V3923" s="76"/>
      <c r="W3923" s="76"/>
      <c r="X3923" s="76"/>
      <c r="Y3923" s="111"/>
      <c r="Z3923" s="81"/>
      <c r="AA3923" s="81"/>
      <c r="AB3923" s="81"/>
      <c r="AC3923" s="81"/>
      <c r="AD3923" s="81"/>
      <c r="AE3923" s="81"/>
    </row>
    <row r="3924" spans="1:31" ht="15.75" x14ac:dyDescent="0.25">
      <c r="A3924" s="79"/>
      <c r="B3924" s="113"/>
      <c r="C3924" s="111" t="s">
        <v>52</v>
      </c>
      <c r="D3924" s="120"/>
      <c r="E3924" s="120"/>
      <c r="F3924" s="120"/>
      <c r="G3924" s="121"/>
      <c r="H3924" s="120"/>
      <c r="I3924" s="120"/>
      <c r="J3924" s="120"/>
      <c r="K3924" s="120"/>
      <c r="L3924" s="120"/>
      <c r="M3924" s="120"/>
      <c r="N3924" s="120"/>
      <c r="O3924" s="120"/>
      <c r="P3924" s="120"/>
      <c r="Q3924" s="120"/>
      <c r="R3924" s="120"/>
      <c r="S3924" s="120"/>
      <c r="T3924" s="120"/>
      <c r="U3924" s="120"/>
      <c r="V3924" s="120"/>
      <c r="W3924" s="120"/>
      <c r="X3924" s="120"/>
      <c r="Y3924" s="111"/>
      <c r="Z3924" s="81"/>
      <c r="AA3924" s="81"/>
      <c r="AB3924" s="81"/>
      <c r="AC3924" s="81"/>
      <c r="AD3924" s="81"/>
      <c r="AE3924" s="81"/>
    </row>
    <row r="3925" spans="1:31" ht="15.75" x14ac:dyDescent="0.25">
      <c r="A3925" s="79"/>
      <c r="B3925" s="113"/>
      <c r="C3925" s="111" t="s">
        <v>53</v>
      </c>
      <c r="D3925" s="119"/>
      <c r="E3925" s="119"/>
      <c r="F3925" s="119"/>
      <c r="G3925" s="119"/>
      <c r="H3925" s="119"/>
      <c r="I3925" s="119"/>
      <c r="J3925" s="119"/>
      <c r="K3925" s="119"/>
      <c r="L3925" s="119"/>
      <c r="M3925" s="119"/>
      <c r="N3925" s="119"/>
      <c r="O3925" s="119"/>
      <c r="P3925" s="119"/>
      <c r="Q3925" s="119"/>
      <c r="R3925" s="119"/>
      <c r="S3925" s="119"/>
      <c r="T3925" s="119"/>
      <c r="U3925" s="119"/>
      <c r="V3925" s="119"/>
      <c r="W3925" s="119"/>
      <c r="X3925" s="119"/>
      <c r="Y3925" s="111"/>
      <c r="Z3925" s="81"/>
      <c r="AA3925" s="81"/>
      <c r="AB3925" s="81"/>
      <c r="AC3925" s="81"/>
      <c r="AD3925" s="81"/>
      <c r="AE3925" s="81"/>
    </row>
    <row r="3926" spans="1:31" ht="15.75" x14ac:dyDescent="0.25">
      <c r="A3926" s="79"/>
      <c r="B3926" s="113"/>
      <c r="C3926" s="111" t="s">
        <v>54</v>
      </c>
      <c r="D3926" s="76"/>
      <c r="E3926" s="76"/>
      <c r="F3926" s="76"/>
      <c r="G3926" s="76"/>
      <c r="H3926" s="76"/>
      <c r="I3926" s="76"/>
      <c r="J3926" s="76"/>
      <c r="K3926" s="76"/>
      <c r="L3926" s="76"/>
      <c r="M3926" s="76"/>
      <c r="N3926" s="76"/>
      <c r="O3926" s="76"/>
      <c r="P3926" s="76"/>
      <c r="Q3926" s="76"/>
      <c r="R3926" s="76"/>
      <c r="S3926" s="76"/>
      <c r="T3926" s="76"/>
      <c r="U3926" s="76"/>
      <c r="V3926" s="76"/>
      <c r="W3926" s="76"/>
      <c r="X3926" s="76"/>
      <c r="Y3926" s="111"/>
      <c r="Z3926" s="81"/>
      <c r="AA3926" s="81"/>
      <c r="AB3926" s="81"/>
      <c r="AC3926" s="81"/>
      <c r="AD3926" s="81"/>
      <c r="AE3926" s="81"/>
    </row>
    <row r="3927" spans="1:31" ht="15.75" x14ac:dyDescent="0.25">
      <c r="A3927" s="79"/>
      <c r="B3927" s="113"/>
      <c r="C3927" s="118" t="s">
        <v>55</v>
      </c>
      <c r="D3927" s="76"/>
      <c r="E3927" s="76"/>
      <c r="F3927" s="76"/>
      <c r="G3927" s="76"/>
      <c r="H3927" s="76"/>
      <c r="I3927" s="76"/>
      <c r="J3927" s="76"/>
      <c r="K3927" s="76"/>
      <c r="L3927" s="76"/>
      <c r="M3927" s="76"/>
      <c r="N3927" s="76"/>
      <c r="O3927" s="76"/>
      <c r="P3927" s="76"/>
      <c r="Q3927" s="76"/>
      <c r="R3927" s="76"/>
      <c r="S3927" s="76"/>
      <c r="T3927" s="76"/>
      <c r="U3927" s="76"/>
      <c r="V3927" s="76"/>
      <c r="W3927" s="76"/>
      <c r="X3927" s="76"/>
      <c r="Y3927" s="111"/>
      <c r="Z3927" s="81"/>
      <c r="AA3927" s="81"/>
      <c r="AB3927" s="81"/>
      <c r="AC3927" s="81"/>
      <c r="AD3927" s="81"/>
      <c r="AE3927" s="81"/>
    </row>
    <row r="3928" spans="1:31" ht="15.75" x14ac:dyDescent="0.25">
      <c r="A3928" s="79"/>
      <c r="B3928" s="113"/>
      <c r="C3928" s="118" t="s">
        <v>56</v>
      </c>
      <c r="D3928" s="76"/>
      <c r="E3928" s="76"/>
      <c r="F3928" s="76"/>
      <c r="G3928" s="76"/>
      <c r="H3928" s="76"/>
      <c r="I3928" s="76"/>
      <c r="J3928" s="76"/>
      <c r="K3928" s="76"/>
      <c r="L3928" s="76"/>
      <c r="M3928" s="76"/>
      <c r="N3928" s="76"/>
      <c r="O3928" s="76"/>
      <c r="P3928" s="76"/>
      <c r="Q3928" s="76"/>
      <c r="R3928" s="76"/>
      <c r="S3928" s="76"/>
      <c r="T3928" s="76"/>
      <c r="U3928" s="76"/>
      <c r="V3928" s="76"/>
      <c r="W3928" s="76"/>
      <c r="X3928" s="76"/>
      <c r="Y3928" s="111"/>
      <c r="Z3928" s="81"/>
      <c r="AA3928" s="81"/>
      <c r="AB3928" s="81"/>
      <c r="AC3928" s="81"/>
      <c r="AD3928" s="81"/>
      <c r="AE3928" s="81"/>
    </row>
    <row r="3929" spans="1:31" ht="15.75" x14ac:dyDescent="0.25">
      <c r="A3929" s="79"/>
      <c r="B3929" s="113"/>
      <c r="C3929" s="111" t="s">
        <v>57</v>
      </c>
      <c r="D3929" s="119"/>
      <c r="E3929" s="119"/>
      <c r="F3929" s="119"/>
      <c r="G3929" s="119"/>
      <c r="H3929" s="119"/>
      <c r="I3929" s="119"/>
      <c r="J3929" s="119"/>
      <c r="K3929" s="119"/>
      <c r="L3929" s="119"/>
      <c r="M3929" s="119"/>
      <c r="N3929" s="119"/>
      <c r="O3929" s="119"/>
      <c r="P3929" s="119"/>
      <c r="Q3929" s="119"/>
      <c r="R3929" s="119"/>
      <c r="S3929" s="119"/>
      <c r="T3929" s="119"/>
      <c r="U3929" s="119"/>
      <c r="V3929" s="119"/>
      <c r="W3929" s="119"/>
      <c r="X3929" s="119"/>
      <c r="Y3929" s="111"/>
      <c r="Z3929" s="81"/>
      <c r="AA3929" s="81"/>
      <c r="AB3929" s="81"/>
      <c r="AC3929" s="81"/>
      <c r="AD3929" s="81"/>
      <c r="AE3929" s="81"/>
    </row>
    <row r="3930" spans="1:31" ht="15.75" x14ac:dyDescent="0.25">
      <c r="A3930" s="79"/>
      <c r="B3930" s="113"/>
      <c r="C3930" s="122" t="s">
        <v>58</v>
      </c>
      <c r="D3930" s="122"/>
      <c r="E3930" s="122"/>
      <c r="F3930" s="122"/>
      <c r="G3930" s="122"/>
      <c r="H3930" s="122"/>
      <c r="I3930" s="122"/>
      <c r="J3930" s="122"/>
      <c r="K3930" s="122"/>
      <c r="L3930" s="122"/>
      <c r="M3930" s="119"/>
      <c r="N3930" s="119"/>
      <c r="O3930" s="119"/>
      <c r="P3930" s="119"/>
      <c r="Q3930" s="119"/>
      <c r="R3930" s="119"/>
      <c r="S3930" s="119"/>
      <c r="T3930" s="119"/>
      <c r="U3930" s="119"/>
      <c r="V3930" s="119"/>
      <c r="W3930" s="119"/>
      <c r="X3930" s="119"/>
      <c r="Y3930" s="119"/>
      <c r="Z3930" s="81"/>
      <c r="AA3930" s="81"/>
      <c r="AB3930" s="81"/>
      <c r="AC3930" s="81"/>
      <c r="AD3930" s="81"/>
      <c r="AE3930" s="81"/>
    </row>
    <row r="3931" spans="1:31" ht="15.75" x14ac:dyDescent="0.25">
      <c r="A3931" s="79"/>
      <c r="B3931" s="80">
        <v>2</v>
      </c>
      <c r="C3931" s="111" t="s">
        <v>59</v>
      </c>
      <c r="D3931" s="111"/>
      <c r="E3931" s="111"/>
      <c r="F3931" s="111"/>
      <c r="G3931" s="111"/>
      <c r="H3931" s="111"/>
      <c r="I3931" s="111"/>
      <c r="J3931" s="111"/>
      <c r="K3931" s="111"/>
      <c r="L3931" s="111"/>
      <c r="M3931" s="111"/>
      <c r="N3931" s="111"/>
      <c r="O3931" s="111"/>
      <c r="P3931" s="111"/>
      <c r="Q3931" s="111"/>
      <c r="R3931" s="111"/>
      <c r="S3931" s="111"/>
      <c r="T3931" s="111"/>
      <c r="U3931" s="111"/>
      <c r="V3931" s="111"/>
      <c r="W3931" s="111"/>
      <c r="X3931" s="111"/>
      <c r="Y3931" s="111"/>
      <c r="Z3931" s="81"/>
      <c r="AA3931" s="81"/>
      <c r="AB3931" s="81"/>
      <c r="AC3931" s="81"/>
      <c r="AD3931" s="81"/>
      <c r="AE3931" s="81"/>
    </row>
    <row r="3932" spans="1:31" ht="15.75" x14ac:dyDescent="0.25">
      <c r="A3932" s="79"/>
      <c r="B3932" s="80">
        <v>3</v>
      </c>
      <c r="C3932" s="111" t="s">
        <v>60</v>
      </c>
      <c r="D3932" s="111"/>
      <c r="E3932" s="111"/>
      <c r="F3932" s="111"/>
      <c r="G3932" s="111"/>
      <c r="H3932" s="111"/>
      <c r="I3932" s="111"/>
      <c r="J3932" s="111"/>
      <c r="K3932" s="111"/>
      <c r="L3932" s="111"/>
      <c r="M3932" s="111"/>
      <c r="N3932" s="111"/>
      <c r="O3932" s="111"/>
      <c r="P3932" s="111"/>
      <c r="Q3932" s="111"/>
      <c r="R3932" s="111"/>
      <c r="S3932" s="111"/>
      <c r="T3932" s="111"/>
      <c r="U3932" s="111"/>
      <c r="V3932" s="111"/>
      <c r="W3932" s="111"/>
      <c r="X3932" s="111"/>
      <c r="Y3932" s="111"/>
      <c r="Z3932" s="81"/>
      <c r="AA3932" s="81"/>
      <c r="AB3932" s="81"/>
      <c r="AC3932" s="81"/>
      <c r="AD3932" s="81"/>
      <c r="AE3932" s="81"/>
    </row>
    <row r="3933" spans="1:31" ht="15.75" x14ac:dyDescent="0.25">
      <c r="A3933" s="79"/>
      <c r="B3933" s="80">
        <v>4</v>
      </c>
      <c r="C3933" s="111" t="s">
        <v>61</v>
      </c>
      <c r="D3933" s="111"/>
      <c r="E3933" s="111"/>
      <c r="F3933" s="111"/>
      <c r="G3933" s="111"/>
      <c r="H3933" s="111"/>
      <c r="I3933" s="111"/>
      <c r="J3933" s="111"/>
      <c r="K3933" s="111"/>
      <c r="L3933" s="111"/>
      <c r="M3933" s="111"/>
      <c r="N3933" s="111"/>
      <c r="O3933" s="111"/>
      <c r="P3933" s="111"/>
      <c r="Q3933" s="111"/>
      <c r="R3933" s="111"/>
      <c r="S3933" s="111"/>
      <c r="T3933" s="111"/>
      <c r="U3933" s="111"/>
      <c r="V3933" s="111"/>
      <c r="W3933" s="111"/>
      <c r="X3933" s="111"/>
      <c r="Y3933" s="111"/>
      <c r="Z3933" s="81"/>
      <c r="AA3933" s="81"/>
      <c r="AB3933" s="81"/>
      <c r="AC3933" s="81"/>
      <c r="AD3933" s="81"/>
      <c r="AE3933" s="81"/>
    </row>
    <row r="3934" spans="1:31" ht="15.75" x14ac:dyDescent="0.25">
      <c r="A3934" s="79"/>
      <c r="B3934" s="80">
        <v>5</v>
      </c>
      <c r="C3934" s="111" t="s">
        <v>62</v>
      </c>
      <c r="D3934" s="76"/>
      <c r="E3934" s="76"/>
      <c r="F3934" s="76"/>
      <c r="G3934" s="76"/>
      <c r="H3934" s="76"/>
      <c r="I3934" s="76"/>
      <c r="J3934" s="76"/>
      <c r="K3934" s="76"/>
      <c r="L3934" s="76"/>
      <c r="M3934" s="76"/>
      <c r="N3934" s="76"/>
      <c r="O3934" s="76"/>
      <c r="P3934" s="76"/>
      <c r="Q3934" s="76"/>
      <c r="R3934" s="76"/>
      <c r="S3934" s="76"/>
      <c r="T3934" s="76"/>
      <c r="U3934" s="76"/>
      <c r="V3934" s="76"/>
      <c r="W3934" s="76"/>
      <c r="X3934" s="76"/>
      <c r="Y3934" s="76"/>
      <c r="Z3934" s="81"/>
      <c r="AA3934" s="81"/>
      <c r="AB3934" s="81"/>
      <c r="AC3934" s="81"/>
      <c r="AD3934" s="81"/>
      <c r="AE3934" s="81"/>
    </row>
    <row r="3935" spans="1:31" ht="15.75" x14ac:dyDescent="0.25">
      <c r="A3935" s="79"/>
      <c r="B3935" s="80">
        <v>6</v>
      </c>
      <c r="C3935" s="111" t="s">
        <v>63</v>
      </c>
      <c r="D3935" s="76"/>
      <c r="E3935" s="76"/>
      <c r="F3935" s="76"/>
      <c r="G3935" s="76"/>
      <c r="H3935" s="76"/>
      <c r="I3935" s="76"/>
      <c r="J3935" s="76"/>
      <c r="K3935" s="76"/>
      <c r="L3935" s="76"/>
      <c r="M3935" s="76"/>
      <c r="N3935" s="76"/>
      <c r="O3935" s="76"/>
      <c r="P3935" s="76"/>
      <c r="Q3935" s="76"/>
      <c r="R3935" s="76"/>
      <c r="S3935" s="76"/>
      <c r="T3935" s="76"/>
      <c r="U3935" s="76"/>
      <c r="V3935" s="76"/>
      <c r="W3935" s="76"/>
      <c r="X3935" s="76"/>
      <c r="Y3935" s="76"/>
      <c r="Z3935" s="81"/>
      <c r="AA3935" s="81"/>
      <c r="AB3935" s="81"/>
      <c r="AC3935" s="81"/>
      <c r="AD3935" s="81"/>
      <c r="AE3935" s="81"/>
    </row>
    <row r="3936" spans="1:31" ht="15.75" x14ac:dyDescent="0.25">
      <c r="A3936" s="79"/>
      <c r="B3936" s="80">
        <v>7</v>
      </c>
      <c r="C3936" s="111" t="s">
        <v>64</v>
      </c>
      <c r="D3936" s="111"/>
      <c r="E3936" s="111"/>
      <c r="F3936" s="111"/>
      <c r="G3936" s="111"/>
      <c r="H3936" s="111"/>
      <c r="I3936" s="111"/>
      <c r="J3936" s="111"/>
      <c r="K3936" s="111"/>
      <c r="L3936" s="111"/>
      <c r="M3936" s="111"/>
      <c r="N3936" s="111"/>
      <c r="O3936" s="111"/>
      <c r="P3936" s="111"/>
      <c r="Q3936" s="111"/>
      <c r="R3936" s="111"/>
      <c r="S3936" s="111"/>
      <c r="T3936" s="111"/>
      <c r="U3936" s="111"/>
      <c r="V3936" s="111"/>
      <c r="W3936" s="111"/>
      <c r="X3936" s="111"/>
      <c r="Y3936" s="111"/>
      <c r="Z3936" s="81"/>
      <c r="AA3936" s="81"/>
      <c r="AB3936" s="81"/>
      <c r="AC3936" s="81"/>
      <c r="AD3936" s="81"/>
      <c r="AE3936" s="81"/>
    </row>
    <row r="3937" spans="1:31" ht="15.75" x14ac:dyDescent="0.25">
      <c r="A3937" s="79"/>
      <c r="B3937" s="80">
        <v>8</v>
      </c>
      <c r="C3937" s="111" t="s">
        <v>65</v>
      </c>
      <c r="D3937" s="111"/>
      <c r="E3937" s="111"/>
      <c r="F3937" s="111"/>
      <c r="G3937" s="111"/>
      <c r="H3937" s="111"/>
      <c r="I3937" s="111"/>
      <c r="J3937" s="111"/>
      <c r="K3937" s="111"/>
      <c r="L3937" s="111"/>
      <c r="M3937" s="111"/>
      <c r="N3937" s="111"/>
      <c r="O3937" s="111"/>
      <c r="P3937" s="111"/>
      <c r="Q3937" s="111"/>
      <c r="R3937" s="111"/>
      <c r="S3937" s="111"/>
      <c r="T3937" s="111"/>
      <c r="U3937" s="111"/>
      <c r="V3937" s="111"/>
      <c r="W3937" s="111"/>
      <c r="X3937" s="111"/>
      <c r="Y3937" s="111"/>
      <c r="Z3937" s="81"/>
      <c r="AA3937" s="81"/>
      <c r="AB3937" s="81"/>
      <c r="AC3937" s="81"/>
      <c r="AD3937" s="81"/>
      <c r="AE3937" s="81"/>
    </row>
    <row r="3938" spans="1:31" ht="15.75" x14ac:dyDescent="0.25">
      <c r="A3938" s="79"/>
      <c r="B3938" s="80">
        <v>9</v>
      </c>
      <c r="C3938" s="111" t="s">
        <v>66</v>
      </c>
      <c r="D3938" s="111"/>
      <c r="E3938" s="111"/>
      <c r="F3938" s="111"/>
      <c r="G3938" s="111"/>
      <c r="H3938" s="111"/>
      <c r="I3938" s="111"/>
      <c r="J3938" s="111"/>
      <c r="K3938" s="111"/>
      <c r="L3938" s="111"/>
      <c r="M3938" s="111"/>
      <c r="N3938" s="111"/>
      <c r="O3938" s="111"/>
      <c r="P3938" s="111"/>
      <c r="Q3938" s="111"/>
      <c r="R3938" s="111"/>
      <c r="S3938" s="111"/>
      <c r="T3938" s="111"/>
      <c r="U3938" s="111"/>
      <c r="V3938" s="111"/>
      <c r="W3938" s="111"/>
      <c r="X3938" s="111"/>
      <c r="Y3938" s="111"/>
      <c r="Z3938" s="81"/>
      <c r="AA3938" s="81"/>
      <c r="AB3938" s="81"/>
      <c r="AC3938" s="81"/>
      <c r="AD3938" s="81"/>
      <c r="AE3938" s="81"/>
    </row>
    <row r="3939" spans="1:31" ht="15.75" x14ac:dyDescent="0.25">
      <c r="A3939" s="79"/>
      <c r="B3939" s="80">
        <v>10</v>
      </c>
      <c r="C3939" s="111" t="s">
        <v>67</v>
      </c>
      <c r="D3939" s="111"/>
      <c r="E3939" s="111"/>
      <c r="F3939" s="111"/>
      <c r="G3939" s="111"/>
      <c r="H3939" s="111"/>
      <c r="I3939" s="111"/>
      <c r="J3939" s="111"/>
      <c r="K3939" s="111"/>
      <c r="L3939" s="111"/>
      <c r="M3939" s="111"/>
      <c r="N3939" s="111"/>
      <c r="O3939" s="111"/>
      <c r="P3939" s="111"/>
      <c r="Q3939" s="111"/>
      <c r="R3939" s="111"/>
      <c r="S3939" s="111"/>
      <c r="T3939" s="111"/>
      <c r="U3939" s="111"/>
      <c r="V3939" s="111"/>
      <c r="W3939" s="111"/>
      <c r="X3939" s="111"/>
      <c r="Y3939" s="111"/>
      <c r="Z3939" s="81"/>
      <c r="AA3939" s="81"/>
      <c r="AB3939" s="81"/>
      <c r="AC3939" s="81"/>
      <c r="AD3939" s="81"/>
      <c r="AE3939" s="81"/>
    </row>
    <row r="3940" spans="1:31" ht="15.75" x14ac:dyDescent="0.25">
      <c r="A3940" s="79"/>
      <c r="B3940" s="80">
        <v>11</v>
      </c>
      <c r="C3940" s="111" t="s">
        <v>68</v>
      </c>
      <c r="D3940" s="76"/>
      <c r="E3940" s="76"/>
      <c r="F3940" s="76"/>
      <c r="G3940" s="76"/>
      <c r="H3940" s="76"/>
      <c r="I3940" s="76"/>
      <c r="J3940" s="76"/>
      <c r="K3940" s="76"/>
      <c r="L3940" s="76"/>
      <c r="M3940" s="76"/>
      <c r="N3940" s="76"/>
      <c r="O3940" s="76"/>
      <c r="P3940" s="76"/>
      <c r="Q3940" s="76"/>
      <c r="R3940" s="76"/>
      <c r="S3940" s="76"/>
      <c r="T3940" s="76"/>
      <c r="U3940" s="76"/>
      <c r="V3940" s="76"/>
      <c r="W3940" s="76"/>
      <c r="X3940" s="76"/>
      <c r="Y3940" s="76"/>
      <c r="Z3940" s="81"/>
      <c r="AA3940" s="81"/>
      <c r="AB3940" s="81"/>
      <c r="AC3940" s="81"/>
      <c r="AD3940" s="81"/>
      <c r="AE3940" s="81"/>
    </row>
    <row r="3941" spans="1:31" ht="15.75" x14ac:dyDescent="0.25">
      <c r="A3941" s="79"/>
      <c r="B3941" s="80">
        <v>12</v>
      </c>
      <c r="C3941" s="111" t="s">
        <v>69</v>
      </c>
      <c r="D3941" s="76"/>
      <c r="E3941" s="76"/>
      <c r="F3941" s="76"/>
      <c r="G3941" s="76"/>
      <c r="H3941" s="76"/>
      <c r="I3941" s="76"/>
      <c r="J3941" s="76"/>
      <c r="K3941" s="76"/>
      <c r="L3941" s="76"/>
      <c r="M3941" s="76"/>
      <c r="N3941" s="76"/>
      <c r="O3941" s="76"/>
      <c r="P3941" s="76"/>
      <c r="Q3941" s="76"/>
      <c r="R3941" s="111"/>
      <c r="S3941" s="111"/>
      <c r="T3941" s="111"/>
      <c r="U3941" s="111"/>
      <c r="V3941" s="111"/>
      <c r="W3941" s="111"/>
      <c r="X3941" s="111"/>
      <c r="Y3941" s="111"/>
      <c r="Z3941" s="81"/>
      <c r="AA3941" s="81"/>
      <c r="AB3941" s="81"/>
      <c r="AC3941" s="81"/>
      <c r="AD3941" s="81"/>
      <c r="AE3941" s="81"/>
    </row>
    <row r="3942" spans="1:31" ht="15.75" x14ac:dyDescent="0.25">
      <c r="A3942" s="79"/>
      <c r="B3942" s="80"/>
      <c r="C3942" s="111"/>
      <c r="D3942" s="76"/>
      <c r="E3942" s="76"/>
      <c r="F3942" s="76"/>
      <c r="G3942" s="76"/>
      <c r="H3942" s="76"/>
      <c r="I3942" s="76"/>
      <c r="J3942" s="76"/>
      <c r="K3942" s="76"/>
      <c r="L3942" s="76"/>
      <c r="M3942" s="76"/>
      <c r="N3942" s="76"/>
      <c r="O3942" s="76"/>
      <c r="P3942" s="76"/>
      <c r="Q3942" s="76"/>
      <c r="R3942" s="111"/>
      <c r="S3942" s="111"/>
      <c r="T3942" s="111"/>
      <c r="U3942" s="111"/>
      <c r="V3942" s="111"/>
      <c r="W3942" s="111"/>
      <c r="X3942" s="111"/>
      <c r="Y3942" s="111"/>
      <c r="Z3942" s="81"/>
      <c r="AA3942" s="81"/>
      <c r="AB3942" s="81"/>
      <c r="AC3942" s="81"/>
      <c r="AD3942" s="81"/>
      <c r="AE3942" s="81"/>
    </row>
    <row r="3943" spans="1:31" ht="15.75" x14ac:dyDescent="0.25">
      <c r="A3943" s="79"/>
      <c r="B3943" s="80">
        <v>13</v>
      </c>
      <c r="C3943" s="111" t="s">
        <v>70</v>
      </c>
      <c r="D3943" s="76"/>
      <c r="E3943" s="76"/>
      <c r="F3943" s="76"/>
      <c r="G3943" s="76"/>
      <c r="H3943" s="76"/>
      <c r="I3943" s="76"/>
      <c r="J3943" s="76"/>
      <c r="K3943" s="76"/>
      <c r="L3943" s="76"/>
      <c r="M3943" s="76"/>
      <c r="N3943" s="76"/>
      <c r="O3943" s="76"/>
      <c r="P3943" s="76"/>
      <c r="Q3943" s="76"/>
      <c r="R3943" s="111"/>
      <c r="S3943" s="111"/>
      <c r="T3943" s="111"/>
      <c r="U3943" s="111"/>
      <c r="V3943" s="111"/>
      <c r="W3943" s="111"/>
      <c r="X3943" s="111"/>
      <c r="Y3943" s="111"/>
      <c r="Z3943" s="81"/>
      <c r="AA3943" s="81"/>
      <c r="AB3943" s="81"/>
      <c r="AC3943" s="81"/>
      <c r="AD3943" s="81"/>
      <c r="AE3943" s="81"/>
    </row>
    <row r="3944" spans="1:31" ht="15.75" x14ac:dyDescent="0.25">
      <c r="A3944" s="79"/>
      <c r="B3944" s="80">
        <v>14</v>
      </c>
      <c r="C3944" s="111" t="s">
        <v>71</v>
      </c>
      <c r="D3944" s="76"/>
      <c r="E3944" s="76"/>
      <c r="F3944" s="76"/>
      <c r="G3944" s="76"/>
      <c r="H3944" s="76"/>
      <c r="I3944" s="76"/>
      <c r="J3944" s="76"/>
      <c r="K3944" s="76"/>
      <c r="L3944" s="76"/>
      <c r="M3944" s="76"/>
      <c r="N3944" s="76"/>
      <c r="O3944" s="76"/>
      <c r="P3944" s="76"/>
      <c r="Q3944" s="76"/>
      <c r="R3944" s="76"/>
      <c r="S3944" s="76"/>
      <c r="T3944" s="76"/>
      <c r="U3944" s="76"/>
      <c r="V3944" s="76"/>
      <c r="W3944" s="76"/>
      <c r="X3944" s="76"/>
      <c r="Y3944" s="76"/>
      <c r="Z3944" s="81"/>
      <c r="AA3944" s="81"/>
      <c r="AB3944" s="81"/>
      <c r="AC3944" s="81"/>
      <c r="AD3944" s="81"/>
      <c r="AE3944" s="81"/>
    </row>
    <row r="3945" spans="1:31" ht="15.75" x14ac:dyDescent="0.25">
      <c r="A3945" s="79"/>
      <c r="B3945" s="80">
        <v>15</v>
      </c>
      <c r="C3945" s="111" t="s">
        <v>72</v>
      </c>
      <c r="D3945" s="76"/>
      <c r="E3945" s="76"/>
      <c r="F3945" s="76"/>
      <c r="G3945" s="76"/>
      <c r="H3945" s="76"/>
      <c r="I3945" s="76"/>
      <c r="J3945" s="76"/>
      <c r="K3945" s="76"/>
      <c r="L3945" s="76"/>
      <c r="M3945" s="76"/>
      <c r="N3945" s="76"/>
      <c r="O3945" s="76"/>
      <c r="P3945" s="76"/>
      <c r="Q3945" s="76"/>
      <c r="R3945" s="76"/>
      <c r="S3945" s="76"/>
      <c r="T3945" s="76"/>
      <c r="U3945" s="76"/>
      <c r="V3945" s="76"/>
      <c r="W3945" s="76"/>
      <c r="X3945" s="76"/>
      <c r="Y3945" s="76"/>
      <c r="Z3945" s="81"/>
      <c r="AA3945" s="81"/>
      <c r="AB3945" s="81"/>
      <c r="AC3945" s="81"/>
      <c r="AD3945" s="81"/>
      <c r="AE3945" s="81"/>
    </row>
    <row r="3946" spans="1:31" ht="15.75" x14ac:dyDescent="0.25">
      <c r="A3946" s="79"/>
      <c r="B3946" s="80">
        <v>16</v>
      </c>
      <c r="C3946" s="111" t="s">
        <v>73</v>
      </c>
      <c r="D3946" s="111"/>
      <c r="E3946" s="111"/>
      <c r="F3946" s="111"/>
      <c r="G3946" s="111"/>
      <c r="H3946" s="111"/>
      <c r="I3946" s="111"/>
      <c r="J3946" s="111"/>
      <c r="K3946" s="111"/>
      <c r="L3946" s="111"/>
      <c r="M3946" s="111"/>
      <c r="N3946" s="111"/>
      <c r="O3946" s="111"/>
      <c r="P3946" s="111"/>
      <c r="Q3946" s="111"/>
      <c r="R3946" s="111"/>
      <c r="S3946" s="111"/>
      <c r="T3946" s="111"/>
      <c r="U3946" s="111"/>
      <c r="V3946" s="111"/>
      <c r="W3946" s="111"/>
      <c r="X3946" s="111"/>
      <c r="Y3946" s="111"/>
      <c r="Z3946" s="81"/>
      <c r="AA3946" s="81"/>
      <c r="AB3946" s="81"/>
      <c r="AC3946" s="81"/>
      <c r="AD3946" s="81"/>
      <c r="AE3946" s="81"/>
    </row>
    <row r="3947" spans="1:31" ht="15.75" x14ac:dyDescent="0.25">
      <c r="A3947" s="79"/>
      <c r="B3947" s="80">
        <v>17</v>
      </c>
      <c r="C3947" s="111" t="s">
        <v>74</v>
      </c>
      <c r="D3947" s="111"/>
      <c r="E3947" s="111"/>
      <c r="F3947" s="111"/>
      <c r="G3947" s="111"/>
      <c r="H3947" s="111"/>
      <c r="I3947" s="111"/>
      <c r="J3947" s="111"/>
      <c r="K3947" s="111"/>
      <c r="L3947" s="111"/>
      <c r="M3947" s="111"/>
      <c r="N3947" s="111"/>
      <c r="O3947" s="111"/>
      <c r="P3947" s="111"/>
      <c r="Q3947" s="111"/>
      <c r="R3947" s="111"/>
      <c r="S3947" s="111"/>
      <c r="T3947" s="111"/>
      <c r="U3947" s="111"/>
      <c r="V3947" s="111"/>
      <c r="W3947" s="111"/>
      <c r="X3947" s="111"/>
      <c r="Y3947" s="111"/>
      <c r="Z3947" s="81"/>
      <c r="AA3947" s="81"/>
      <c r="AB3947" s="81"/>
      <c r="AC3947" s="81"/>
      <c r="AD3947" s="81"/>
      <c r="AE3947" s="81"/>
    </row>
    <row r="3948" spans="1:31" ht="15.75" x14ac:dyDescent="0.25">
      <c r="A3948" s="79"/>
      <c r="B3948" s="80">
        <v>18</v>
      </c>
      <c r="C3948" s="111" t="s">
        <v>75</v>
      </c>
      <c r="D3948" s="111"/>
      <c r="E3948" s="111"/>
      <c r="F3948" s="111"/>
      <c r="G3948" s="111"/>
      <c r="H3948" s="111"/>
      <c r="I3948" s="111"/>
      <c r="J3948" s="111"/>
      <c r="K3948" s="111"/>
      <c r="L3948" s="111"/>
      <c r="M3948" s="111"/>
      <c r="N3948" s="111"/>
      <c r="O3948" s="111"/>
      <c r="P3948" s="111"/>
      <c r="Q3948" s="111"/>
      <c r="R3948" s="111"/>
      <c r="S3948" s="111"/>
      <c r="T3948" s="111"/>
      <c r="U3948" s="111"/>
      <c r="V3948" s="111"/>
      <c r="W3948" s="111"/>
      <c r="X3948" s="111"/>
      <c r="Y3948" s="111"/>
      <c r="Z3948" s="81"/>
      <c r="AA3948" s="81"/>
      <c r="AB3948" s="81"/>
      <c r="AC3948" s="81"/>
      <c r="AD3948" s="81"/>
      <c r="AE3948" s="81"/>
    </row>
    <row r="3949" spans="1:31" ht="15.75" x14ac:dyDescent="0.25">
      <c r="A3949" s="79"/>
      <c r="B3949" s="80">
        <v>19</v>
      </c>
      <c r="C3949" s="111" t="s">
        <v>76</v>
      </c>
      <c r="D3949" s="111"/>
      <c r="E3949" s="111"/>
      <c r="F3949" s="111"/>
      <c r="G3949" s="111"/>
      <c r="H3949" s="111"/>
      <c r="I3949" s="111"/>
      <c r="J3949" s="111"/>
      <c r="K3949" s="111"/>
      <c r="L3949" s="111"/>
      <c r="M3949" s="111"/>
      <c r="N3949" s="111"/>
      <c r="O3949" s="111"/>
      <c r="P3949" s="111"/>
      <c r="Q3949" s="111"/>
      <c r="R3949" s="111"/>
      <c r="S3949" s="111"/>
      <c r="T3949" s="111"/>
      <c r="U3949" s="111"/>
      <c r="V3949" s="111"/>
      <c r="W3949" s="111"/>
      <c r="X3949" s="111"/>
      <c r="Y3949" s="111"/>
      <c r="Z3949" s="81"/>
      <c r="AA3949" s="81"/>
      <c r="AB3949" s="81"/>
      <c r="AC3949" s="81"/>
      <c r="AD3949" s="81"/>
      <c r="AE3949" s="81"/>
    </row>
    <row r="3950" spans="1:31" ht="15.75" x14ac:dyDescent="0.25">
      <c r="A3950" s="79"/>
      <c r="B3950" s="80">
        <v>20.21</v>
      </c>
      <c r="C3950" s="111" t="s">
        <v>77</v>
      </c>
      <c r="D3950" s="111"/>
      <c r="E3950" s="111"/>
      <c r="F3950" s="111"/>
      <c r="G3950" s="111"/>
      <c r="H3950" s="111"/>
      <c r="I3950" s="111"/>
      <c r="J3950" s="111"/>
      <c r="K3950" s="111"/>
      <c r="L3950" s="111"/>
      <c r="M3950" s="111"/>
      <c r="N3950" s="76"/>
      <c r="O3950" s="76"/>
      <c r="P3950" s="76"/>
      <c r="Q3950" s="76"/>
      <c r="R3950" s="111"/>
      <c r="S3950" s="111"/>
      <c r="T3950" s="111"/>
      <c r="U3950" s="111"/>
      <c r="V3950" s="111"/>
      <c r="W3950" s="111"/>
      <c r="X3950" s="111"/>
      <c r="Y3950" s="111"/>
      <c r="Z3950" s="81"/>
      <c r="AA3950" s="81"/>
      <c r="AB3950" s="81"/>
      <c r="AC3950" s="81"/>
      <c r="AD3950" s="81"/>
      <c r="AE3950" s="81"/>
    </row>
    <row r="3951" spans="1:31" ht="15.75" x14ac:dyDescent="0.25">
      <c r="A3951" s="79"/>
      <c r="B3951" s="80">
        <v>22</v>
      </c>
      <c r="C3951" s="111" t="s">
        <v>78</v>
      </c>
      <c r="D3951" s="111"/>
      <c r="E3951" s="111"/>
      <c r="F3951" s="111"/>
      <c r="G3951" s="111"/>
      <c r="H3951" s="111"/>
      <c r="I3951" s="111"/>
      <c r="J3951" s="111"/>
      <c r="K3951" s="111"/>
      <c r="L3951" s="111"/>
      <c r="M3951" s="111"/>
      <c r="N3951" s="76"/>
      <c r="O3951" s="76"/>
      <c r="P3951" s="76"/>
      <c r="Q3951" s="76"/>
      <c r="R3951" s="111"/>
      <c r="S3951" s="111"/>
      <c r="T3951" s="111"/>
      <c r="U3951" s="111"/>
      <c r="V3951" s="111"/>
      <c r="W3951" s="111"/>
      <c r="X3951" s="111"/>
      <c r="Y3951" s="111"/>
      <c r="Z3951" s="81"/>
      <c r="AA3951" s="81"/>
      <c r="AB3951" s="81"/>
      <c r="AC3951" s="81"/>
      <c r="AD3951" s="81"/>
      <c r="AE3951" s="81"/>
    </row>
    <row r="3952" spans="1:31" ht="15.75" x14ac:dyDescent="0.25">
      <c r="A3952" s="79"/>
      <c r="B3952" s="80">
        <v>23</v>
      </c>
      <c r="C3952" s="111" t="s">
        <v>79</v>
      </c>
      <c r="D3952" s="76"/>
      <c r="E3952" s="76"/>
      <c r="F3952" s="76"/>
      <c r="G3952" s="76"/>
      <c r="H3952" s="76"/>
      <c r="I3952" s="76"/>
      <c r="J3952" s="76"/>
      <c r="K3952" s="76"/>
      <c r="L3952" s="76"/>
      <c r="M3952" s="76"/>
      <c r="N3952" s="76"/>
      <c r="O3952" s="76"/>
      <c r="P3952" s="76"/>
      <c r="Q3952" s="76"/>
      <c r="R3952" s="76"/>
      <c r="S3952" s="76"/>
      <c r="T3952" s="76"/>
      <c r="U3952" s="76"/>
      <c r="V3952" s="76"/>
      <c r="W3952" s="76"/>
      <c r="X3952" s="76"/>
      <c r="Y3952" s="76"/>
      <c r="Z3952" s="81"/>
      <c r="AA3952" s="81"/>
      <c r="AB3952" s="81"/>
      <c r="AC3952" s="81"/>
      <c r="AD3952" s="81"/>
      <c r="AE3952" s="81"/>
    </row>
    <row r="3953" spans="1:31" ht="15.75" x14ac:dyDescent="0.25">
      <c r="A3953" s="79"/>
      <c r="B3953" s="80">
        <v>24</v>
      </c>
      <c r="C3953" s="111" t="s">
        <v>80</v>
      </c>
      <c r="D3953" s="111"/>
      <c r="E3953" s="111"/>
      <c r="F3953" s="111"/>
      <c r="G3953" s="111"/>
      <c r="H3953" s="111"/>
      <c r="I3953" s="111"/>
      <c r="J3953" s="111"/>
      <c r="K3953" s="111"/>
      <c r="L3953" s="111"/>
      <c r="M3953" s="111"/>
      <c r="N3953" s="111"/>
      <c r="O3953" s="111"/>
      <c r="P3953" s="111"/>
      <c r="Q3953" s="111"/>
      <c r="R3953" s="111"/>
      <c r="S3953" s="111"/>
      <c r="T3953" s="111"/>
      <c r="U3953" s="111"/>
      <c r="V3953" s="111"/>
      <c r="W3953" s="111"/>
      <c r="X3953" s="111"/>
      <c r="Y3953" s="111"/>
      <c r="Z3953" s="81"/>
      <c r="AA3953" s="81"/>
      <c r="AB3953" s="81"/>
      <c r="AC3953" s="81"/>
      <c r="AD3953" s="81"/>
      <c r="AE3953" s="81"/>
    </row>
    <row r="3954" spans="1:31" ht="15.75" x14ac:dyDescent="0.25">
      <c r="A3954" s="79"/>
      <c r="B3954" s="80"/>
      <c r="C3954" s="111" t="s">
        <v>81</v>
      </c>
      <c r="D3954" s="111"/>
      <c r="E3954" s="111"/>
      <c r="F3954" s="111"/>
      <c r="G3954" s="111"/>
      <c r="H3954" s="111"/>
      <c r="I3954" s="111"/>
      <c r="J3954" s="111"/>
      <c r="K3954" s="111"/>
      <c r="L3954" s="111"/>
      <c r="M3954" s="111"/>
      <c r="N3954" s="111"/>
      <c r="O3954" s="111"/>
      <c r="P3954" s="111"/>
      <c r="Q3954" s="111"/>
      <c r="R3954" s="111"/>
      <c r="S3954" s="111"/>
      <c r="T3954" s="111"/>
      <c r="U3954" s="111"/>
      <c r="V3954" s="111"/>
      <c r="W3954" s="111"/>
      <c r="X3954" s="111"/>
      <c r="Y3954" s="111"/>
      <c r="Z3954" s="81"/>
      <c r="AA3954" s="81"/>
      <c r="AB3954" s="81"/>
      <c r="AC3954" s="81"/>
      <c r="AD3954" s="81"/>
      <c r="AE3954" s="81"/>
    </row>
    <row r="3955" spans="1:31" ht="15.75" x14ac:dyDescent="0.25">
      <c r="A3955" s="79"/>
      <c r="B3955" s="113"/>
      <c r="C3955" s="111" t="s">
        <v>82</v>
      </c>
      <c r="D3955" s="123"/>
      <c r="E3955" s="123"/>
      <c r="F3955" s="123"/>
      <c r="G3955" s="123"/>
      <c r="H3955" s="123"/>
      <c r="I3955" s="123"/>
      <c r="J3955" s="123"/>
      <c r="K3955" s="123"/>
      <c r="L3955" s="123"/>
      <c r="M3955" s="123"/>
      <c r="N3955" s="123"/>
      <c r="O3955" s="123"/>
      <c r="P3955" s="123"/>
      <c r="Q3955" s="123"/>
      <c r="R3955" s="123"/>
      <c r="S3955" s="123"/>
      <c r="T3955" s="123"/>
      <c r="U3955" s="123"/>
      <c r="V3955" s="123"/>
      <c r="W3955" s="123"/>
      <c r="X3955" s="123"/>
      <c r="Y3955" s="123"/>
      <c r="Z3955" s="81"/>
      <c r="AA3955" s="81"/>
      <c r="AB3955" s="81"/>
      <c r="AC3955" s="81"/>
      <c r="AD3955" s="81"/>
      <c r="AE3955" s="81"/>
    </row>
    <row r="3956" spans="1:31" ht="15.75" x14ac:dyDescent="0.25">
      <c r="A3956" s="79"/>
      <c r="C3956" s="111"/>
      <c r="Z3956" s="81"/>
      <c r="AA3956" s="81"/>
      <c r="AB3956" s="81"/>
      <c r="AC3956" s="81"/>
      <c r="AD3956" s="81"/>
      <c r="AE3956" s="81"/>
    </row>
  </sheetData>
  <autoFilter ref="A31:GH3911"/>
  <mergeCells count="26">
    <mergeCell ref="T28:Y28"/>
    <mergeCell ref="T14:Y14"/>
    <mergeCell ref="T11:Y11"/>
    <mergeCell ref="T8:Y8"/>
    <mergeCell ref="B4:Y4"/>
    <mergeCell ref="B5:C5"/>
    <mergeCell ref="D5:X5"/>
    <mergeCell ref="T6:Y6"/>
    <mergeCell ref="T7:Y7"/>
    <mergeCell ref="T13:Y13"/>
    <mergeCell ref="T9:Y9"/>
    <mergeCell ref="T10:Y10"/>
    <mergeCell ref="T12:Y12"/>
    <mergeCell ref="T20:Y20"/>
    <mergeCell ref="T21:Y21"/>
    <mergeCell ref="T22:Y22"/>
    <mergeCell ref="T15:Y15"/>
    <mergeCell ref="T16:Y16"/>
    <mergeCell ref="T17:Y17"/>
    <mergeCell ref="T18:Y18"/>
    <mergeCell ref="T19:Y19"/>
    <mergeCell ref="T26:Y26"/>
    <mergeCell ref="T27:Y27"/>
    <mergeCell ref="T25:Y25"/>
    <mergeCell ref="T23:Y23"/>
    <mergeCell ref="T24:Y24"/>
  </mergeCells>
  <pageMargins left="0" right="0" top="0.39370078740157483" bottom="0.39370078740157483" header="0.31496062992125984" footer="0.31496062992125984"/>
  <pageSetup paperSize="9" scale="3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80" zoomScaleSheetLayoutView="80" workbookViewId="0">
      <selection activeCell="AA7" sqref="A4:AA7"/>
    </sheetView>
  </sheetViews>
  <sheetFormatPr defaultRowHeight="15" x14ac:dyDescent="0.25"/>
  <cols>
    <col min="4" max="4" width="14.28515625" customWidth="1"/>
    <col min="5" max="5" width="14.140625" customWidth="1"/>
    <col min="6" max="6" width="15" customWidth="1"/>
    <col min="10" max="11" width="13.7109375" customWidth="1"/>
    <col min="19" max="19" width="6.85546875" customWidth="1"/>
    <col min="20" max="20" width="12.140625" customWidth="1"/>
    <col min="21" max="21" width="12.5703125" customWidth="1"/>
  </cols>
  <sheetData/>
  <pageMargins left="0.7" right="0.7" top="0.75" bottom="0.75" header="0.3" footer="0.3"/>
  <pageSetup paperSize="9" scale="54"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9" sqref="E2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Sheet0</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Гульнара Бейсенова</cp:lastModifiedBy>
  <cp:lastPrinted>2016-10-28T06:44:50Z</cp:lastPrinted>
  <dcterms:created xsi:type="dcterms:W3CDTF">2016-02-03T04:44:05Z</dcterms:created>
  <dcterms:modified xsi:type="dcterms:W3CDTF">2016-11-22T13:40:49Z</dcterms:modified>
</cp:coreProperties>
</file>