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15075" windowHeight="13635"/>
  </bookViews>
  <sheets>
    <sheet name="ПДЗ" sheetId="1" r:id="rId1"/>
    <sheet name="корректировка" sheetId="3" r:id="rId2"/>
  </sheets>
  <definedNames>
    <definedName name="_xlnm._FilterDatabase" localSheetId="0" hidden="1">ПДЗ!$A$35:$AP$228</definedName>
    <definedName name="_xlnm.Print_Titles" localSheetId="0">ПДЗ!$32:$35</definedName>
    <definedName name="_xlnm.Print_Area" localSheetId="0">ПДЗ!$A$1:$Z$230</definedName>
  </definedNames>
  <calcPr calcId="145621"/>
  <fileRecoveryPr autoRecover="0"/>
</workbook>
</file>

<file path=xl/calcChain.xml><?xml version="1.0" encoding="utf-8"?>
<calcChain xmlns="http://schemas.openxmlformats.org/spreadsheetml/2006/main">
  <c r="V41" i="3" l="1"/>
  <c r="W41" i="3" s="1"/>
  <c r="V39" i="3"/>
  <c r="W39" i="3" s="1"/>
  <c r="V37" i="3"/>
  <c r="W37" i="3" s="1"/>
  <c r="R37" i="3"/>
  <c r="Q37" i="3"/>
  <c r="R36" i="3"/>
  <c r="Q36" i="3"/>
  <c r="V35" i="3"/>
  <c r="W35" i="3" s="1"/>
  <c r="V33" i="3"/>
  <c r="W33" i="3" s="1"/>
  <c r="V31" i="3"/>
  <c r="W31" i="3" s="1"/>
  <c r="V29" i="3"/>
  <c r="W29" i="3" s="1"/>
  <c r="V27" i="3"/>
  <c r="W27" i="3" s="1"/>
  <c r="V25" i="3"/>
  <c r="W25" i="3" s="1"/>
  <c r="Q23" i="3"/>
  <c r="Q21" i="3"/>
  <c r="Q20" i="3"/>
  <c r="R20" i="3" s="1"/>
  <c r="P19" i="3"/>
  <c r="Q19" i="3" s="1"/>
  <c r="V15" i="3"/>
  <c r="V16" i="3" s="1"/>
  <c r="R19" i="3" l="1"/>
  <c r="V19" i="3" s="1"/>
  <c r="R21" i="3"/>
  <c r="V21" i="3" s="1"/>
  <c r="W21" i="3" s="1"/>
  <c r="R23" i="3"/>
  <c r="V23" i="3" s="1"/>
  <c r="W23" i="3" s="1"/>
  <c r="W15" i="3"/>
  <c r="W16" i="3" s="1"/>
  <c r="V42" i="3" l="1"/>
  <c r="V43" i="3" s="1"/>
  <c r="W19" i="3"/>
  <c r="W42" i="3" s="1"/>
  <c r="W43" i="3" s="1"/>
  <c r="V219" i="1" l="1"/>
  <c r="W219" i="1" s="1"/>
  <c r="V216" i="1"/>
  <c r="W216" i="1" s="1"/>
  <c r="R211" i="1"/>
  <c r="Q211" i="1"/>
  <c r="V211" i="1" s="1"/>
  <c r="W211" i="1" s="1"/>
  <c r="R210" i="1"/>
  <c r="Q210" i="1"/>
  <c r="V200" i="1"/>
  <c r="W200" i="1" s="1"/>
  <c r="V196" i="1"/>
  <c r="W196" i="1" s="1"/>
  <c r="V194" i="1"/>
  <c r="W194" i="1" s="1"/>
  <c r="V189" i="1"/>
  <c r="W189" i="1" s="1"/>
  <c r="V187" i="1"/>
  <c r="W187" i="1" s="1"/>
  <c r="V185" i="1"/>
  <c r="W185" i="1" s="1"/>
  <c r="Q182" i="1"/>
  <c r="Q180" i="1"/>
  <c r="Q179" i="1"/>
  <c r="R179" i="1" s="1"/>
  <c r="W177" i="1"/>
  <c r="W164" i="1"/>
  <c r="P178" i="1"/>
  <c r="Q178" i="1" s="1"/>
  <c r="R182" i="1" l="1"/>
  <c r="V182" i="1" s="1"/>
  <c r="W182" i="1" s="1"/>
  <c r="R180" i="1"/>
  <c r="V180" i="1" s="1"/>
  <c r="W180" i="1" s="1"/>
  <c r="R178" i="1"/>
  <c r="V178" i="1"/>
  <c r="W178" i="1" s="1"/>
  <c r="V165" i="1" l="1"/>
  <c r="W165" i="1" s="1"/>
  <c r="W79" i="1" l="1"/>
  <c r="R115" i="1" l="1"/>
  <c r="Q115" i="1"/>
  <c r="P115" i="1"/>
  <c r="O115" i="1"/>
  <c r="V115" i="1" s="1"/>
  <c r="W115" i="1" s="1"/>
  <c r="R110" i="1"/>
  <c r="Q110" i="1"/>
  <c r="P110" i="1"/>
  <c r="O110" i="1"/>
  <c r="V110" i="1" s="1"/>
  <c r="W110" i="1" s="1"/>
  <c r="R105" i="1"/>
  <c r="Q105" i="1"/>
  <c r="P105" i="1"/>
  <c r="O105" i="1"/>
  <c r="V105" i="1" s="1"/>
  <c r="W105" i="1" s="1"/>
  <c r="R100" i="1"/>
  <c r="Q100" i="1"/>
  <c r="P100" i="1"/>
  <c r="O100" i="1"/>
  <c r="V100" i="1" s="1"/>
  <c r="W100" i="1" s="1"/>
  <c r="R95" i="1"/>
  <c r="Q95" i="1"/>
  <c r="P95" i="1"/>
  <c r="O95" i="1"/>
  <c r="V95" i="1" s="1"/>
  <c r="W95" i="1" s="1"/>
  <c r="R90" i="1"/>
  <c r="Q90" i="1"/>
  <c r="P90" i="1"/>
  <c r="O90" i="1"/>
  <c r="V90" i="1" s="1"/>
  <c r="W90" i="1" s="1"/>
  <c r="R85" i="1"/>
  <c r="Q85" i="1"/>
  <c r="P85" i="1"/>
  <c r="O85" i="1"/>
  <c r="V85" i="1" s="1"/>
  <c r="W85" i="1" s="1"/>
  <c r="R80" i="1"/>
  <c r="Q80" i="1"/>
  <c r="P80" i="1"/>
  <c r="O80" i="1"/>
  <c r="V80" i="1" s="1"/>
  <c r="W80" i="1" s="1"/>
  <c r="V226" i="1" l="1"/>
  <c r="W226" i="1" s="1"/>
  <c r="V225" i="1" l="1"/>
  <c r="W225" i="1" s="1"/>
  <c r="V167" i="1" l="1"/>
  <c r="W167" i="1" s="1"/>
  <c r="V223" i="1" l="1"/>
  <c r="V224" i="1" l="1"/>
  <c r="W224" i="1" s="1"/>
  <c r="W223" i="1" l="1"/>
  <c r="W158" i="1" l="1"/>
  <c r="O158" i="1"/>
  <c r="W222" i="1" l="1"/>
  <c r="W221" i="1" l="1"/>
  <c r="V220" i="1" l="1"/>
  <c r="V209" i="1"/>
  <c r="V207" i="1"/>
  <c r="V206" i="1"/>
  <c r="V205" i="1"/>
  <c r="V204" i="1"/>
  <c r="V198" i="1"/>
  <c r="V190" i="1"/>
  <c r="V176" i="1"/>
  <c r="V175" i="1"/>
  <c r="V173" i="1"/>
  <c r="V172" i="1"/>
  <c r="V168" i="1"/>
  <c r="R214" i="1" l="1"/>
  <c r="R202" i="1"/>
  <c r="R183" i="1"/>
  <c r="R126" i="1"/>
  <c r="R125" i="1"/>
  <c r="R124" i="1"/>
  <c r="R123" i="1"/>
  <c r="R122" i="1"/>
  <c r="R121" i="1"/>
  <c r="R120" i="1"/>
  <c r="R119" i="1"/>
  <c r="R118" i="1"/>
  <c r="R117" i="1"/>
  <c r="R116" i="1"/>
  <c r="R114" i="1"/>
  <c r="R113" i="1"/>
  <c r="R112" i="1"/>
  <c r="R111" i="1"/>
  <c r="R109" i="1"/>
  <c r="R108" i="1"/>
  <c r="R107" i="1"/>
  <c r="R106" i="1"/>
  <c r="R104" i="1"/>
  <c r="R103" i="1"/>
  <c r="R102" i="1"/>
  <c r="R101" i="1"/>
  <c r="R99" i="1"/>
  <c r="R98" i="1"/>
  <c r="R97" i="1"/>
  <c r="R96" i="1"/>
  <c r="R94" i="1"/>
  <c r="R93" i="1"/>
  <c r="R92" i="1"/>
  <c r="R91" i="1"/>
  <c r="R89" i="1"/>
  <c r="R88" i="1"/>
  <c r="R87" i="1"/>
  <c r="R86" i="1"/>
  <c r="R84" i="1"/>
  <c r="R83" i="1"/>
  <c r="R82" i="1"/>
  <c r="R81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W220" i="1" l="1"/>
  <c r="Q114" i="1" l="1"/>
  <c r="P114" i="1"/>
  <c r="O114" i="1"/>
  <c r="Q109" i="1"/>
  <c r="P109" i="1"/>
  <c r="O109" i="1"/>
  <c r="Q104" i="1"/>
  <c r="P104" i="1"/>
  <c r="O104" i="1"/>
  <c r="Q99" i="1"/>
  <c r="P99" i="1"/>
  <c r="O99" i="1"/>
  <c r="Q94" i="1"/>
  <c r="P94" i="1"/>
  <c r="O94" i="1"/>
  <c r="Q89" i="1"/>
  <c r="P89" i="1"/>
  <c r="O89" i="1"/>
  <c r="Q84" i="1"/>
  <c r="P84" i="1"/>
  <c r="O84" i="1"/>
  <c r="Q79" i="1"/>
  <c r="P79" i="1"/>
  <c r="O79" i="1"/>
  <c r="W104" i="1" l="1"/>
  <c r="W84" i="1"/>
  <c r="W99" i="1"/>
  <c r="W94" i="1"/>
  <c r="W114" i="1"/>
  <c r="W89" i="1"/>
  <c r="W109" i="1"/>
  <c r="Q214" i="1"/>
  <c r="P214" i="1"/>
  <c r="V214" i="1" l="1"/>
  <c r="W214" i="1" s="1"/>
  <c r="W204" i="1"/>
  <c r="Q202" i="1" l="1"/>
  <c r="P202" i="1"/>
  <c r="W201" i="1"/>
  <c r="W192" i="1"/>
  <c r="W191" i="1"/>
  <c r="W168" i="1"/>
  <c r="W166" i="1"/>
  <c r="W163" i="1"/>
  <c r="P162" i="1"/>
  <c r="W161" i="1"/>
  <c r="W217" i="1"/>
  <c r="W213" i="1"/>
  <c r="W212" i="1"/>
  <c r="W198" i="1"/>
  <c r="W197" i="1"/>
  <c r="V202" i="1" l="1"/>
  <c r="W202" i="1" s="1"/>
  <c r="V162" i="1"/>
  <c r="V169" i="1" s="1"/>
  <c r="Q183" i="1"/>
  <c r="W183" i="1" s="1"/>
  <c r="P177" i="1"/>
  <c r="W209" i="1"/>
  <c r="W208" i="1"/>
  <c r="W207" i="1"/>
  <c r="W206" i="1"/>
  <c r="W205" i="1"/>
  <c r="W203" i="1"/>
  <c r="W190" i="1"/>
  <c r="W176" i="1"/>
  <c r="W162" i="1" l="1"/>
  <c r="W169" i="1" s="1"/>
  <c r="Q177" i="1"/>
  <c r="W175" i="1"/>
  <c r="O78" i="1"/>
  <c r="O93" i="1"/>
  <c r="O75" i="1"/>
  <c r="R177" i="1" l="1"/>
  <c r="O154" i="1"/>
  <c r="W154" i="1" s="1"/>
  <c r="O150" i="1"/>
  <c r="W150" i="1" s="1"/>
  <c r="O147" i="1"/>
  <c r="W147" i="1" s="1"/>
  <c r="O144" i="1"/>
  <c r="W144" i="1" s="1"/>
  <c r="W141" i="1"/>
  <c r="W138" i="1"/>
  <c r="W135" i="1"/>
  <c r="O132" i="1"/>
  <c r="W132" i="1"/>
  <c r="O129" i="1"/>
  <c r="W129" i="1"/>
  <c r="Q124" i="1"/>
  <c r="P124" i="1"/>
  <c r="O124" i="1"/>
  <c r="O121" i="1"/>
  <c r="Q121" i="1"/>
  <c r="P121" i="1"/>
  <c r="O118" i="1"/>
  <c r="Q118" i="1"/>
  <c r="P118" i="1"/>
  <c r="O113" i="1"/>
  <c r="Q113" i="1"/>
  <c r="P113" i="1"/>
  <c r="O108" i="1"/>
  <c r="Q108" i="1"/>
  <c r="P108" i="1"/>
  <c r="O103" i="1"/>
  <c r="Q103" i="1"/>
  <c r="P103" i="1"/>
  <c r="O98" i="1"/>
  <c r="Q98" i="1"/>
  <c r="P98" i="1"/>
  <c r="Q93" i="1"/>
  <c r="P93" i="1"/>
  <c r="O88" i="1"/>
  <c r="Q88" i="1"/>
  <c r="P88" i="1"/>
  <c r="O83" i="1"/>
  <c r="Q83" i="1"/>
  <c r="P83" i="1"/>
  <c r="Q78" i="1"/>
  <c r="P78" i="1"/>
  <c r="Q75" i="1"/>
  <c r="P75" i="1"/>
  <c r="Q72" i="1"/>
  <c r="P72" i="1"/>
  <c r="O72" i="1"/>
  <c r="W72" i="1" s="1"/>
  <c r="Q69" i="1"/>
  <c r="P69" i="1"/>
  <c r="O69" i="1"/>
  <c r="Q66" i="1"/>
  <c r="P66" i="1"/>
  <c r="O66" i="1"/>
  <c r="O63" i="1"/>
  <c r="Q63" i="1"/>
  <c r="P63" i="1"/>
  <c r="O60" i="1"/>
  <c r="Q60" i="1"/>
  <c r="P60" i="1"/>
  <c r="O57" i="1"/>
  <c r="Q57" i="1"/>
  <c r="P57" i="1"/>
  <c r="O56" i="1"/>
  <c r="Q54" i="1"/>
  <c r="P54" i="1"/>
  <c r="O54" i="1"/>
  <c r="O51" i="1"/>
  <c r="Q51" i="1"/>
  <c r="P51" i="1"/>
  <c r="O48" i="1"/>
  <c r="Q48" i="1"/>
  <c r="P48" i="1"/>
  <c r="O45" i="1"/>
  <c r="Q45" i="1"/>
  <c r="P45" i="1"/>
  <c r="O42" i="1"/>
  <c r="Q39" i="1"/>
  <c r="P39" i="1"/>
  <c r="O39" i="1"/>
  <c r="Q42" i="1"/>
  <c r="P42" i="1"/>
  <c r="V174" i="1"/>
  <c r="V227" i="1" s="1"/>
  <c r="W173" i="1"/>
  <c r="W157" i="1"/>
  <c r="W153" i="1"/>
  <c r="W149" i="1"/>
  <c r="W146" i="1"/>
  <c r="W143" i="1"/>
  <c r="W140" i="1"/>
  <c r="W137" i="1"/>
  <c r="W134" i="1"/>
  <c r="W131" i="1"/>
  <c r="W128" i="1"/>
  <c r="Q123" i="1"/>
  <c r="P123" i="1"/>
  <c r="O123" i="1"/>
  <c r="Q120" i="1"/>
  <c r="P120" i="1"/>
  <c r="O120" i="1"/>
  <c r="Q117" i="1"/>
  <c r="P117" i="1"/>
  <c r="O117" i="1"/>
  <c r="Q112" i="1"/>
  <c r="P112" i="1"/>
  <c r="O112" i="1"/>
  <c r="Q107" i="1"/>
  <c r="P107" i="1"/>
  <c r="O107" i="1"/>
  <c r="Q102" i="1"/>
  <c r="P102" i="1"/>
  <c r="O102" i="1"/>
  <c r="Q97" i="1"/>
  <c r="P97" i="1"/>
  <c r="O97" i="1"/>
  <c r="Q92" i="1"/>
  <c r="P92" i="1"/>
  <c r="O92" i="1"/>
  <c r="Q87" i="1"/>
  <c r="P87" i="1"/>
  <c r="O87" i="1"/>
  <c r="Q82" i="1"/>
  <c r="P82" i="1"/>
  <c r="O82" i="1"/>
  <c r="Q77" i="1"/>
  <c r="P77" i="1"/>
  <c r="O77" i="1"/>
  <c r="Q74" i="1"/>
  <c r="P74" i="1"/>
  <c r="O74" i="1"/>
  <c r="Q71" i="1"/>
  <c r="P71" i="1"/>
  <c r="O71" i="1"/>
  <c r="Q68" i="1"/>
  <c r="P68" i="1"/>
  <c r="O68" i="1"/>
  <c r="Q65" i="1"/>
  <c r="P65" i="1"/>
  <c r="O65" i="1"/>
  <c r="Q62" i="1"/>
  <c r="P62" i="1"/>
  <c r="O62" i="1"/>
  <c r="Q58" i="1"/>
  <c r="P58" i="1"/>
  <c r="O58" i="1"/>
  <c r="W58" i="1" s="1"/>
  <c r="Q56" i="1"/>
  <c r="P56" i="1"/>
  <c r="Q53" i="1"/>
  <c r="P53" i="1"/>
  <c r="O53" i="1"/>
  <c r="Q50" i="1"/>
  <c r="P50" i="1"/>
  <c r="O50" i="1"/>
  <c r="Q47" i="1"/>
  <c r="P47" i="1"/>
  <c r="O47" i="1"/>
  <c r="Q44" i="1"/>
  <c r="P44" i="1"/>
  <c r="O44" i="1"/>
  <c r="Q41" i="1"/>
  <c r="P41" i="1"/>
  <c r="O41" i="1"/>
  <c r="Q38" i="1"/>
  <c r="P38" i="1"/>
  <c r="O38" i="1"/>
  <c r="W171" i="1"/>
  <c r="W174" i="1" l="1"/>
  <c r="W172" i="1"/>
  <c r="W69" i="1"/>
  <c r="W124" i="1"/>
  <c r="W66" i="1"/>
  <c r="W54" i="1"/>
  <c r="W118" i="1"/>
  <c r="W121" i="1"/>
  <c r="W113" i="1"/>
  <c r="W103" i="1"/>
  <c r="W108" i="1"/>
  <c r="W98" i="1"/>
  <c r="W88" i="1"/>
  <c r="W93" i="1"/>
  <c r="W83" i="1"/>
  <c r="W75" i="1"/>
  <c r="W63" i="1"/>
  <c r="W60" i="1"/>
  <c r="W57" i="1"/>
  <c r="W51" i="1"/>
  <c r="W45" i="1"/>
  <c r="W48" i="1"/>
  <c r="W71" i="1"/>
  <c r="W120" i="1"/>
  <c r="W42" i="1"/>
  <c r="W44" i="1"/>
  <c r="W68" i="1"/>
  <c r="W74" i="1"/>
  <c r="W82" i="1"/>
  <c r="W92" i="1"/>
  <c r="W102" i="1"/>
  <c r="W112" i="1"/>
  <c r="W123" i="1"/>
  <c r="W41" i="1"/>
  <c r="W47" i="1"/>
  <c r="W56" i="1"/>
  <c r="W62" i="1"/>
  <c r="W50" i="1"/>
  <c r="W77" i="1"/>
  <c r="W87" i="1"/>
  <c r="W97" i="1"/>
  <c r="W107" i="1"/>
  <c r="W117" i="1"/>
  <c r="W38" i="1"/>
  <c r="W53" i="1"/>
  <c r="W65" i="1"/>
  <c r="W227" i="1" l="1"/>
  <c r="V159" i="1"/>
  <c r="W78" i="1"/>
  <c r="W39" i="1"/>
  <c r="W156" i="1"/>
  <c r="W155" i="1"/>
  <c r="W152" i="1"/>
  <c r="W151" i="1"/>
  <c r="W148" i="1"/>
  <c r="W145" i="1"/>
  <c r="W142" i="1"/>
  <c r="W139" i="1"/>
  <c r="W136" i="1"/>
  <c r="W133" i="1"/>
  <c r="W130" i="1"/>
  <c r="W127" i="1"/>
  <c r="Q126" i="1"/>
  <c r="P126" i="1"/>
  <c r="O126" i="1"/>
  <c r="Q125" i="1"/>
  <c r="P125" i="1"/>
  <c r="O125" i="1"/>
  <c r="Q122" i="1"/>
  <c r="P122" i="1"/>
  <c r="O122" i="1"/>
  <c r="Q119" i="1"/>
  <c r="P119" i="1"/>
  <c r="O119" i="1"/>
  <c r="Q116" i="1"/>
  <c r="P116" i="1"/>
  <c r="O116" i="1"/>
  <c r="Q111" i="1"/>
  <c r="P111" i="1"/>
  <c r="O111" i="1"/>
  <c r="Q106" i="1"/>
  <c r="P106" i="1"/>
  <c r="O106" i="1"/>
  <c r="Q101" i="1"/>
  <c r="P101" i="1"/>
  <c r="O101" i="1"/>
  <c r="Q96" i="1"/>
  <c r="P96" i="1"/>
  <c r="O96" i="1"/>
  <c r="Q91" i="1"/>
  <c r="P91" i="1"/>
  <c r="O91" i="1"/>
  <c r="Q86" i="1"/>
  <c r="P86" i="1"/>
  <c r="O86" i="1"/>
  <c r="Q81" i="1"/>
  <c r="P81" i="1"/>
  <c r="O81" i="1"/>
  <c r="Q76" i="1"/>
  <c r="P76" i="1"/>
  <c r="O76" i="1"/>
  <c r="Q73" i="1"/>
  <c r="P73" i="1"/>
  <c r="O73" i="1"/>
  <c r="Q70" i="1"/>
  <c r="P70" i="1"/>
  <c r="O70" i="1"/>
  <c r="Q67" i="1"/>
  <c r="P67" i="1"/>
  <c r="O67" i="1"/>
  <c r="Q64" i="1"/>
  <c r="P64" i="1"/>
  <c r="O64" i="1"/>
  <c r="Q61" i="1"/>
  <c r="P61" i="1"/>
  <c r="O61" i="1"/>
  <c r="Q59" i="1"/>
  <c r="P59" i="1"/>
  <c r="O59" i="1"/>
  <c r="Q55" i="1"/>
  <c r="P55" i="1"/>
  <c r="O55" i="1"/>
  <c r="Q52" i="1"/>
  <c r="P52" i="1"/>
  <c r="O52" i="1"/>
  <c r="Q49" i="1"/>
  <c r="P49" i="1"/>
  <c r="O49" i="1"/>
  <c r="Q46" i="1"/>
  <c r="P46" i="1"/>
  <c r="O46" i="1"/>
  <c r="Q43" i="1"/>
  <c r="P43" i="1"/>
  <c r="O43" i="1"/>
  <c r="Q40" i="1"/>
  <c r="P40" i="1"/>
  <c r="O40" i="1"/>
  <c r="Q37" i="1"/>
  <c r="P37" i="1"/>
  <c r="O37" i="1"/>
  <c r="V228" i="1" l="1"/>
  <c r="W106" i="1"/>
  <c r="W43" i="1"/>
  <c r="W46" i="1"/>
  <c r="W49" i="1"/>
  <c r="W52" i="1"/>
  <c r="W55" i="1"/>
  <c r="W61" i="1"/>
  <c r="W64" i="1"/>
  <c r="W67" i="1"/>
  <c r="W70" i="1"/>
  <c r="W73" i="1"/>
  <c r="W76" i="1"/>
  <c r="W81" i="1"/>
  <c r="W86" i="1"/>
  <c r="W91" i="1"/>
  <c r="W96" i="1"/>
  <c r="W101" i="1"/>
  <c r="W111" i="1"/>
  <c r="W116" i="1"/>
  <c r="W119" i="1"/>
  <c r="W122" i="1"/>
  <c r="W125" i="1"/>
  <c r="W126" i="1"/>
  <c r="W40" i="1"/>
  <c r="W59" i="1" l="1"/>
  <c r="W37" i="1"/>
  <c r="W159" i="1" l="1"/>
  <c r="W228" i="1" s="1"/>
</calcChain>
</file>

<file path=xl/sharedStrings.xml><?xml version="1.0" encoding="utf-8"?>
<sst xmlns="http://schemas.openxmlformats.org/spreadsheetml/2006/main" count="3209" uniqueCount="521">
  <si>
    <t xml:space="preserve">№ </t>
  </si>
  <si>
    <t>Наимено-вание Заказчика</t>
  </si>
  <si>
    <t>Код  ТРУ</t>
  </si>
  <si>
    <t>Способ закупок</t>
  </si>
  <si>
    <t>Прогноз местного содержания, %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</si>
  <si>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</si>
  <si>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</si>
  <si>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ИНКО-ТЕРМС 2010</t>
  </si>
  <si>
    <t>Условия оплаты (размер авансового платежа), %</t>
  </si>
  <si>
    <t>Ед. измерен. согласно  ЕНС ТРУ</t>
  </si>
  <si>
    <t>Количество, объем (по товарам)/ сумма без НДС, тенге (по работам, услугам)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</si>
  <si>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</si>
  <si>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</si>
  <si>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</si>
  <si>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</si>
  <si>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закупки/ год корректировки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</si>
  <si>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</si>
  <si>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 </t>
  </si>
  <si>
    <t>Дополнительная характеристика</t>
  </si>
  <si>
    <t>6</t>
  </si>
  <si>
    <t>ОИ</t>
  </si>
  <si>
    <t>1 У</t>
  </si>
  <si>
    <t>г.Астана</t>
  </si>
  <si>
    <t>Всего:</t>
  </si>
  <si>
    <t>услуга</t>
  </si>
  <si>
    <t>ТОО  "КазМунайГаз-Сервис"</t>
  </si>
  <si>
    <t>49.32.12.10.00.00.00</t>
  </si>
  <si>
    <t>Услуги по аренде легковых автомобилей с водителем</t>
  </si>
  <si>
    <t xml:space="preserve">Услуги взятого напрокат автомобиля с водителем, кроме услуг такси. </t>
  </si>
  <si>
    <t>январь 2014  года</t>
  </si>
  <si>
    <t xml:space="preserve"> оплата по факту оказания услуг</t>
  </si>
  <si>
    <t>2014 г.</t>
  </si>
  <si>
    <t>2015 г.</t>
  </si>
  <si>
    <t>2016 г.</t>
  </si>
  <si>
    <t>ОП</t>
  </si>
  <si>
    <t>2017 г.</t>
  </si>
  <si>
    <t>2018 г.</t>
  </si>
  <si>
    <t>1 Т</t>
  </si>
  <si>
    <t>20.41.32.00.00.00.40.10.2</t>
  </si>
  <si>
    <t>Средство для мытья полов</t>
  </si>
  <si>
    <t>жидкость для мытья  полов</t>
  </si>
  <si>
    <t>Кислотное средство для общей чистки с использованием поломойных машин. Моющее средство эффективно удаляет цементные разводы, известковый налет, ржавчину, пивной и молочный камень. Кислое pH: 10-13. В пластиковой канистре. Состав: анионные тензиды, неионные тензиды, ароматизаторы, красители.  Объем 20л.</t>
  </si>
  <si>
    <t>ЭОТТ</t>
  </si>
  <si>
    <t>февраль-март</t>
  </si>
  <si>
    <t>г.Астана, ул.Ауэзова, д.18</t>
  </si>
  <si>
    <t>DDP</t>
  </si>
  <si>
    <t>авансовый платеж - 30%, оставшаяся часть в течение 10 рабочих дней с момента подписания акта приема - передачи поставленных товаров</t>
  </si>
  <si>
    <t>Литр (куб. дм.)</t>
  </si>
  <si>
    <t>ОТП</t>
  </si>
  <si>
    <t>2 Т</t>
  </si>
  <si>
    <t>20.41.32.00.00.00.40.10.1</t>
  </si>
  <si>
    <t>Бутылка</t>
  </si>
  <si>
    <t>3 Т</t>
  </si>
  <si>
    <t>20.41.32.00.00.00.30.40.1</t>
  </si>
  <si>
    <t>Средство для чистки унитаза</t>
  </si>
  <si>
    <t>гелеобразное для чистки и дезинфекции унитаза</t>
  </si>
  <si>
    <t>в пластмассовой бутылке, объемом: 500 мл.</t>
  </si>
  <si>
    <t>4 Т</t>
  </si>
  <si>
    <t>В пластмассовой бутылке, объемом: 750 мл. Убивает 99,9% микробов.
-Удаляет самые стойкие пятна и до 100% известкового налета;
-Меняет цвет во время очищения;
-Эффективен даже под водой. Состав: вода, кислота соляная &gt;5% но &lt; 15%, н-ПАВ &lt;5%, амфотерное ПАВ &lt;
5%, отдушка, краситель.</t>
  </si>
  <si>
    <t>5 Т</t>
  </si>
  <si>
    <t>20.41.32.00.00.00.20.10.1</t>
  </si>
  <si>
    <t>Средство для мытья стекол</t>
  </si>
  <si>
    <t>предназначен для мытья всех типов стеклянных и зеркальных поверхностей</t>
  </si>
  <si>
    <t>6 Т</t>
  </si>
  <si>
    <t>20.41.41.00.00.00.20.20.1</t>
  </si>
  <si>
    <t>Средство отбеливающее и дезодорирующее</t>
  </si>
  <si>
    <t>предназначено для отбеливания и удаления пятен с белых изделий, дезинфекции различных поверхностей</t>
  </si>
  <si>
    <t>Жидкое отбеливающее и дезинфицирующее средство, предназначенное для отбеливания изделий из хлопчатобумажных и льняных тканей, Предназначен для удаления пятен и дезинфекции облицовочной плитки, пластика, мусорных ведер, сантехники. (NaOCl) – гипохлорит натрия. Является сильным окислителем с содержанием активного хлора 95,2 % и обладает хорошими дезинфицирующими и антисептическими свойствами.  Объем 1л.</t>
  </si>
  <si>
    <t>7 Т</t>
  </si>
  <si>
    <t>20.41.31.00.00.10.20.10.1</t>
  </si>
  <si>
    <t>Мыло хозяйственное</t>
  </si>
  <si>
    <t>твердое, 1 группы, 72%, ГОСТ 30266-95</t>
  </si>
  <si>
    <t>вес: 200 г</t>
  </si>
  <si>
    <t>Штука</t>
  </si>
  <si>
    <t>8 Т</t>
  </si>
  <si>
    <t>20.41.31.00.00.10.10.50.1</t>
  </si>
  <si>
    <t>Мыло туалетное</t>
  </si>
  <si>
    <t>жидкое, гелеобразное, ГОСТ 23361-78</t>
  </si>
  <si>
    <t>В пластмассовой бутылке с дозатором, объемом 300 мл. Обладает выраженными моющими свойствами рН средства 5,5.
Состав: вода, глицерин, ПЭГ - 175, дистеарат, цетримониум хлорид,
лаурамин оксид, лорамид Дей, акрилаты/ПЭГ-10 малеат/стирен кополимер,
ЭДТА, ароматизатор, бензофенон-4, лимонной кислоты моногидрат,
бензалкония хлорид, алкоксилированный диэфир миристинового спирта и
адипиновой кислоты, пропиленгликоль, экстракт цветков ромашки, масло
семян хлопчатника травянистого,
метилхлороизотиазоли­нон/метилизотиазолинон, CI 15510, CI 19140.</t>
  </si>
  <si>
    <t>9 Т</t>
  </si>
  <si>
    <t>20.41.31.00.00.10.10.50.2</t>
  </si>
  <si>
    <t>pH 1%-го раствора 5,5 - 7,0
Высококачественное жидкое мыло с антибактериальными компонентами, обладающее мягким очищающим эффектом, смягчающее и увлажняющее кожу рук. Не содержащее в своем компонентном составе красителей и ароматизаторов. В пластиковой канистре, объем 5л.</t>
  </si>
  <si>
    <t>10 Т</t>
  </si>
  <si>
    <t>20.41.44.00.00.00.00.40.1</t>
  </si>
  <si>
    <t>Ополаскиватель</t>
  </si>
  <si>
    <t>Концентрированный кондиционер для белья. Придает мягкость, свежесть, антистатик, облегчает глажение</t>
  </si>
  <si>
    <t>В средстве содержится:
5-15% катионные ПАВ, &lt;5% неиногенные ПАВ, консерванты, ароматизирующие добавки, 3-метил-4-(2,6,6-три-метил-2-2иклогексен-1-ил)-3-бутен-2-он, бензилсалицилат, 2-(4-тетрбутилбензил)пропиональдегид, цитронеллол, гексилкоричный альдегид, линалоол. В пластиковой упаковке, объемом 1 000 мл.</t>
  </si>
  <si>
    <t>11 Т</t>
  </si>
  <si>
    <t>20.41.41.00.00.00.10.10.3</t>
  </si>
  <si>
    <t>Освежитель воздуха</t>
  </si>
  <si>
    <t>освежители воздуха и арома-средства, для  устранения неприятного запаха в помещениях (комната, ванна, туалеты)</t>
  </si>
  <si>
    <t>Состав: вода, бутан/пропан/изобутан менее 15% но более 30%, н-ПАВ
&lt;5%, фосфонаты &lt;5%, отдушка, растворитель, водный раствор
аммиака, консервант, линалоол.В аэрозолевой бутылке, объемом: 300мл</t>
  </si>
  <si>
    <t>12 Т</t>
  </si>
  <si>
    <t>Средство для глухих туалетных комнат. Освежитель воздуха автоматический  на аппарат "Paradise". Состав: изобутан, пропан, растворитель, ацетон (10-20%), 5% отдушка
(бензиловый спирт, кумарин).  Объем 250 мл.</t>
  </si>
  <si>
    <t>13 Т</t>
  </si>
  <si>
    <t>20.41.32.00.00.00.10.10.1</t>
  </si>
  <si>
    <t>Средство для мытья посуды</t>
  </si>
  <si>
    <t>гелеобразное вещество для мытья посуды</t>
  </si>
  <si>
    <t>Состав: вода, лауретсульфат натрия (анионное ПАВ), оксид лаурамина (неионогенное ПАВ), полипропиленгликоль (загуститель), хлорид натрия, отдушка, этоксилат-пропоксилат полиэтиленимина, феноксиэтанол (консервант), 1,3-циклогександиметиламин (комплексообразователь), гидроксид натрия (регулятор реакции среды), метилизотиазолинон (консервант), пропиленгликоль, красители, лимонен (отдушка), линалоол. В пластмассовой бутылке, объемом: 500 мл.</t>
  </si>
  <si>
    <t>14 Т</t>
  </si>
  <si>
    <t>17.22.11.10.00.00.00.20.2</t>
  </si>
  <si>
    <t>Бумага туалетная</t>
  </si>
  <si>
    <t>многослойная, ширина не менее 90 мм, длина не менее 30 м</t>
  </si>
  <si>
    <t>Состав: 100% целюллоза. Трехслойная, ширина не менее 90 мм, длина не менее 30 м</t>
  </si>
  <si>
    <t>Рулон</t>
  </si>
  <si>
    <t>15 Т</t>
  </si>
  <si>
    <t>17.22.11.10.00.00.00.13.2</t>
  </si>
  <si>
    <t>двухслойная</t>
  </si>
  <si>
    <t>Состав: 100% целюллоза. Двухслойная, плотная, мягкая, ширина не менее 90 мм, длина не менее 180 м</t>
  </si>
  <si>
    <t>16 Т</t>
  </si>
  <si>
    <t>17.22.11.40.00.00.00.20.2</t>
  </si>
  <si>
    <t>полотенца гигиенические или косметические</t>
  </si>
  <si>
    <t>многослойные, ширина не менее 160 мм</t>
  </si>
  <si>
    <t>Бумажное полотенце в рулонах, 2-слойные, белые, 715 л/рул, размер листа 24,7 x 20 см на аппарат "Enmotion"</t>
  </si>
  <si>
    <t>17 Т</t>
  </si>
  <si>
    <t>17.22.11.30.00.00.00.10.1</t>
  </si>
  <si>
    <t>салфетки гигиенические или косметические</t>
  </si>
  <si>
    <t>без пропитки</t>
  </si>
  <si>
    <t>без пропитки, двуслойная, белая, Z-сложения, с тиснением, влагопрочная, с большой впитывающей способностью, состав: 100% целлюлоза. Упаковка: в коробке 100-120 листов.</t>
  </si>
  <si>
    <t>Одна пачка</t>
  </si>
  <si>
    <t>18 Т</t>
  </si>
  <si>
    <t>Салфетки однослойные, белые, состав: 100% целлюлоза. В полипропиленовом пакете 50 листов. Размеры: 24 см х 24 см. Плотность: 1 м² х 19±1 г.</t>
  </si>
  <si>
    <t>19 Т</t>
  </si>
  <si>
    <t>Салфетки двухслойные, белые, влагопрочные, с большой впитывающей способностью, состав: 100% целлюлоза. В полипропиленовам пакете 30 листов. Размеры: 33 см х 33 см. Плотность: 1 м² 2х17 г</t>
  </si>
  <si>
    <t>20 Т</t>
  </si>
  <si>
    <t xml:space="preserve">Салфетки двухслойные, белые, в коробке 100 листов (вытяжные), состав: 100% целлюлоза. </t>
  </si>
  <si>
    <t>21 Т</t>
  </si>
  <si>
    <t>Бумажные полотенца с тиснениеми перфорацией в рулонах, 2-х слойные, 2шт./уп. Размер листов: 23 х 12,5см.</t>
  </si>
  <si>
    <t>Упаковка</t>
  </si>
  <si>
    <t>22 Т</t>
  </si>
  <si>
    <t>13.92.21.00.00.00.30.13.2</t>
  </si>
  <si>
    <t>Мешок для мусора</t>
  </si>
  <si>
    <t>Полиэтиленовые мешки для мусора с завязками обычной прочности</t>
  </si>
  <si>
    <t>Полиэтиленовые мешки для мусора с завязками обычной прочности. Объем: 30л. Размер: 55см х 60 см, 50шт/рул.</t>
  </si>
  <si>
    <t>23 Т</t>
  </si>
  <si>
    <t>Объем: 60л. Размер: 60см х 80 см, 20шт/рул.</t>
  </si>
  <si>
    <t>24 Т</t>
  </si>
  <si>
    <t>14.12.30.00.00.80.16.43.1</t>
  </si>
  <si>
    <t>Перчатки технические</t>
  </si>
  <si>
    <t>из латекса, хозяйственные</t>
  </si>
  <si>
    <t xml:space="preserve">Перчатки резиновые хозяйственные из 100% латекса хлорированная поверхность, гипоалергенное, с хлопковым напылением внутри, против раздрожения кожи рук. </t>
  </si>
  <si>
    <t>пара</t>
  </si>
  <si>
    <t>25 Т</t>
  </si>
  <si>
    <t>32.91.11.00.00.00.17.10.1</t>
  </si>
  <si>
    <t>Губка</t>
  </si>
  <si>
    <t>для мытья посуды, кухонного оборудования и удаления различных загрязнений с неделикатных поверхностей</t>
  </si>
  <si>
    <t>Универсальные кухонные губки с абразивной поверхностью предназначены для мытья посуды, раковин и кухонной мебели. Размер: 90х64х30мм</t>
  </si>
  <si>
    <t>26 Т</t>
  </si>
  <si>
    <t>32.91.11.00.00.00.15.60.1</t>
  </si>
  <si>
    <t>Ерш</t>
  </si>
  <si>
    <t>Ерш хозяйственный</t>
  </si>
  <si>
    <t xml:space="preserve"> Ершик из нейлона для санитарной обработки унитаза, напольный стакан-подставка, выполненный из пластика первичной
обработки с прорезиненным дном для устойчивого размещения комплекта. Материал: пластик, нейлон. для уборки чистки унитаза.</t>
  </si>
  <si>
    <t>27 Т</t>
  </si>
  <si>
    <t>Акмолинская область, п.Зеренда, ОК "Сункар"</t>
  </si>
  <si>
    <t>28 Т</t>
  </si>
  <si>
    <t>29 Т</t>
  </si>
  <si>
    <t>30 Т</t>
  </si>
  <si>
    <t>31 Т</t>
  </si>
  <si>
    <t>в пластиковой упаковке, объемом 1 000 мл.</t>
  </si>
  <si>
    <t>32 Т</t>
  </si>
  <si>
    <t>17.22.11.10.00.00.00.10.2</t>
  </si>
  <si>
    <t>однослойная, ширина не менее 90 мм, длина не менее 30 м</t>
  </si>
  <si>
    <t>33 Т</t>
  </si>
  <si>
    <t>двухслойная, ширина не менее 90 мм, длина не менее 30 м</t>
  </si>
  <si>
    <t>34 Т</t>
  </si>
  <si>
    <t>Однослойная, белая, влагопрочная, состав: 100% целлюлоза. В полипропиленовом пакете 50 листов. Размеры: 24 см х 24 см. Плотность: 1 м² х 19±1 г.</t>
  </si>
  <si>
    <t>35 Т</t>
  </si>
  <si>
    <t>32.91.11.00.00.00.17.20.1</t>
  </si>
  <si>
    <t>для мытья посуды, кухонного оборудования и удаления различных загрязнений с деликатных поверхностей (хромированные, никелированные, тефлоновые, акриловые поверхности)</t>
  </si>
  <si>
    <t>Губка поролоновая для чистки кухни и ванны.</t>
  </si>
  <si>
    <t>36 Т</t>
  </si>
  <si>
    <t>37 Т</t>
  </si>
  <si>
    <t>38 Т</t>
  </si>
  <si>
    <t>итого по товарам</t>
  </si>
  <si>
    <t>х</t>
  </si>
  <si>
    <t>итого по услугам</t>
  </si>
  <si>
    <t>1.Товары</t>
  </si>
  <si>
    <t>итого по работам</t>
  </si>
  <si>
    <t>3. Услуги</t>
  </si>
  <si>
    <t>Приложение №7 к Инструкции о порядке составления и представления отчетности по вопросам закупок, утвержденной решением Правлением АО "Самрук-Казына (протокол № ____ от ______)</t>
  </si>
  <si>
    <t>Очищает и дезинфицирует все моющие поверхности. В пластиковой упаковке, объемом 500 мл. Состав: &lt;5% неионогенные ПАВ; консерванты, ароматизирующие добавки,
цитраль, цитронеллол, гераниол, гексилкоричный альдегид, лимонен,
линалоол.</t>
  </si>
  <si>
    <t>Средство для стекол и других поверхностей с нашатырным спиртом.
Чистота и блеск без разводов.
Благодаря входящему в состав спирту, он эффективно удаляет грязь и жир,
придает поверхности блеск и не оставляет разводов.
Идеально подходит для окон, зеркал, кафеля, автомобильных стекол,
панелей бытовых электроприборов, поверхности холодильника. В пластмассовой бутылке с распылителем, объемом: 500 мл.</t>
  </si>
  <si>
    <t>Утвержден решением Наблюдательного совета ТОО "КазМунайГаз-Сервис" № 1/2014 (59)) от 4  февраля 2014 года</t>
  </si>
  <si>
    <t xml:space="preserve"> Дополнения утверждены решением Наблюдательного совета ТОО "КазМунайГаз-Сервис" №3/2015(81) от 17-18 марта 2015 года</t>
  </si>
  <si>
    <t>1-1 Т</t>
  </si>
  <si>
    <t>май-июнь</t>
  </si>
  <si>
    <t>2-1 Т</t>
  </si>
  <si>
    <t>9,15,16,17</t>
  </si>
  <si>
    <t>3-1 Т</t>
  </si>
  <si>
    <t>4-1 Т</t>
  </si>
  <si>
    <t>5-1 Т</t>
  </si>
  <si>
    <t>6-1 Т</t>
  </si>
  <si>
    <t>7-1 Т</t>
  </si>
  <si>
    <t>8-1 Т</t>
  </si>
  <si>
    <t>9-1 Т</t>
  </si>
  <si>
    <t>10-1 Т</t>
  </si>
  <si>
    <t>11-1 Т</t>
  </si>
  <si>
    <t>12-1 Т</t>
  </si>
  <si>
    <t>13-1 Т</t>
  </si>
  <si>
    <t>14-1 Т</t>
  </si>
  <si>
    <t>15-1 Т</t>
  </si>
  <si>
    <t>16-1 Т</t>
  </si>
  <si>
    <t>17-1 Т</t>
  </si>
  <si>
    <t>18-1 Т</t>
  </si>
  <si>
    <t>19-1 Т</t>
  </si>
  <si>
    <t>20-1 Т</t>
  </si>
  <si>
    <t>22-1 Т</t>
  </si>
  <si>
    <t>23-1 Т</t>
  </si>
  <si>
    <t>24-1 Т</t>
  </si>
  <si>
    <t>исключена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</si>
  <si>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</si>
  <si>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</si>
  <si>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</si>
  <si>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</si>
  <si>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</si>
  <si>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</si>
  <si>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</si>
  <si>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</si>
  <si>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36-1 Т</t>
  </si>
  <si>
    <t>38-1 Т</t>
  </si>
  <si>
    <t xml:space="preserve"> Дополнения утверждены решением Наблюдательного совета ТОО "КазМунайГаз-Сервис" №4/2015(82) от 13-14 мая 2015 года</t>
  </si>
  <si>
    <t>2 У</t>
  </si>
  <si>
    <t>69.20.10.10.00.00.00</t>
  </si>
  <si>
    <t>Услуги по проведению ревизий финансовых</t>
  </si>
  <si>
    <t>Услуги по проведению ревизий финансовых (аудита)</t>
  </si>
  <si>
    <t>Аудит отдельной и консолидированной финансовой отчетности ТОО "КазМунайГаз-Сервис"</t>
  </si>
  <si>
    <t>май-июнь 2015 г</t>
  </si>
  <si>
    <t>1-1 У</t>
  </si>
  <si>
    <t>14,16,17</t>
  </si>
  <si>
    <t>3 У</t>
  </si>
  <si>
    <t>66.19.31.00.00.00.01</t>
  </si>
  <si>
    <t>Услуги по доверительному управлению</t>
  </si>
  <si>
    <t>Услуги по доверительному управлению автотранспортных средств</t>
  </si>
  <si>
    <t xml:space="preserve"> Дополнения и изменения  утверждены Приказом генерального директора  № 258 от 27.05.2015 года</t>
  </si>
  <si>
    <t>Примечание</t>
  </si>
  <si>
    <t>2-2 Т</t>
  </si>
  <si>
    <t>1-2 Т</t>
  </si>
  <si>
    <t>3-2 Т</t>
  </si>
  <si>
    <t>ОТ</t>
  </si>
  <si>
    <t>7,9,14,16,17</t>
  </si>
  <si>
    <t>4-2 Т</t>
  </si>
  <si>
    <t>5-2 Т</t>
  </si>
  <si>
    <t>6-2 Т</t>
  </si>
  <si>
    <t>7-2 Т</t>
  </si>
  <si>
    <t>8-2 Т</t>
  </si>
  <si>
    <t>9-2 Т</t>
  </si>
  <si>
    <t>10-2 Т</t>
  </si>
  <si>
    <t>11-2 Т</t>
  </si>
  <si>
    <t>12-2 Т</t>
  </si>
  <si>
    <t>14-2 Т</t>
  </si>
  <si>
    <t>15-2 Т</t>
  </si>
  <si>
    <t>16-2 Т</t>
  </si>
  <si>
    <t>17-2 Т</t>
  </si>
  <si>
    <t>18-2 Т</t>
  </si>
  <si>
    <t>19-2 Т</t>
  </si>
  <si>
    <t>20-2 Т</t>
  </si>
  <si>
    <t>21-1 Т</t>
  </si>
  <si>
    <t>21-2 Т</t>
  </si>
  <si>
    <t>22-2 Т</t>
  </si>
  <si>
    <t>23-2 Т</t>
  </si>
  <si>
    <t>24-2 Т</t>
  </si>
  <si>
    <t>27-2 Т</t>
  </si>
  <si>
    <t>28-2 Т</t>
  </si>
  <si>
    <t>29-2 Т</t>
  </si>
  <si>
    <t>30-2 Т</t>
  </si>
  <si>
    <t>31-2 Т</t>
  </si>
  <si>
    <t>32-2 Т</t>
  </si>
  <si>
    <t>33-2 Т</t>
  </si>
  <si>
    <t>34-2 Т</t>
  </si>
  <si>
    <t>36-2 Т</t>
  </si>
  <si>
    <t>38-2 Т</t>
  </si>
  <si>
    <t>13-2 Т</t>
  </si>
  <si>
    <t>77.11.10.10.00.00.00</t>
  </si>
  <si>
    <t>4 У</t>
  </si>
  <si>
    <t>Услуги по аренде легковых автомобилей без водителя</t>
  </si>
  <si>
    <t>Краткосрочная, среднесрочная или догосрочная аренда (прокат) легковых автомобилей без водителя</t>
  </si>
  <si>
    <t>Услуги по аренде легковых автомобилей без водителя в г. Астана (автомобиль повышенной проходимости, представительского класса - 1 ед., объем двигателя – не менее 4590 куб.см, расчетный ежемесячный пробег - 3900 км, 6-дневная рабочая неделя)</t>
  </si>
  <si>
    <t>июнь-июль 2015 г</t>
  </si>
  <si>
    <t>Услуги по аренде легковых автомобилей без водителя в г. Астана (автомобиль повышенной проходимости, представительского класса - 2 ед., объем двигателя – не менее 5660 куб.см, расчетный ежемесячный пробег - 3900 км, 6-дневная рабочая неделя)</t>
  </si>
  <si>
    <t>5 У</t>
  </si>
  <si>
    <t xml:space="preserve"> Дополнения и изменения  утверждены Приказом генерального директора  № 297 от 19.06.2015 года</t>
  </si>
  <si>
    <t>май-июнь,июль-август</t>
  </si>
  <si>
    <t>Изменения  утверждены Приказом генерального директора  № 437 от 15.09.2015 года</t>
  </si>
  <si>
    <t>6 У</t>
  </si>
  <si>
    <t>84.25.11.000.001.00.0777.000000000000</t>
  </si>
  <si>
    <t>Услуги по тушению пожаров/предупреждению пожаров</t>
  </si>
  <si>
    <t>Услуги по обеспечению пожарной безопасности на объектах, расположенных в г. Астана. (Административные и жилые здания по адресу: 1) пр. Кабанбай батыра 19;2) ул. Кунаева 8, «Изумрудный квартал», блок Б)</t>
  </si>
  <si>
    <t>ноябрь-декабрь 2015 г</t>
  </si>
  <si>
    <t>7 У</t>
  </si>
  <si>
    <t>8 У</t>
  </si>
  <si>
    <t>80.10.12.000.000.00.0777.000000000000</t>
  </si>
  <si>
    <t>Услуги охраны</t>
  </si>
  <si>
    <t>Услуги охраны (патрулирование/охрана объектов/помещений/имущества/людей и аналогичное)</t>
  </si>
  <si>
    <t>9 У</t>
  </si>
  <si>
    <t xml:space="preserve"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
Акмолинской области:                                                           1) ОК «Сункар»; 
2) ОК «Малиновый Мыс».            </t>
  </si>
  <si>
    <t>10 У</t>
  </si>
  <si>
    <t>33.12.15.200.000.00.0777.000000000000</t>
  </si>
  <si>
    <t>Услуги по техническому обслуживанию лифтов/лифтовых шахт и аналогичного оборудования</t>
  </si>
  <si>
    <t>11 У</t>
  </si>
  <si>
    <t>12 У</t>
  </si>
  <si>
    <t>38.11.29.000.000.00.0777.000000000000</t>
  </si>
  <si>
    <t>Услуги по вывозу (сбору) неопасных отходов/имущества/материалов</t>
  </si>
  <si>
    <t>Услуги погрузки отходов на мусоровоз и разгрузки в специально отведенных местах, с объектов, расположенных в г. Астана Административные и жилые здания по адресу: 
1) пр. Кабанбай батыра 19 (386,1 м3 в мес)
2) пр. Туран 1 (57,2 м3 в мес)
3) ул. Кунаева 8, «Изумрудный квартал», блок Б
 (286 м3 в мес);
4) пр. Республики 32 (57,2 м3 в мес);
5) ул. Ауэзова 18 (14,3 м3 в мес);
6) ЖК «Нурлы дала» (14,3 м3 мес )
7) ул. Габдуллина, 2 (8,8 м3 мес )</t>
  </si>
  <si>
    <t>13 У</t>
  </si>
  <si>
    <t>Услуги погрузки отходов на мусоровоз и разгрузки 
в специально отведенных местах, с объектов, 
расположенных в с. Зеренда 
Акмолинской области (696 м3 мес).</t>
  </si>
  <si>
    <t>14 У</t>
  </si>
  <si>
    <t>80.20.10.000.002.00.0777.000000000000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</si>
  <si>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</si>
  <si>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15 У</t>
  </si>
  <si>
    <t>16 У</t>
  </si>
  <si>
    <t>33.13.11.100.014.00.0777.000000000000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</si>
  <si>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</si>
  <si>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</t>
  </si>
  <si>
    <t>17 У</t>
  </si>
  <si>
    <t>45.20.30.335.003.00.0777.000000000000</t>
  </si>
  <si>
    <t>Услуги по мойке автотранспорта/спецтехники</t>
  </si>
  <si>
    <t xml:space="preserve">Комплекс услуг по мойке автотранспорта </t>
  </si>
  <si>
    <t>18 У</t>
  </si>
  <si>
    <t>96.09.19.900.012.00.0777.000000000000</t>
  </si>
  <si>
    <t>Услуги по техническому обслуживанию дверей/ворот/турникетных систем/ограждений и аналогичных изделий</t>
  </si>
  <si>
    <t>Услуги по обслуживанию оборудования системы контроля 
и ограничения доступа на объекте, 
обслуживаемом ТОО «КазМунайГаз-Сервис», расположенном 
в г. Астане, по ул. Кунаева 8, «Изумрудный квартал», блок Б</t>
  </si>
  <si>
    <t>19 У</t>
  </si>
  <si>
    <t>96.09.19.900.009.00.0777.000000000000</t>
  </si>
  <si>
    <t>Услуги по техническому обслуживанию душевых/туалетных кабин/кабин для курения и аналогичного оборудования</t>
  </si>
  <si>
    <t xml:space="preserve">Сервисное обслуживание кабины для курения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Б.
</t>
  </si>
  <si>
    <t>20 У</t>
  </si>
  <si>
    <t>96.01.19.000.000.00.0777.000000000000</t>
  </si>
  <si>
    <t>Услуги по чистке одежды/ковровых и аналогичных изделий (кроме прачечных услуг)</t>
  </si>
  <si>
    <t>Сухая (химическая) чистка текстильных изделий прочих на объектах, принадлежащих и/или обслуживаемых ТОО «КазМунайГаз-Сервис», расположенных в г. Астана: 
Административные здания по адресу: 
1) пр. Кабанбай батыра, 19
2) ул. Кунаева, 8 «Изумрудный квартал», блок Б;
3) пр. Туран, 1</t>
  </si>
  <si>
    <t>21 У</t>
  </si>
  <si>
    <t>81.29.13.000.001.00.0777.000000000000</t>
  </si>
  <si>
    <t>Услуги санитарные (дезинфекция, дезинсекция, дератизация и аналогичные)</t>
  </si>
  <si>
    <t>Услуги по дезинфекции, дезинсекции и дератизации на объектах, расположенных в г. Астана 
Административные и жилые здания по адресу: 
1) пр. Кабанбай батыра, 19 
2) пр. Туран, 1
3) ул. Кунаева 8, «Изумрудный квартал», блок Б; 
4) пр. Республики, 32; 
5) ул. Ауэзова, 18; 
6) ЖК «Нурлы дала»
7) ул. Габдуллина, 2</t>
  </si>
  <si>
    <t>22 У</t>
  </si>
  <si>
    <t>Услуги по дезинфекции, дезинсекции и дератизации 
на объектах Зерендинского филиала</t>
  </si>
  <si>
    <t>23 У</t>
  </si>
  <si>
    <t>68.20.12.970.000.00.0777.000000000000</t>
  </si>
  <si>
    <t>Услуги по аренде гаража</t>
  </si>
  <si>
    <t>Услуги по аренде гаража для автотранспорта 
Товарищества г. Астана с офисом и складами, 
а также со всеми расходами по эксплуатации (125 ед. транспорта)</t>
  </si>
  <si>
    <t>24 У</t>
  </si>
  <si>
    <t>2. Работы</t>
  </si>
  <si>
    <t xml:space="preserve"> оплата по факту выполнения работ</t>
  </si>
  <si>
    <t>работа</t>
  </si>
  <si>
    <t>1 Р</t>
  </si>
  <si>
    <t>45.20.21.000.001.00.0999.000000000000</t>
  </si>
  <si>
    <t>Работы по ремонту автотранспортных средств, систем, узлов и агрегатов</t>
  </si>
  <si>
    <t>Ремонт автотранспорта 
с заменой запчастей в г. Астана</t>
  </si>
  <si>
    <t>2 Р</t>
  </si>
  <si>
    <t>Ремонт автотранспорта
с заменой запчастей в г. Алматы</t>
  </si>
  <si>
    <t>г.Алматы</t>
  </si>
  <si>
    <t>3 Р</t>
  </si>
  <si>
    <t>Ремонт автотранспорта
с заменой запчастей в п. Зеренда</t>
  </si>
  <si>
    <t>33.12.18.200.000.00.0777.000000000000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</si>
  <si>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</si>
  <si>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техническому обслуживанию системы JET-вентиляции и кондиционирования, с их ежегодной поверкой в паркинге административного здания «Изумрудный квартал», блок Б</t>
  </si>
  <si>
    <t>25 У</t>
  </si>
  <si>
    <t>53.10.12.900.000.00.0777.000000000000</t>
  </si>
  <si>
    <t>Услуги почтовые, связанные с письмами</t>
  </si>
  <si>
    <t>Услуги экспресс почты по пересылке отправлений EMS по Республике Казахстан, странам ближнего и дальнего зарубежья</t>
  </si>
  <si>
    <t>Дополнения утверждены Приказом  и.о генерального директора  № 518 от 19.11.2015 года</t>
  </si>
  <si>
    <t>26 У</t>
  </si>
  <si>
    <t>74.90.20.000.061.00.0777.000000000000</t>
  </si>
  <si>
    <t>Услуги мониторинга за автотранспортными средствами посредством системы GPS-мониторинга</t>
  </si>
  <si>
    <t>Дополнения утверждены Приказом  и.о генерального директора  № 524 от 20.11.2015 года</t>
  </si>
  <si>
    <t>9-1 У</t>
  </si>
  <si>
    <t>14,15,16</t>
  </si>
  <si>
    <t>16-1 У</t>
  </si>
  <si>
    <t>Услуги по техническому сервисному обслуживанию систем учета тепловой энергии и автоматизированных систем учета регулирования на объектах, принадлежащих и/или обслуживаемых 
ТОО «КазМунайГаз-Сервис», расположенных в г. Астана Административные и жилые здания по адресу: 
1) пр. Кабанбай батыра, 19
2) ул. Ауэзова, 18; 
3) ул. Кунаева, 8 «Изумрудный квартал», блок Б; 
4) ул. Габдуллина, 2
5) ЖК «Нурлы дала»                                                                                                                                                 6) пр. Туран, 1</t>
  </si>
  <si>
    <t>26-1 У</t>
  </si>
  <si>
    <t>Услуги по техническому обслуживанию оборудования системы GPS-мониторинга транспорта</t>
  </si>
  <si>
    <t>27 У</t>
  </si>
  <si>
    <t>61.10.11.200.000.00.0777.000000000000</t>
  </si>
  <si>
    <t>Услуги телефонной связи</t>
  </si>
  <si>
    <t>Услуги фиксированной местной, междугородней, международной телефонной связи  - доступ и пользование</t>
  </si>
  <si>
    <t>28 У</t>
  </si>
  <si>
    <t>61.10.43.100.000.00.0777.000000000000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</si>
  <si>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</si>
  <si>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</si>
  <si>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 xml:space="preserve"> Дополнения и изменения  утверждены Приказом генерального директора  № 582 от 15.12.2015 года</t>
  </si>
  <si>
    <t>Изменения  утверждены Приказом генерального директора  № 54 от 18.02.2016 года</t>
  </si>
  <si>
    <t>9,14,16,17</t>
  </si>
  <si>
    <t>1-1 Р</t>
  </si>
  <si>
    <t>ноябрь-декабрь, февраль</t>
  </si>
  <si>
    <t>2-1 Р</t>
  </si>
  <si>
    <t>ноябрь-декабрь, февраль-март</t>
  </si>
  <si>
    <t>3-1 Р</t>
  </si>
  <si>
    <t>13-1 У</t>
  </si>
  <si>
    <t>18-1 У</t>
  </si>
  <si>
    <t>28-1 У</t>
  </si>
  <si>
    <t>ноябрь-декабрь,март</t>
  </si>
  <si>
    <t>9,14,15,16</t>
  </si>
  <si>
    <t>Изменения  утверждены Приказом генерального директора  № 82 от 28.02.2016 года</t>
  </si>
  <si>
    <t>19-1 У</t>
  </si>
  <si>
    <t>ноябрь-декабрь, апрель-май</t>
  </si>
  <si>
    <t>Изменения  утверждены Приказом генерального директора  № 127 от 01.04.2016 года</t>
  </si>
  <si>
    <t>26-2 У</t>
  </si>
  <si>
    <t>9,14,16,17,20</t>
  </si>
  <si>
    <t>ноябрь-декабрь 2015 г.,май-июнь 2016 г.</t>
  </si>
  <si>
    <t>Изменения  утверждены Приказом и.о генерального директора  № 259 от 31.05.2016 года</t>
  </si>
  <si>
    <t>29 У</t>
  </si>
  <si>
    <t>77.40.12.000.000.00.0777.000000000000</t>
  </si>
  <si>
    <t>Услуги по предоставлению лицензий на право использования торговых знаков и привилегий</t>
  </si>
  <si>
    <t>Предоставление лицензий на право использования торговых знаков и привилегий в соответствии с договорами гражданско-правового характера</t>
  </si>
  <si>
    <t>Изменения  утверждены Приказом генерального директора  № 434 от 24.08.2016 года</t>
  </si>
  <si>
    <t>14-3 Т</t>
  </si>
  <si>
    <t>15,16,17</t>
  </si>
  <si>
    <t>15-3 Т</t>
  </si>
  <si>
    <t>16-3 Т</t>
  </si>
  <si>
    <t>17-3 Т</t>
  </si>
  <si>
    <t>18-3 Т</t>
  </si>
  <si>
    <t>19-3 Т</t>
  </si>
  <si>
    <t>20-3 Т</t>
  </si>
  <si>
    <t>21-3 Т</t>
  </si>
  <si>
    <t>Изменения  утверждены Приказом генерального директора  №410 от 28.09.2016 года</t>
  </si>
  <si>
    <t>30 У</t>
  </si>
  <si>
    <t>42.11.20.335.019.00.0777.000000000000</t>
  </si>
  <si>
    <t>Услуги по содержанию зданий</t>
  </si>
  <si>
    <t>2019 г.</t>
  </si>
  <si>
    <t>август-сентябрь 2016 г.</t>
  </si>
  <si>
    <t>ноябрь-декабрь 2016 г.</t>
  </si>
  <si>
    <t xml:space="preserve">План долгосрочных  закупок товаров, работ и услуг ТОО "КазМунайГаз-Сервис" </t>
  </si>
  <si>
    <t>Услуги по комплексному обслуживанию административного здания "Изумрудный квартал" (Блок Б) и прилегающей территории</t>
  </si>
  <si>
    <t>Дополнения  утверждены Приказом генерального директора  №451 от 01.11.2016 года</t>
  </si>
  <si>
    <t>31 У</t>
  </si>
  <si>
    <t>69.10.19.000.000.00.0777.000000000000</t>
  </si>
  <si>
    <t>Услуги юридические</t>
  </si>
  <si>
    <t>услуги по координации вопросов и осуществлению мероприятий, связанных с урегулированием спора между Заказчиком и акционерами</t>
  </si>
  <si>
    <t>Дополнения  утверждены Приказом генерального директора  №456 от 02.11.2016 года</t>
  </si>
  <si>
    <t>30-1 У</t>
  </si>
  <si>
    <t>Изменения  утверждены Приказом генерального директора  №474 от 17.11.2016 года</t>
  </si>
  <si>
    <t>Изменения  утверждены Приказом генерального директора  №57 от 15.02.2017 года</t>
  </si>
  <si>
    <t>30-2У</t>
  </si>
  <si>
    <t>Услуги по комплексному/эксплуатационному обслуживанию и содержанию административного здания "Изумрудный квартал" (Блок Б) и прилегающей территории</t>
  </si>
  <si>
    <t>февраль-март 2017 г</t>
  </si>
  <si>
    <t>6, 9, 14, 16, 17</t>
  </si>
  <si>
    <t>32 У</t>
  </si>
  <si>
    <t>2020 г.</t>
  </si>
  <si>
    <t>69.20.10.000.002.00.0777.000000000000</t>
  </si>
  <si>
    <t>Услуги по проведению аудита финансовой отчетности</t>
  </si>
  <si>
    <t>Услуги по проведению аудита отдельной и консолидированной финансовой отчетности</t>
  </si>
  <si>
    <t>март-апрель 2017 г.</t>
  </si>
  <si>
    <t>4 Р</t>
  </si>
  <si>
    <t>41.00.40.000.000.00.0999.000000000000</t>
  </si>
  <si>
    <t>Комплексные работы по строительству «под ключ»</t>
  </si>
  <si>
    <t>Комплексные работы по строительству, включающие выполнение проектных и изыскательских работ, строительство «под ключ», управление проектными и изыскательскими работами, строительством «под ключ» (при необходимости), и сопутствующая(ие) указанным работам поставка товаров, оказание услуг</t>
  </si>
  <si>
    <t>Комплексные работы по проектированию и строительству "под ключ" Дворца единоборств г.Астана</t>
  </si>
  <si>
    <t>авансовый платеж - до 50%</t>
  </si>
  <si>
    <t>2016 год</t>
  </si>
  <si>
    <t>объект незавершенного строительства принят от АО "КТГ" по договору цессии № 1505-21 от 14.10.2016 г.</t>
  </si>
  <si>
    <t>Дополнения  утверждены Приказом генерального директора  №139 от 24.03.2017 года</t>
  </si>
  <si>
    <t>Дополнения утверждены Приказом генерального директора  №241 от 11.05.2017 года</t>
  </si>
  <si>
    <t>Дополнения утверждены Приказом генерального директора  №285 от 30.05.2017 года</t>
  </si>
  <si>
    <t>33 У</t>
  </si>
  <si>
    <t>85.59.13.335.001.00.0777.000000000000</t>
  </si>
  <si>
    <t>Услуги по обучению (кроме в области начального, среднего, высшего образования)</t>
  </si>
  <si>
    <t>Услуги по обучению (обучению/подготовке/переподготовке/повышению квалификации)</t>
  </si>
  <si>
    <t>Услуги по обучению (Единая программа развития топ-менеджмента ДЗО АО НК «КазМунайГаз»)</t>
  </si>
  <si>
    <t>май-июнь 2017 г</t>
  </si>
  <si>
    <t>авансовый платеж - 50%</t>
  </si>
  <si>
    <t>14-4 Т</t>
  </si>
  <si>
    <t>изм</t>
  </si>
  <si>
    <t>15-4 Т</t>
  </si>
  <si>
    <t>16-4 Т</t>
  </si>
  <si>
    <t>17-4 Т</t>
  </si>
  <si>
    <t>18-4 Т</t>
  </si>
  <si>
    <t>19-4 Т</t>
  </si>
  <si>
    <t>20-4 Т</t>
  </si>
  <si>
    <t>21-4 Т</t>
  </si>
  <si>
    <t>10,15,16,17</t>
  </si>
  <si>
    <t>Изменения утверждены Приказом генерального директора  №556 от 20.10.2017 года</t>
  </si>
  <si>
    <t>2-2 Р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</si>
  <si>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</si>
  <si>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</si>
  <si>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</si>
  <si>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6-1 У</t>
  </si>
  <si>
    <t>Услуги по обеспечению пожарной безопасности на объектах, расположенных в г. Астана. (Административные и жилые здания по адресу: ул. Кунаева 8, «Изумрудный квартал», блок Б</t>
  </si>
  <si>
    <t>6, 14,16,17</t>
  </si>
  <si>
    <t>Услуги по обеспечению пожарной безопасности на объектах, расположенных в с. Зеренда Акмолинской области: 1) ОК «Сункар»; 2) ОК «Малиновый Мыс»; 3) ОК «Зеренда»; 4) вертолетная площадка</t>
  </si>
  <si>
    <t>-</t>
  </si>
  <si>
    <t>7-1 У</t>
  </si>
  <si>
    <t>802010.000.000003</t>
  </si>
  <si>
    <t>Услуги по обеспечению безопасности</t>
  </si>
  <si>
    <t>Услуги по обеспечению безопасности и мониторингу устройствами предупреждения, сигнализации и аналогичными системами обеспечения безопасности</t>
  </si>
  <si>
    <t>Услуги по обеспечению пожарной безопасности на объектах, расположенных в с. Зеренда Акмолинской области: 1) ОК «Сункар»; 3) ОК «Зеренда»; 3) вертолетная площадка</t>
  </si>
  <si>
    <t xml:space="preserve"> оплата по факту оказания услуг со дня заключения договора по 30 июня 2019 г.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</si>
  <si>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г. Астана по адресу: 1) ул. Кунаева 8, «Изумрудный квартал», блок Б; 2) пр.Республики 32; 3) ул. Ауэзова 18;</t>
  </si>
  <si>
    <t>8-1 У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</si>
  <si>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г. Астана по адресу: 1) ул. Кунаева 8, «Изумрудный квартал», блок Б; 2) пр. Республики 32</t>
  </si>
  <si>
    <t xml:space="preserve"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Акмолинской области 1) ОК «Сункар»; 2) ОК «Малиновый Мыс».            </t>
  </si>
  <si>
    <t>9-2 У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</si>
  <si>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</si>
  <si>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</si>
  <si>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Услуги по вневедомственной охране стационарных объектов, а также персонала и имущества расположенных на этих объектах, от противоправных посягательствна объектах, расположенных в с. Зеренда Акмолинской области, ОК «Сункар»</t>
  </si>
  <si>
    <t xml:space="preserve">Услуги по техническому обслуживанию и уходу лифтов и лифтовых шахт на объектах, расположенных в г. Астана (Административные и жилые здания по адресу: 1) пр. Кабанбай батыра 19 (12 лифтов); 2) пр. Туран 1 (2 лифта)
3) ул. Кунаева 8 «Изумрудный квартал», блок Б (21 лифт); 4) пр. Республики 32 (2 лифта); 5) ЖК «Нурлы дала» (4 лифта) </t>
  </si>
  <si>
    <t>10-1 У</t>
  </si>
  <si>
    <t>Услуги по техническому обслуживанию и уходу лифтов и лифтовых шахт на объектах, расположенных в г. Астана (Административные и жилые здания по адресу: 1) ул. Кунаева 8 «Изумрудный квартал», блок Б (18 лифтов); 2) пр. Республики 32 (2 лифта)</t>
  </si>
  <si>
    <t>Услуги по техническому обслуживанию и уходу лифтов и лифтовых шахт на объекте ОК «Зеренда», расположенном в с. Зеренда, Акмолинской области (2 лифта)</t>
  </si>
  <si>
    <t>11-1 У</t>
  </si>
  <si>
    <t>331215.200.000000</t>
  </si>
  <si>
    <t>Обслуживание систем пожарной безопасности на объектах, принадлежащих и/или обслуживаемых ТОО «КазМунайГаз-Сервис», расположенных в г. Астана 
Административные здания по адресу: 
1) пр. Кабанбай батыра, 19 блок Б
2) пр. Туран, 1 3) ул. Кунаева, 8 «Изумрудный квартал», блок Б; 4) пр. Республики, 32; 5) ул. Ауэзова, 18.</t>
  </si>
  <si>
    <t>14-1 У</t>
  </si>
  <si>
    <t>Обслуживание систем пожарной безопасности на объектах, принадлежащих и/или обслуживаемых ТОО «КазМунайГаз-Сервис», расположенных в г. Астана 
Административные здания по адресу: 
1) ул. Кунаева, 8 «Изумрудный квартал», блок Б; 2) пр. Республики, 32</t>
  </si>
  <si>
    <t>Обслуживание систем пожарной безопасности на объектах, расположенных в с. Зеренда, Акмолинской области: 1) ОК «Сункар»; 2) ОК «Малиновый Мыс».</t>
  </si>
  <si>
    <t>15-1 У</t>
  </si>
  <si>
    <t>802010.000.000004</t>
  </si>
  <si>
    <t xml:space="preserve">Обеспечение противопожарных профилактических мероприятий расположенных в с. Зеренда, Акмолинской области ОК «Сункар»
</t>
  </si>
  <si>
    <t xml:space="preserve"> оплата по факту оказания услуг со дня заключения договора по 31 декабря 2019 г.</t>
  </si>
  <si>
    <t>17-1 У</t>
  </si>
  <si>
    <t>25-1 У</t>
  </si>
  <si>
    <t>27-1 У</t>
  </si>
  <si>
    <t>28-2 У</t>
  </si>
  <si>
    <t>Изменения утверждены Приказом генерального директора  №457 от21 ноября 2018 года</t>
  </si>
  <si>
    <t xml:space="preserve">Утверждены
</t>
  </si>
  <si>
    <t>приказом генерального директора (председателя Правления)</t>
  </si>
  <si>
    <t>ТОО "КазМунайГаз-Сервис"</t>
  </si>
  <si>
    <t>от "___ " __________ 2018г. № ________</t>
  </si>
  <si>
    <t>Изменение, гр. 14, 16, 17</t>
  </si>
  <si>
    <t>Изменение, гр. 6, 14, 16, 17</t>
  </si>
  <si>
    <t>Руководитель службы организации закупок</t>
  </si>
  <si>
    <t>Ә. Төлек</t>
  </si>
  <si>
    <t>Руководитель службы организации закупок  Төлек Ә.Ж. тел. 8 (7172) 97-98-43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</si>
</sst>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21252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8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2" xfId="4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/>
    </xf>
    <xf numFmtId="0" fontId="3" fillId="0" borderId="2" xfId="2" applyFont="1" applyFill="1" applyBorder="1"/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 wrapText="1"/>
    </xf>
    <xf numFmtId="9" fontId="3" fillId="2" borderId="2" xfId="2" applyNumberFormat="1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right" vertical="top" wrapTex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/>
    </xf>
    <xf numFmtId="165" fontId="6" fillId="0" borderId="1" xfId="1" applyFont="1" applyFill="1" applyBorder="1" applyAlignment="1">
      <alignment horizontal="right" vertical="top" wrapText="1"/>
    </xf>
    <xf numFmtId="0" fontId="8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0" applyFont="1"/>
    <xf numFmtId="0" fontId="11" fillId="0" borderId="0" xfId="0" applyNumberFormat="1" applyFont="1" applyFill="1" applyBorder="1"/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3" fillId="2" borderId="2" xfId="2" applyFont="1" applyFill="1" applyBorder="1" applyAlignment="1">
      <alignment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9" fontId="3" fillId="0" borderId="2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4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165" fontId="5" fillId="0" borderId="0" xfId="1" applyFont="1" applyFill="1" applyBorder="1"/>
    <xf numFmtId="165" fontId="6" fillId="0" borderId="0" xfId="1" applyFont="1" applyFill="1" applyAlignment="1">
      <alignment horizontal="right" vertical="top" wrapText="1"/>
    </xf>
    <xf numFmtId="165" fontId="6" fillId="0" borderId="0" xfId="1" applyFont="1" applyFill="1" applyBorder="1" applyAlignment="1">
      <alignment horizontal="right"/>
    </xf>
    <xf numFmtId="165" fontId="6" fillId="0" borderId="0" xfId="1" applyFont="1" applyFill="1" applyAlignment="1">
      <alignment horizontal="left" vertical="top"/>
    </xf>
    <xf numFmtId="165" fontId="8" fillId="0" borderId="2" xfId="1" applyFont="1" applyFill="1" applyBorder="1" applyAlignment="1">
      <alignment horizontal="center" vertical="top" wrapText="1"/>
    </xf>
    <xf numFmtId="165" fontId="8" fillId="0" borderId="2" xfId="1" applyFont="1" applyFill="1" applyBorder="1" applyAlignment="1">
      <alignment horizontal="center" vertical="center" wrapText="1"/>
    </xf>
    <xf numFmtId="165" fontId="6" fillId="0" borderId="2" xfId="1" applyFont="1" applyFill="1" applyBorder="1" applyAlignment="1">
      <alignment horizontal="center" vertical="center"/>
    </xf>
    <xf numFmtId="165" fontId="8" fillId="0" borderId="2" xfId="1" applyFont="1" applyFill="1" applyBorder="1" applyAlignment="1">
      <alignment horizontal="left" vertical="center" wrapText="1"/>
    </xf>
    <xf numFmtId="165" fontId="5" fillId="0" borderId="2" xfId="1" applyFont="1" applyFill="1" applyBorder="1" applyAlignment="1">
      <alignment horizontal="center" vertical="center" wrapText="1"/>
    </xf>
    <xf numFmtId="165" fontId="3" fillId="0" borderId="2" xfId="1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/>
    </xf>
    <xf numFmtId="165" fontId="9" fillId="2" borderId="2" xfId="1" applyFont="1" applyFill="1" applyBorder="1" applyAlignment="1">
      <alignment horizontal="center" vertical="center"/>
    </xf>
    <xf numFmtId="165" fontId="8" fillId="2" borderId="2" xfId="1" applyFont="1" applyFill="1" applyBorder="1" applyAlignment="1">
      <alignment horizontal="left" vertical="center" wrapText="1"/>
    </xf>
    <xf numFmtId="165" fontId="5" fillId="2" borderId="2" xfId="1" applyFont="1" applyFill="1" applyBorder="1" applyAlignment="1">
      <alignment horizontal="center" vertical="center" wrapText="1"/>
    </xf>
    <xf numFmtId="165" fontId="3" fillId="2" borderId="2" xfId="1" applyFont="1" applyFill="1" applyBorder="1" applyAlignment="1">
      <alignment horizontal="center" vertical="center" wrapText="1"/>
    </xf>
    <xf numFmtId="165" fontId="8" fillId="2" borderId="2" xfId="1" applyFont="1" applyFill="1" applyBorder="1" applyAlignment="1">
      <alignment horizontal="center" vertical="center" wrapText="1"/>
    </xf>
    <xf numFmtId="165" fontId="8" fillId="2" borderId="2" xfId="1" applyFont="1" applyFill="1" applyBorder="1" applyAlignment="1">
      <alignment horizontal="right" vertical="center" wrapText="1"/>
    </xf>
    <xf numFmtId="165" fontId="12" fillId="0" borderId="0" xfId="1" applyFont="1" applyFill="1" applyBorder="1"/>
    <xf numFmtId="164" fontId="6" fillId="2" borderId="0" xfId="0" applyNumberFormat="1" applyFont="1" applyFill="1" applyAlignment="1">
      <alignment horizontal="center" vertical="center"/>
    </xf>
    <xf numFmtId="164" fontId="3" fillId="2" borderId="0" xfId="2" applyNumberFormat="1" applyFont="1" applyFill="1" applyBorder="1" applyAlignment="1">
      <alignment vertical="center"/>
    </xf>
    <xf numFmtId="0" fontId="15" fillId="0" borderId="0" xfId="0" applyFont="1"/>
    <xf numFmtId="0" fontId="16" fillId="2" borderId="2" xfId="2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top" wrapText="1"/>
    </xf>
    <xf numFmtId="164" fontId="6" fillId="0" borderId="0" xfId="0" applyNumberFormat="1" applyFont="1" applyFill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65" fontId="8" fillId="3" borderId="2" xfId="1" applyFont="1" applyFill="1" applyBorder="1" applyAlignment="1">
      <alignment horizontal="right" vertical="center" wrapText="1"/>
    </xf>
    <xf numFmtId="165" fontId="3" fillId="3" borderId="2" xfId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165" fontId="5" fillId="3" borderId="2" xfId="1" applyFont="1" applyFill="1" applyBorder="1" applyAlignment="1">
      <alignment horizontal="center" vertical="center" wrapText="1"/>
    </xf>
    <xf numFmtId="166" fontId="5" fillId="3" borderId="2" xfId="1" applyNumberFormat="1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wrapText="1"/>
    </xf>
    <xf numFmtId="166" fontId="3" fillId="0" borderId="2" xfId="1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166" fontId="5" fillId="3" borderId="2" xfId="1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2" xfId="0" applyNumberFormat="1" applyFont="1" applyFill="1" applyBorder="1" applyAlignment="1">
      <alignment horizontal="center" vertical="center" wrapText="1"/>
    </xf>
    <xf numFmtId="165" fontId="5" fillId="0" borderId="13" xfId="1" applyFont="1" applyFill="1" applyBorder="1" applyAlignment="1">
      <alignment horizontal="right" vertical="top" wrapText="1"/>
    </xf>
    <xf numFmtId="165" fontId="5" fillId="0" borderId="14" xfId="1" applyFont="1" applyFill="1" applyBorder="1" applyAlignment="1">
      <alignment horizontal="right" vertical="top" wrapText="1"/>
    </xf>
    <xf numFmtId="0" fontId="5" fillId="0" borderId="14" xfId="0" applyNumberFormat="1" applyFont="1" applyFill="1" applyBorder="1" applyAlignment="1">
      <alignment horizontal="right" vertical="top" wrapText="1"/>
    </xf>
    <xf numFmtId="0" fontId="5" fillId="0" borderId="15" xfId="0" applyNumberFormat="1" applyFont="1" applyFill="1" applyBorder="1" applyAlignment="1">
      <alignment horizontal="right" vertical="top" wrapText="1"/>
    </xf>
    <xf numFmtId="165" fontId="6" fillId="0" borderId="13" xfId="1" applyFont="1" applyFill="1" applyBorder="1" applyAlignment="1">
      <alignment horizontal="right"/>
    </xf>
    <xf numFmtId="165" fontId="6" fillId="0" borderId="14" xfId="1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right"/>
    </xf>
    <xf numFmtId="0" fontId="8" fillId="0" borderId="3" xfId="2" applyFont="1" applyFill="1" applyBorder="1" applyAlignment="1">
      <alignment horizontal="center" vertical="top" wrapText="1"/>
    </xf>
    <xf numFmtId="0" fontId="8" fillId="0" borderId="5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49" fontId="8" fillId="0" borderId="10" xfId="1" applyNumberFormat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165" fontId="14" fillId="0" borderId="0" xfId="1" applyFont="1" applyFill="1" applyAlignment="1">
      <alignment horizontal="center" vertical="top" wrapText="1"/>
    </xf>
    <xf numFmtId="165" fontId="7" fillId="0" borderId="0" xfId="1" applyFont="1" applyFill="1" applyAlignment="1">
      <alignment horizontal="right" vertical="top" wrapText="1"/>
    </xf>
    <xf numFmtId="0" fontId="7" fillId="0" borderId="0" xfId="0" applyFont="1" applyFill="1" applyAlignment="1">
      <alignment horizontal="right" vertical="top" wrapText="1"/>
    </xf>
    <xf numFmtId="165" fontId="10" fillId="0" borderId="0" xfId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165" fontId="8" fillId="0" borderId="6" xfId="1" applyFont="1" applyFill="1" applyBorder="1" applyAlignment="1">
      <alignment horizontal="center" vertical="top" wrapText="1"/>
    </xf>
    <xf numFmtId="165" fontId="8" fillId="0" borderId="16" xfId="1" applyFont="1" applyFill="1" applyBorder="1" applyAlignment="1">
      <alignment horizontal="center" vertical="top" wrapText="1"/>
    </xf>
    <xf numFmtId="165" fontId="8" fillId="0" borderId="8" xfId="1" applyFont="1" applyFill="1" applyBorder="1" applyAlignment="1">
      <alignment horizontal="center" vertical="top" wrapText="1"/>
    </xf>
    <xf numFmtId="165" fontId="8" fillId="0" borderId="7" xfId="1" applyFont="1" applyFill="1" applyBorder="1" applyAlignment="1">
      <alignment horizontal="center" vertical="top" wrapText="1"/>
    </xf>
    <xf numFmtId="165" fontId="8" fillId="0" borderId="1" xfId="1" applyFont="1" applyFill="1" applyBorder="1" applyAlignment="1">
      <alignment horizontal="center" vertical="top" wrapText="1"/>
    </xf>
    <xf numFmtId="165" fontId="8" fillId="0" borderId="9" xfId="1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center" vertical="center" wrapText="1"/>
    </xf>
    <xf numFmtId="165" fontId="5" fillId="0" borderId="0" xfId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9" fillId="0" borderId="0" xfId="0" applyFont="1" applyFill="1" applyAlignment="1">
      <alignment horizontal="right" vertical="top"/>
    </xf>
    <xf numFmtId="165" fontId="5" fillId="0" borderId="0" xfId="1" applyFont="1" applyFill="1" applyBorder="1" applyAlignment="1">
      <alignment horizontal="right" vertical="top"/>
    </xf>
    <xf numFmtId="0" fontId="5" fillId="0" borderId="0" xfId="0" applyNumberFormat="1" applyFont="1" applyFill="1" applyBorder="1" applyAlignment="1">
      <alignment horizontal="right" vertical="top"/>
    </xf>
    <xf numFmtId="165" fontId="6" fillId="0" borderId="0" xfId="1" applyFont="1" applyFill="1" applyBorder="1" applyAlignment="1"/>
    <xf numFmtId="0" fontId="6" fillId="0" borderId="0" xfId="0" applyFont="1" applyFill="1" applyBorder="1" applyAlignment="1"/>
    <xf numFmtId="0" fontId="9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165" fontId="8" fillId="0" borderId="2" xfId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wrapText="1"/>
    </xf>
    <xf numFmtId="165" fontId="6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right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165" fontId="8" fillId="2" borderId="0" xfId="1" applyFont="1" applyFill="1" applyBorder="1" applyAlignment="1">
      <alignment horizontal="right" vertical="center" wrapText="1"/>
    </xf>
    <xf numFmtId="165" fontId="8" fillId="2" borderId="0" xfId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0"/>
  <sheetViews>
    <sheetView tabSelected="1" view="pageBreakPreview" topLeftCell="A96" zoomScale="70" zoomScaleSheetLayoutView="70" workbookViewId="0">
      <selection activeCell="C100" sqref="C100"/>
    </sheetView>
  </sheetViews>
  <sheetFormatPr defaultColWidth="8.69921875" defaultRowHeight="12.75" outlineLevelRow="1" x14ac:dyDescent="0.3"/>
  <cols>
    <col min="1" max="1" width="5.19921875" style="20" customWidth="1"/>
    <col min="2" max="2" width="7.5" style="21" customWidth="1"/>
    <col min="3" max="3" width="7.19921875" style="22" customWidth="1"/>
    <col min="4" max="4" width="14" style="23" customWidth="1"/>
    <col min="5" max="5" width="17.69921875" style="21" customWidth="1"/>
    <col min="6" max="6" width="26" style="21" customWidth="1"/>
    <col min="7" max="7" width="4.8984375" style="21" customWidth="1"/>
    <col min="8" max="8" width="5.796875" style="21" customWidth="1"/>
    <col min="9" max="9" width="10.3984375" style="21" customWidth="1"/>
    <col min="10" max="10" width="10.8984375" style="21" customWidth="1"/>
    <col min="11" max="11" width="5.5" style="21" customWidth="1"/>
    <col min="12" max="12" width="13.8984375" style="21" customWidth="1"/>
    <col min="13" max="13" width="6.5" style="21" customWidth="1"/>
    <col min="14" max="14" width="11.296875" style="76" customWidth="1"/>
    <col min="15" max="15" width="10.5" style="76" customWidth="1"/>
    <col min="16" max="16" width="12.796875" style="76" customWidth="1"/>
    <col min="17" max="17" width="11.8984375" style="76" customWidth="1"/>
    <col min="18" max="19" width="11.5" style="76" customWidth="1"/>
    <col min="20" max="20" width="11.3984375" style="76" customWidth="1"/>
    <col min="21" max="21" width="9.69921875" style="76" customWidth="1"/>
    <col min="22" max="22" width="13.8984375" style="76" customWidth="1"/>
    <col min="23" max="23" width="12.59765625" style="76" customWidth="1"/>
    <col min="24" max="24" width="5.296875" style="21" customWidth="1"/>
    <col min="25" max="25" width="6.296875" style="21" customWidth="1"/>
    <col min="26" max="26" width="8.69921875" style="21" customWidth="1"/>
    <col min="27" max="27" width="8.69921875" style="20"/>
    <col min="28" max="28" width="12.8984375" style="20" customWidth="1"/>
    <col min="29" max="29" width="10.8984375" style="20" bestFit="1" customWidth="1"/>
    <col min="30" max="16384" width="8.69921875" style="20"/>
  </cols>
  <sheetData>
    <row r="1" spans="1:42" s="42" customFormat="1" ht="13.5" thickBot="1" x14ac:dyDescent="0.25">
      <c r="A1" s="40"/>
      <c r="B1" s="40"/>
      <c r="D1" s="46"/>
      <c r="E1" s="46"/>
      <c r="F1" s="46"/>
      <c r="G1" s="46"/>
      <c r="H1" s="46"/>
      <c r="I1" s="46"/>
      <c r="J1" s="46"/>
      <c r="K1" s="46"/>
      <c r="L1" s="46"/>
      <c r="M1" s="46"/>
      <c r="N1" s="75"/>
      <c r="O1" s="75"/>
      <c r="P1" s="75"/>
      <c r="Q1" s="130" t="s">
        <v>179</v>
      </c>
      <c r="R1" s="131"/>
      <c r="S1" s="131"/>
      <c r="T1" s="131"/>
      <c r="U1" s="131"/>
      <c r="V1" s="131"/>
      <c r="W1" s="131"/>
      <c r="X1" s="132"/>
      <c r="Y1" s="132"/>
      <c r="Z1" s="133"/>
      <c r="AA1" s="41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x14ac:dyDescent="0.3">
      <c r="D2" s="47"/>
      <c r="E2" s="48"/>
      <c r="F2" s="48"/>
      <c r="G2" s="48"/>
      <c r="H2" s="48"/>
      <c r="I2" s="48"/>
      <c r="J2" s="48"/>
      <c r="K2" s="48"/>
      <c r="L2" s="48"/>
      <c r="M2" s="48"/>
      <c r="W2" s="146"/>
      <c r="X2" s="147"/>
      <c r="Y2" s="147"/>
      <c r="Z2" s="147"/>
    </row>
    <row r="3" spans="1:42" ht="13.5" thickBot="1" x14ac:dyDescent="0.35">
      <c r="V3" s="146"/>
      <c r="W3" s="148"/>
      <c r="X3" s="149"/>
      <c r="Y3" s="149"/>
      <c r="Z3" s="149"/>
    </row>
    <row r="4" spans="1:42" ht="13.5" thickBot="1" x14ac:dyDescent="0.25">
      <c r="Q4" s="134" t="s">
        <v>182</v>
      </c>
      <c r="R4" s="135"/>
      <c r="S4" s="135"/>
      <c r="T4" s="135"/>
      <c r="U4" s="135"/>
      <c r="V4" s="135"/>
      <c r="W4" s="135"/>
      <c r="X4" s="136"/>
      <c r="Y4" s="136"/>
      <c r="Z4" s="137"/>
    </row>
    <row r="5" spans="1:42" ht="13.5" thickBot="1" x14ac:dyDescent="0.25">
      <c r="Q5" s="134" t="s">
        <v>183</v>
      </c>
      <c r="R5" s="135"/>
      <c r="S5" s="135"/>
      <c r="T5" s="135"/>
      <c r="U5" s="135"/>
      <c r="V5" s="135"/>
      <c r="W5" s="135"/>
      <c r="X5" s="136"/>
      <c r="Y5" s="136"/>
      <c r="Z5" s="137"/>
    </row>
    <row r="6" spans="1:42" ht="13.5" thickBot="1" x14ac:dyDescent="0.25">
      <c r="Q6" s="134" t="s">
        <v>220</v>
      </c>
      <c r="R6" s="135"/>
      <c r="S6" s="135"/>
      <c r="T6" s="135"/>
      <c r="U6" s="135"/>
      <c r="V6" s="135"/>
      <c r="W6" s="135"/>
      <c r="X6" s="136"/>
      <c r="Y6" s="136"/>
      <c r="Z6" s="137"/>
    </row>
    <row r="7" spans="1:42" ht="13.5" thickBot="1" x14ac:dyDescent="0.25">
      <c r="Q7" s="134" t="s">
        <v>233</v>
      </c>
      <c r="R7" s="135"/>
      <c r="S7" s="135"/>
      <c r="T7" s="135"/>
      <c r="U7" s="135"/>
      <c r="V7" s="135"/>
      <c r="W7" s="135"/>
      <c r="X7" s="136"/>
      <c r="Y7" s="136"/>
      <c r="Z7" s="137"/>
    </row>
    <row r="8" spans="1:42" ht="13.5" thickBot="1" x14ac:dyDescent="0.25">
      <c r="Q8" s="134" t="s">
        <v>280</v>
      </c>
      <c r="R8" s="135"/>
      <c r="S8" s="135"/>
      <c r="T8" s="135"/>
      <c r="U8" s="135"/>
      <c r="V8" s="135"/>
      <c r="W8" s="135"/>
      <c r="X8" s="136"/>
      <c r="Y8" s="136"/>
      <c r="Z8" s="137"/>
    </row>
    <row r="9" spans="1:42" ht="13.5" thickBot="1" x14ac:dyDescent="0.25">
      <c r="Q9" s="134" t="s">
        <v>282</v>
      </c>
      <c r="R9" s="135"/>
      <c r="S9" s="135"/>
      <c r="T9" s="135"/>
      <c r="U9" s="135"/>
      <c r="V9" s="135"/>
      <c r="W9" s="135"/>
      <c r="X9" s="136"/>
      <c r="Y9" s="136"/>
      <c r="Z9" s="137"/>
    </row>
    <row r="10" spans="1:42" ht="13.5" thickBot="1" x14ac:dyDescent="0.25">
      <c r="Q10" s="134" t="s">
        <v>359</v>
      </c>
      <c r="R10" s="135"/>
      <c r="S10" s="135"/>
      <c r="T10" s="135"/>
      <c r="U10" s="135"/>
      <c r="V10" s="135"/>
      <c r="W10" s="135"/>
      <c r="X10" s="136"/>
      <c r="Y10" s="136"/>
      <c r="Z10" s="137"/>
    </row>
    <row r="11" spans="1:42" ht="13.5" thickBot="1" x14ac:dyDescent="0.25">
      <c r="Q11" s="134" t="s">
        <v>363</v>
      </c>
      <c r="R11" s="135"/>
      <c r="S11" s="135"/>
      <c r="T11" s="135"/>
      <c r="U11" s="135"/>
      <c r="V11" s="135"/>
      <c r="W11" s="135"/>
      <c r="X11" s="136"/>
      <c r="Y11" s="136"/>
      <c r="Z11" s="137"/>
    </row>
    <row r="12" spans="1:42" ht="13.5" thickBot="1" x14ac:dyDescent="0.25">
      <c r="Q12" s="134" t="s">
        <v>378</v>
      </c>
      <c r="R12" s="135"/>
      <c r="S12" s="135"/>
      <c r="T12" s="135"/>
      <c r="U12" s="135"/>
      <c r="V12" s="135"/>
      <c r="W12" s="135"/>
      <c r="X12" s="136"/>
      <c r="Y12" s="136"/>
      <c r="Z12" s="137"/>
    </row>
    <row r="13" spans="1:42" ht="13.5" thickBot="1" x14ac:dyDescent="0.25">
      <c r="Q13" s="134" t="s">
        <v>379</v>
      </c>
      <c r="R13" s="135"/>
      <c r="S13" s="135"/>
      <c r="T13" s="135"/>
      <c r="U13" s="135"/>
      <c r="V13" s="135"/>
      <c r="W13" s="135"/>
      <c r="X13" s="136"/>
      <c r="Y13" s="136"/>
      <c r="Z13" s="137"/>
    </row>
    <row r="14" spans="1:42" ht="13.5" thickBot="1" x14ac:dyDescent="0.25">
      <c r="Q14" s="134" t="s">
        <v>391</v>
      </c>
      <c r="R14" s="135"/>
      <c r="S14" s="135"/>
      <c r="T14" s="135"/>
      <c r="U14" s="135"/>
      <c r="V14" s="135"/>
      <c r="W14" s="135"/>
      <c r="X14" s="136"/>
      <c r="Y14" s="136"/>
      <c r="Z14" s="137"/>
    </row>
    <row r="15" spans="1:42" ht="13.5" thickBot="1" x14ac:dyDescent="0.25">
      <c r="Q15" s="134" t="s">
        <v>394</v>
      </c>
      <c r="R15" s="135"/>
      <c r="S15" s="135"/>
      <c r="T15" s="135"/>
      <c r="U15" s="135"/>
      <c r="V15" s="135"/>
      <c r="W15" s="135"/>
      <c r="X15" s="136"/>
      <c r="Y15" s="136"/>
      <c r="Z15" s="137"/>
    </row>
    <row r="16" spans="1:42" ht="13.5" thickBot="1" x14ac:dyDescent="0.25">
      <c r="Q16" s="134" t="s">
        <v>398</v>
      </c>
      <c r="R16" s="135"/>
      <c r="S16" s="135"/>
      <c r="T16" s="135"/>
      <c r="U16" s="135"/>
      <c r="V16" s="135"/>
      <c r="W16" s="135"/>
      <c r="X16" s="136"/>
      <c r="Y16" s="136"/>
      <c r="Z16" s="137"/>
    </row>
    <row r="17" spans="1:26" ht="13.5" thickBot="1" x14ac:dyDescent="0.25">
      <c r="Q17" s="134" t="s">
        <v>403</v>
      </c>
      <c r="R17" s="135"/>
      <c r="S17" s="135"/>
      <c r="T17" s="135"/>
      <c r="U17" s="135"/>
      <c r="V17" s="135"/>
      <c r="W17" s="135"/>
      <c r="X17" s="136"/>
      <c r="Y17" s="136"/>
      <c r="Z17" s="137"/>
    </row>
    <row r="18" spans="1:26" ht="13.5" thickBot="1" x14ac:dyDescent="0.25">
      <c r="Q18" s="134" t="s">
        <v>413</v>
      </c>
      <c r="R18" s="135"/>
      <c r="S18" s="135"/>
      <c r="T18" s="135"/>
      <c r="U18" s="135"/>
      <c r="V18" s="135"/>
      <c r="W18" s="135"/>
      <c r="X18" s="136"/>
      <c r="Y18" s="136"/>
      <c r="Z18" s="137"/>
    </row>
    <row r="19" spans="1:26" ht="13.5" thickBot="1" x14ac:dyDescent="0.25">
      <c r="Q19" s="134" t="s">
        <v>422</v>
      </c>
      <c r="R19" s="135"/>
      <c r="S19" s="135"/>
      <c r="T19" s="135"/>
      <c r="U19" s="135"/>
      <c r="V19" s="135"/>
      <c r="W19" s="135"/>
      <c r="X19" s="136"/>
      <c r="Y19" s="136"/>
      <c r="Z19" s="137"/>
    </row>
    <row r="20" spans="1:26" ht="13.5" thickBot="1" x14ac:dyDescent="0.25">
      <c r="Q20" s="134" t="s">
        <v>427</v>
      </c>
      <c r="R20" s="135"/>
      <c r="S20" s="135"/>
      <c r="T20" s="135"/>
      <c r="U20" s="135"/>
      <c r="V20" s="135"/>
      <c r="W20" s="135"/>
      <c r="X20" s="136"/>
      <c r="Y20" s="136"/>
      <c r="Z20" s="137"/>
    </row>
    <row r="21" spans="1:26" ht="13.5" thickBot="1" x14ac:dyDescent="0.25">
      <c r="Q21" s="134" t="s">
        <v>429</v>
      </c>
      <c r="R21" s="135"/>
      <c r="S21" s="135"/>
      <c r="T21" s="135"/>
      <c r="U21" s="135"/>
      <c r="V21" s="135"/>
      <c r="W21" s="135"/>
      <c r="X21" s="136"/>
      <c r="Y21" s="136"/>
      <c r="Z21" s="137"/>
    </row>
    <row r="22" spans="1:26" ht="13.5" thickBot="1" x14ac:dyDescent="0.25">
      <c r="Q22" s="134" t="s">
        <v>430</v>
      </c>
      <c r="R22" s="135"/>
      <c r="S22" s="135"/>
      <c r="T22" s="135"/>
      <c r="U22" s="135"/>
      <c r="V22" s="135"/>
      <c r="W22" s="135"/>
      <c r="X22" s="136"/>
      <c r="Y22" s="136"/>
      <c r="Z22" s="137"/>
    </row>
    <row r="23" spans="1:26" ht="13.5" thickBot="1" x14ac:dyDescent="0.25">
      <c r="Q23" s="134" t="s">
        <v>449</v>
      </c>
      <c r="R23" s="135"/>
      <c r="S23" s="135"/>
      <c r="T23" s="135"/>
      <c r="U23" s="135"/>
      <c r="V23" s="135"/>
      <c r="W23" s="135"/>
      <c r="X23" s="136"/>
      <c r="Y23" s="136"/>
      <c r="Z23" s="137"/>
    </row>
    <row r="24" spans="1:26" ht="13.5" thickBot="1" x14ac:dyDescent="0.25">
      <c r="Q24" s="134" t="s">
        <v>450</v>
      </c>
      <c r="R24" s="135"/>
      <c r="S24" s="135"/>
      <c r="T24" s="135"/>
      <c r="U24" s="135"/>
      <c r="V24" s="135"/>
      <c r="W24" s="135"/>
      <c r="X24" s="136"/>
      <c r="Y24" s="136"/>
      <c r="Z24" s="137"/>
    </row>
    <row r="25" spans="1:26" ht="13.5" thickBot="1" x14ac:dyDescent="0.25">
      <c r="Q25" s="134" t="s">
        <v>451</v>
      </c>
      <c r="R25" s="135"/>
      <c r="S25" s="135"/>
      <c r="T25" s="135"/>
      <c r="U25" s="135"/>
      <c r="V25" s="135"/>
      <c r="W25" s="135"/>
      <c r="X25" s="136"/>
      <c r="Y25" s="136"/>
      <c r="Z25" s="137"/>
    </row>
    <row r="26" spans="1:26" ht="13.5" thickBot="1" x14ac:dyDescent="0.25">
      <c r="Q26" s="134" t="s">
        <v>469</v>
      </c>
      <c r="R26" s="135"/>
      <c r="S26" s="135"/>
      <c r="T26" s="135"/>
      <c r="U26" s="135"/>
      <c r="V26" s="135"/>
      <c r="W26" s="135"/>
      <c r="X26" s="136"/>
      <c r="Y26" s="136"/>
      <c r="Z26" s="137"/>
    </row>
    <row r="27" spans="1:26" ht="13.5" thickBot="1" x14ac:dyDescent="0.25">
      <c r="Q27" s="134" t="s">
        <v>511</v>
      </c>
      <c r="R27" s="135"/>
      <c r="S27" s="135"/>
      <c r="T27" s="135"/>
      <c r="U27" s="135"/>
      <c r="V27" s="135"/>
      <c r="W27" s="135"/>
      <c r="X27" s="136"/>
      <c r="Y27" s="136"/>
      <c r="Z27" s="137"/>
    </row>
    <row r="28" spans="1:26" x14ac:dyDescent="0.2">
      <c r="Q28" s="77"/>
      <c r="R28" s="77"/>
      <c r="S28" s="77"/>
      <c r="T28" s="77"/>
      <c r="U28" s="77"/>
      <c r="V28" s="77"/>
      <c r="W28" s="77"/>
      <c r="X28" s="74"/>
      <c r="Y28" s="74"/>
      <c r="Z28" s="74"/>
    </row>
    <row r="29" spans="1:26" ht="15.75" x14ac:dyDescent="0.3">
      <c r="A29" s="144" t="s">
        <v>420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4"/>
      <c r="Y29" s="144"/>
      <c r="Z29" s="144"/>
    </row>
    <row r="30" spans="1:26" x14ac:dyDescent="0.3">
      <c r="W30" s="78"/>
      <c r="X30" s="24"/>
      <c r="Y30" s="24"/>
      <c r="Z30" s="24"/>
    </row>
    <row r="31" spans="1:26" x14ac:dyDescent="0.3">
      <c r="A31" s="25"/>
      <c r="B31" s="26"/>
      <c r="C31" s="27"/>
      <c r="G31" s="26"/>
      <c r="H31" s="26"/>
      <c r="I31" s="26"/>
      <c r="J31" s="26"/>
      <c r="K31" s="26"/>
      <c r="L31" s="26"/>
      <c r="M31" s="26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6"/>
      <c r="Y31" s="26"/>
      <c r="Z31" s="26"/>
    </row>
    <row r="32" spans="1:26" s="19" customFormat="1" ht="63.75" x14ac:dyDescent="0.3">
      <c r="A32" s="138" t="s">
        <v>0</v>
      </c>
      <c r="B32" s="138" t="s">
        <v>1</v>
      </c>
      <c r="C32" s="138" t="s">
        <v>2</v>
      </c>
      <c r="D32" s="138" t="s">
        <v>16</v>
      </c>
      <c r="E32" s="138" t="s">
        <v>17</v>
      </c>
      <c r="F32" s="138" t="s">
        <v>18</v>
      </c>
      <c r="G32" s="138" t="s">
        <v>3</v>
      </c>
      <c r="H32" s="138" t="s">
        <v>4</v>
      </c>
      <c r="I32" s="138" t="s">
        <v>5</v>
      </c>
      <c r="J32" s="138" t="s">
        <v>6</v>
      </c>
      <c r="K32" s="156" t="s">
        <v>7</v>
      </c>
      <c r="L32" s="138" t="s">
        <v>8</v>
      </c>
      <c r="M32" s="138" t="s">
        <v>9</v>
      </c>
      <c r="N32" s="150" t="s">
        <v>10</v>
      </c>
      <c r="O32" s="151"/>
      <c r="P32" s="151"/>
      <c r="Q32" s="151"/>
      <c r="R32" s="151"/>
      <c r="S32" s="151"/>
      <c r="T32" s="152"/>
      <c r="U32" s="79" t="s">
        <v>11</v>
      </c>
      <c r="V32" s="79" t="s">
        <v>12</v>
      </c>
      <c r="W32" s="79" t="s">
        <v>13</v>
      </c>
      <c r="X32" s="72" t="s">
        <v>14</v>
      </c>
      <c r="Y32" s="72" t="s">
        <v>15</v>
      </c>
      <c r="Z32" s="72" t="s">
        <v>234</v>
      </c>
    </row>
    <row r="33" spans="1:28" s="19" customFormat="1" x14ac:dyDescent="0.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56"/>
      <c r="L33" s="139"/>
      <c r="M33" s="139"/>
      <c r="N33" s="153"/>
      <c r="O33" s="154"/>
      <c r="P33" s="154"/>
      <c r="Q33" s="154"/>
      <c r="R33" s="154"/>
      <c r="S33" s="154"/>
      <c r="T33" s="155"/>
      <c r="U33" s="80"/>
      <c r="V33" s="80"/>
      <c r="W33" s="80"/>
      <c r="X33" s="29"/>
      <c r="Y33" s="29"/>
      <c r="Z33" s="29"/>
    </row>
    <row r="34" spans="1:28" s="19" customFormat="1" x14ac:dyDescent="0.3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56"/>
      <c r="L34" s="140"/>
      <c r="M34" s="140"/>
      <c r="N34" s="80" t="s">
        <v>31</v>
      </c>
      <c r="O34" s="80" t="s">
        <v>32</v>
      </c>
      <c r="P34" s="80" t="s">
        <v>33</v>
      </c>
      <c r="Q34" s="80" t="s">
        <v>35</v>
      </c>
      <c r="R34" s="80" t="s">
        <v>36</v>
      </c>
      <c r="S34" s="80" t="s">
        <v>417</v>
      </c>
      <c r="T34" s="80" t="s">
        <v>436</v>
      </c>
      <c r="U34" s="81"/>
      <c r="V34" s="81"/>
      <c r="W34" s="81"/>
      <c r="X34" s="30"/>
      <c r="Y34" s="30"/>
      <c r="Z34" s="30"/>
    </row>
    <row r="35" spans="1:28" s="32" customFormat="1" x14ac:dyDescent="0.3">
      <c r="A35" s="31">
        <v>1</v>
      </c>
      <c r="B35" s="29">
        <v>2</v>
      </c>
      <c r="C35" s="29">
        <v>3</v>
      </c>
      <c r="D35" s="29">
        <v>4</v>
      </c>
      <c r="E35" s="29">
        <v>5</v>
      </c>
      <c r="F35" s="29" t="s">
        <v>19</v>
      </c>
      <c r="G35" s="71">
        <v>7</v>
      </c>
      <c r="H35" s="29">
        <v>8</v>
      </c>
      <c r="I35" s="29">
        <v>9</v>
      </c>
      <c r="J35" s="29">
        <v>10</v>
      </c>
      <c r="K35" s="29">
        <v>11</v>
      </c>
      <c r="L35" s="29">
        <v>12</v>
      </c>
      <c r="M35" s="29">
        <v>13</v>
      </c>
      <c r="N35" s="141">
        <v>14</v>
      </c>
      <c r="O35" s="142"/>
      <c r="P35" s="142"/>
      <c r="Q35" s="142"/>
      <c r="R35" s="142"/>
      <c r="S35" s="142"/>
      <c r="T35" s="143"/>
      <c r="U35" s="73">
        <v>15</v>
      </c>
      <c r="V35" s="73">
        <v>16</v>
      </c>
      <c r="W35" s="73">
        <v>17</v>
      </c>
      <c r="X35" s="29">
        <v>18</v>
      </c>
      <c r="Y35" s="29">
        <v>19</v>
      </c>
      <c r="Z35" s="29">
        <v>20</v>
      </c>
    </row>
    <row r="36" spans="1:28" s="35" customFormat="1" ht="15.75" x14ac:dyDescent="0.3">
      <c r="A36" s="98" t="s">
        <v>176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33"/>
      <c r="Y36" s="34"/>
      <c r="Z36" s="34"/>
    </row>
    <row r="37" spans="1:28" s="52" customFormat="1" ht="114.75" outlineLevel="1" x14ac:dyDescent="0.3">
      <c r="A37" s="53" t="s">
        <v>37</v>
      </c>
      <c r="B37" s="14" t="s">
        <v>25</v>
      </c>
      <c r="C37" s="17" t="s">
        <v>38</v>
      </c>
      <c r="D37" s="17" t="s">
        <v>39</v>
      </c>
      <c r="E37" s="17" t="s">
        <v>40</v>
      </c>
      <c r="F37" s="17" t="s">
        <v>41</v>
      </c>
      <c r="G37" s="4" t="s">
        <v>42</v>
      </c>
      <c r="H37" s="4">
        <v>0.5</v>
      </c>
      <c r="I37" s="2" t="s">
        <v>43</v>
      </c>
      <c r="J37" s="1" t="s">
        <v>44</v>
      </c>
      <c r="K37" s="7" t="s">
        <v>45</v>
      </c>
      <c r="L37" s="7" t="s">
        <v>46</v>
      </c>
      <c r="M37" s="8" t="s">
        <v>47</v>
      </c>
      <c r="N37" s="50">
        <v>0</v>
      </c>
      <c r="O37" s="9">
        <f t="shared" ref="O37:R39" si="0">150+180+10+30</f>
        <v>370</v>
      </c>
      <c r="P37" s="9">
        <f t="shared" si="0"/>
        <v>370</v>
      </c>
      <c r="Q37" s="9">
        <f t="shared" si="0"/>
        <v>370</v>
      </c>
      <c r="R37" s="9">
        <f t="shared" si="0"/>
        <v>370</v>
      </c>
      <c r="S37" s="9">
        <v>0</v>
      </c>
      <c r="T37" s="9">
        <v>0</v>
      </c>
      <c r="U37" s="10">
        <v>1253.57</v>
      </c>
      <c r="V37" s="9">
        <v>0</v>
      </c>
      <c r="W37" s="9">
        <f>V37*1.12</f>
        <v>0</v>
      </c>
      <c r="X37" s="7" t="s">
        <v>48</v>
      </c>
      <c r="Y37" s="51" t="s">
        <v>32</v>
      </c>
      <c r="Z37" s="15">
        <v>9</v>
      </c>
      <c r="AB37" s="93"/>
    </row>
    <row r="38" spans="1:28" s="52" customFormat="1" ht="114.75" outlineLevel="1" x14ac:dyDescent="0.3">
      <c r="A38" s="53" t="s">
        <v>184</v>
      </c>
      <c r="B38" s="14" t="s">
        <v>25</v>
      </c>
      <c r="C38" s="17" t="s">
        <v>38</v>
      </c>
      <c r="D38" s="17" t="s">
        <v>39</v>
      </c>
      <c r="E38" s="17" t="s">
        <v>40</v>
      </c>
      <c r="F38" s="17" t="s">
        <v>41</v>
      </c>
      <c r="G38" s="4" t="s">
        <v>42</v>
      </c>
      <c r="H38" s="4">
        <v>0.5</v>
      </c>
      <c r="I38" s="2" t="s">
        <v>185</v>
      </c>
      <c r="J38" s="1" t="s">
        <v>44</v>
      </c>
      <c r="K38" s="7" t="s">
        <v>45</v>
      </c>
      <c r="L38" s="7" t="s">
        <v>46</v>
      </c>
      <c r="M38" s="8" t="s">
        <v>47</v>
      </c>
      <c r="N38" s="50">
        <v>0</v>
      </c>
      <c r="O38" s="9">
        <f t="shared" si="0"/>
        <v>370</v>
      </c>
      <c r="P38" s="9">
        <f t="shared" si="0"/>
        <v>370</v>
      </c>
      <c r="Q38" s="9">
        <f t="shared" si="0"/>
        <v>370</v>
      </c>
      <c r="R38" s="9">
        <f t="shared" si="0"/>
        <v>370</v>
      </c>
      <c r="S38" s="9">
        <v>0</v>
      </c>
      <c r="T38" s="9">
        <v>0</v>
      </c>
      <c r="U38" s="10">
        <v>1253.57</v>
      </c>
      <c r="V38" s="9">
        <v>0</v>
      </c>
      <c r="W38" s="9">
        <f>V38*1.12</f>
        <v>0</v>
      </c>
      <c r="X38" s="7" t="s">
        <v>48</v>
      </c>
      <c r="Y38" s="51" t="s">
        <v>32</v>
      </c>
      <c r="Z38" s="15">
        <v>7.9</v>
      </c>
      <c r="AB38" s="93"/>
    </row>
    <row r="39" spans="1:28" s="52" customFormat="1" ht="114.75" outlineLevel="1" x14ac:dyDescent="0.3">
      <c r="A39" s="53" t="s">
        <v>236</v>
      </c>
      <c r="B39" s="14" t="s">
        <v>25</v>
      </c>
      <c r="C39" s="17" t="s">
        <v>38</v>
      </c>
      <c r="D39" s="17" t="s">
        <v>39</v>
      </c>
      <c r="E39" s="17" t="s">
        <v>40</v>
      </c>
      <c r="F39" s="17" t="s">
        <v>41</v>
      </c>
      <c r="G39" s="4" t="s">
        <v>238</v>
      </c>
      <c r="H39" s="4">
        <v>0.5</v>
      </c>
      <c r="I39" s="2" t="s">
        <v>281</v>
      </c>
      <c r="J39" s="1" t="s">
        <v>44</v>
      </c>
      <c r="K39" s="7" t="s">
        <v>45</v>
      </c>
      <c r="L39" s="7" t="s">
        <v>46</v>
      </c>
      <c r="M39" s="8" t="s">
        <v>47</v>
      </c>
      <c r="N39" s="50">
        <v>0</v>
      </c>
      <c r="O39" s="9">
        <f t="shared" si="0"/>
        <v>370</v>
      </c>
      <c r="P39" s="9">
        <f t="shared" si="0"/>
        <v>370</v>
      </c>
      <c r="Q39" s="9">
        <f t="shared" si="0"/>
        <v>370</v>
      </c>
      <c r="R39" s="9">
        <f t="shared" si="0"/>
        <v>370</v>
      </c>
      <c r="S39" s="9">
        <v>0</v>
      </c>
      <c r="T39" s="9">
        <v>0</v>
      </c>
      <c r="U39" s="10">
        <v>1253.57</v>
      </c>
      <c r="V39" s="9">
        <v>0</v>
      </c>
      <c r="W39" s="9">
        <f>V39*1.12</f>
        <v>0</v>
      </c>
      <c r="X39" s="7" t="s">
        <v>48</v>
      </c>
      <c r="Y39" s="51" t="s">
        <v>32</v>
      </c>
      <c r="Z39" s="15" t="s">
        <v>209</v>
      </c>
      <c r="AB39" s="93"/>
    </row>
    <row r="40" spans="1:28" s="52" customFormat="1" ht="102" outlineLevel="1" x14ac:dyDescent="0.3">
      <c r="A40" s="53" t="s">
        <v>49</v>
      </c>
      <c r="B40" s="14" t="s">
        <v>25</v>
      </c>
      <c r="C40" s="1" t="s">
        <v>50</v>
      </c>
      <c r="D40" s="1" t="s">
        <v>39</v>
      </c>
      <c r="E40" s="2" t="s">
        <v>40</v>
      </c>
      <c r="F40" s="3" t="s">
        <v>180</v>
      </c>
      <c r="G40" s="15" t="s">
        <v>42</v>
      </c>
      <c r="H40" s="4">
        <v>0.5</v>
      </c>
      <c r="I40" s="2" t="s">
        <v>43</v>
      </c>
      <c r="J40" s="1" t="s">
        <v>44</v>
      </c>
      <c r="K40" s="7" t="s">
        <v>45</v>
      </c>
      <c r="L40" s="7" t="s">
        <v>46</v>
      </c>
      <c r="M40" s="8" t="s">
        <v>51</v>
      </c>
      <c r="N40" s="50">
        <v>0</v>
      </c>
      <c r="O40" s="9">
        <f t="shared" ref="O40:R42" si="1">1788+1152+46+12+36+30-252</f>
        <v>2812</v>
      </c>
      <c r="P40" s="9">
        <f t="shared" si="1"/>
        <v>2812</v>
      </c>
      <c r="Q40" s="9">
        <f t="shared" si="1"/>
        <v>2812</v>
      </c>
      <c r="R40" s="9">
        <f t="shared" si="1"/>
        <v>2812</v>
      </c>
      <c r="S40" s="9">
        <v>0</v>
      </c>
      <c r="T40" s="9">
        <v>0</v>
      </c>
      <c r="U40" s="10">
        <v>417.86</v>
      </c>
      <c r="V40" s="9">
        <v>0</v>
      </c>
      <c r="W40" s="9">
        <f t="shared" ref="W40:W156" si="2">V40*1.12</f>
        <v>0</v>
      </c>
      <c r="X40" s="7" t="s">
        <v>48</v>
      </c>
      <c r="Y40" s="51" t="s">
        <v>32</v>
      </c>
      <c r="Z40" s="15" t="s">
        <v>187</v>
      </c>
      <c r="AB40" s="93"/>
    </row>
    <row r="41" spans="1:28" s="52" customFormat="1" ht="102" outlineLevel="1" x14ac:dyDescent="0.3">
      <c r="A41" s="53" t="s">
        <v>186</v>
      </c>
      <c r="B41" s="14" t="s">
        <v>25</v>
      </c>
      <c r="C41" s="1" t="s">
        <v>50</v>
      </c>
      <c r="D41" s="1" t="s">
        <v>39</v>
      </c>
      <c r="E41" s="2" t="s">
        <v>40</v>
      </c>
      <c r="F41" s="3" t="s">
        <v>180</v>
      </c>
      <c r="G41" s="15" t="s">
        <v>42</v>
      </c>
      <c r="H41" s="4">
        <v>0.5</v>
      </c>
      <c r="I41" s="2" t="s">
        <v>185</v>
      </c>
      <c r="J41" s="1" t="s">
        <v>44</v>
      </c>
      <c r="K41" s="7" t="s">
        <v>45</v>
      </c>
      <c r="L41" s="7" t="s">
        <v>46</v>
      </c>
      <c r="M41" s="8" t="s">
        <v>51</v>
      </c>
      <c r="N41" s="50">
        <v>0</v>
      </c>
      <c r="O41" s="9">
        <f t="shared" si="1"/>
        <v>2812</v>
      </c>
      <c r="P41" s="9">
        <f t="shared" si="1"/>
        <v>2812</v>
      </c>
      <c r="Q41" s="9">
        <f t="shared" si="1"/>
        <v>2812</v>
      </c>
      <c r="R41" s="9">
        <f t="shared" si="1"/>
        <v>2812</v>
      </c>
      <c r="S41" s="9">
        <v>0</v>
      </c>
      <c r="T41" s="9">
        <v>0</v>
      </c>
      <c r="U41" s="10">
        <v>292.67</v>
      </c>
      <c r="V41" s="9">
        <v>0</v>
      </c>
      <c r="W41" s="9">
        <f t="shared" ref="W41" si="3">V41*1.12</f>
        <v>0</v>
      </c>
      <c r="X41" s="7" t="s">
        <v>48</v>
      </c>
      <c r="Y41" s="51" t="s">
        <v>32</v>
      </c>
      <c r="Z41" s="15" t="s">
        <v>239</v>
      </c>
      <c r="AB41" s="93"/>
    </row>
    <row r="42" spans="1:28" s="52" customFormat="1" ht="102" outlineLevel="1" x14ac:dyDescent="0.3">
      <c r="A42" s="53" t="s">
        <v>235</v>
      </c>
      <c r="B42" s="14" t="s">
        <v>25</v>
      </c>
      <c r="C42" s="1" t="s">
        <v>50</v>
      </c>
      <c r="D42" s="1" t="s">
        <v>39</v>
      </c>
      <c r="E42" s="2" t="s">
        <v>40</v>
      </c>
      <c r="F42" s="3" t="s">
        <v>180</v>
      </c>
      <c r="G42" s="15" t="s">
        <v>238</v>
      </c>
      <c r="H42" s="4">
        <v>0.5</v>
      </c>
      <c r="I42" s="2" t="s">
        <v>281</v>
      </c>
      <c r="J42" s="1" t="s">
        <v>44</v>
      </c>
      <c r="K42" s="7" t="s">
        <v>45</v>
      </c>
      <c r="L42" s="7" t="s">
        <v>46</v>
      </c>
      <c r="M42" s="8" t="s">
        <v>51</v>
      </c>
      <c r="N42" s="50">
        <v>0</v>
      </c>
      <c r="O42" s="9">
        <f>1788+1152+46+12+36+30-252-1406</f>
        <v>1406</v>
      </c>
      <c r="P42" s="9">
        <f t="shared" si="1"/>
        <v>2812</v>
      </c>
      <c r="Q42" s="9">
        <f t="shared" si="1"/>
        <v>2812</v>
      </c>
      <c r="R42" s="9">
        <f t="shared" si="1"/>
        <v>2812</v>
      </c>
      <c r="S42" s="9">
        <v>0</v>
      </c>
      <c r="T42" s="9">
        <v>0</v>
      </c>
      <c r="U42" s="10">
        <v>292.67</v>
      </c>
      <c r="V42" s="9">
        <v>0</v>
      </c>
      <c r="W42" s="9">
        <f t="shared" ref="W42" si="4">V42*1.12</f>
        <v>0</v>
      </c>
      <c r="X42" s="7" t="s">
        <v>48</v>
      </c>
      <c r="Y42" s="51" t="s">
        <v>32</v>
      </c>
      <c r="Z42" s="15" t="s">
        <v>209</v>
      </c>
      <c r="AB42" s="93"/>
    </row>
    <row r="43" spans="1:28" s="52" customFormat="1" ht="89.25" outlineLevel="1" x14ac:dyDescent="0.3">
      <c r="A43" s="15" t="s">
        <v>52</v>
      </c>
      <c r="B43" s="14" t="s">
        <v>25</v>
      </c>
      <c r="C43" s="1" t="s">
        <v>53</v>
      </c>
      <c r="D43" s="1" t="s">
        <v>54</v>
      </c>
      <c r="E43" s="2" t="s">
        <v>55</v>
      </c>
      <c r="F43" s="3" t="s">
        <v>56</v>
      </c>
      <c r="G43" s="15" t="s">
        <v>42</v>
      </c>
      <c r="H43" s="4">
        <v>0.5</v>
      </c>
      <c r="I43" s="2" t="s">
        <v>43</v>
      </c>
      <c r="J43" s="1" t="s">
        <v>44</v>
      </c>
      <c r="K43" s="7" t="s">
        <v>45</v>
      </c>
      <c r="L43" s="7" t="s">
        <v>46</v>
      </c>
      <c r="M43" s="8" t="s">
        <v>51</v>
      </c>
      <c r="N43" s="50">
        <v>0</v>
      </c>
      <c r="O43" s="9">
        <f t="shared" ref="O43:R45" si="5">1176+36+18+24+170</f>
        <v>1424</v>
      </c>
      <c r="P43" s="9">
        <f t="shared" si="5"/>
        <v>1424</v>
      </c>
      <c r="Q43" s="9">
        <f t="shared" si="5"/>
        <v>1424</v>
      </c>
      <c r="R43" s="9">
        <f t="shared" si="5"/>
        <v>1424</v>
      </c>
      <c r="S43" s="9">
        <v>0</v>
      </c>
      <c r="T43" s="9">
        <v>0</v>
      </c>
      <c r="U43" s="10">
        <v>397.32</v>
      </c>
      <c r="V43" s="9">
        <v>0</v>
      </c>
      <c r="W43" s="9">
        <f t="shared" si="2"/>
        <v>0</v>
      </c>
      <c r="X43" s="7" t="s">
        <v>48</v>
      </c>
      <c r="Y43" s="51" t="s">
        <v>32</v>
      </c>
      <c r="Z43" s="15" t="s">
        <v>187</v>
      </c>
      <c r="AB43" s="93"/>
    </row>
    <row r="44" spans="1:28" s="52" customFormat="1" ht="89.25" outlineLevel="1" x14ac:dyDescent="0.3">
      <c r="A44" s="15" t="s">
        <v>188</v>
      </c>
      <c r="B44" s="14" t="s">
        <v>25</v>
      </c>
      <c r="C44" s="1" t="s">
        <v>53</v>
      </c>
      <c r="D44" s="1" t="s">
        <v>54</v>
      </c>
      <c r="E44" s="2" t="s">
        <v>55</v>
      </c>
      <c r="F44" s="3" t="s">
        <v>56</v>
      </c>
      <c r="G44" s="15" t="s">
        <v>42</v>
      </c>
      <c r="H44" s="4">
        <v>0.5</v>
      </c>
      <c r="I44" s="2" t="s">
        <v>185</v>
      </c>
      <c r="J44" s="1" t="s">
        <v>44</v>
      </c>
      <c r="K44" s="7" t="s">
        <v>45</v>
      </c>
      <c r="L44" s="7" t="s">
        <v>46</v>
      </c>
      <c r="M44" s="8" t="s">
        <v>51</v>
      </c>
      <c r="N44" s="50">
        <v>0</v>
      </c>
      <c r="O44" s="9">
        <f t="shared" si="5"/>
        <v>1424</v>
      </c>
      <c r="P44" s="9">
        <f t="shared" si="5"/>
        <v>1424</v>
      </c>
      <c r="Q44" s="9">
        <f t="shared" si="5"/>
        <v>1424</v>
      </c>
      <c r="R44" s="9">
        <f t="shared" si="5"/>
        <v>1424</v>
      </c>
      <c r="S44" s="9">
        <v>0</v>
      </c>
      <c r="T44" s="9">
        <v>0</v>
      </c>
      <c r="U44" s="10">
        <v>296.25</v>
      </c>
      <c r="V44" s="9">
        <v>0</v>
      </c>
      <c r="W44" s="9">
        <f t="shared" ref="W44" si="6">V44*1.12</f>
        <v>0</v>
      </c>
      <c r="X44" s="7" t="s">
        <v>48</v>
      </c>
      <c r="Y44" s="51" t="s">
        <v>32</v>
      </c>
      <c r="Z44" s="15" t="s">
        <v>239</v>
      </c>
      <c r="AB44" s="93"/>
    </row>
    <row r="45" spans="1:28" s="52" customFormat="1" ht="89.25" outlineLevel="1" x14ac:dyDescent="0.3">
      <c r="A45" s="15" t="s">
        <v>237</v>
      </c>
      <c r="B45" s="14" t="s">
        <v>25</v>
      </c>
      <c r="C45" s="1" t="s">
        <v>53</v>
      </c>
      <c r="D45" s="1" t="s">
        <v>54</v>
      </c>
      <c r="E45" s="2" t="s">
        <v>55</v>
      </c>
      <c r="F45" s="3" t="s">
        <v>56</v>
      </c>
      <c r="G45" s="15" t="s">
        <v>238</v>
      </c>
      <c r="H45" s="4">
        <v>0.5</v>
      </c>
      <c r="I45" s="2" t="s">
        <v>281</v>
      </c>
      <c r="J45" s="1" t="s">
        <v>44</v>
      </c>
      <c r="K45" s="7" t="s">
        <v>45</v>
      </c>
      <c r="L45" s="7" t="s">
        <v>46</v>
      </c>
      <c r="M45" s="8" t="s">
        <v>51</v>
      </c>
      <c r="N45" s="50">
        <v>0</v>
      </c>
      <c r="O45" s="9">
        <f>1176+36+18+24+170-712</f>
        <v>712</v>
      </c>
      <c r="P45" s="9">
        <f t="shared" si="5"/>
        <v>1424</v>
      </c>
      <c r="Q45" s="9">
        <f t="shared" si="5"/>
        <v>1424</v>
      </c>
      <c r="R45" s="9">
        <f t="shared" si="5"/>
        <v>1424</v>
      </c>
      <c r="S45" s="9">
        <v>0</v>
      </c>
      <c r="T45" s="9">
        <v>0</v>
      </c>
      <c r="U45" s="10">
        <v>296.25</v>
      </c>
      <c r="V45" s="9">
        <v>0</v>
      </c>
      <c r="W45" s="9">
        <f t="shared" ref="W45" si="7">V45*1.12</f>
        <v>0</v>
      </c>
      <c r="X45" s="7" t="s">
        <v>48</v>
      </c>
      <c r="Y45" s="51" t="s">
        <v>32</v>
      </c>
      <c r="Z45" s="15" t="s">
        <v>209</v>
      </c>
      <c r="AB45" s="93"/>
    </row>
    <row r="46" spans="1:28" s="52" customFormat="1" ht="114.75" outlineLevel="1" x14ac:dyDescent="0.3">
      <c r="A46" s="15" t="s">
        <v>57</v>
      </c>
      <c r="B46" s="14" t="s">
        <v>25</v>
      </c>
      <c r="C46" s="1" t="s">
        <v>53</v>
      </c>
      <c r="D46" s="1" t="s">
        <v>54</v>
      </c>
      <c r="E46" s="2" t="s">
        <v>55</v>
      </c>
      <c r="F46" s="3" t="s">
        <v>58</v>
      </c>
      <c r="G46" s="15" t="s">
        <v>42</v>
      </c>
      <c r="H46" s="4">
        <v>0.5</v>
      </c>
      <c r="I46" s="2" t="s">
        <v>43</v>
      </c>
      <c r="J46" s="1" t="s">
        <v>44</v>
      </c>
      <c r="K46" s="7" t="s">
        <v>45</v>
      </c>
      <c r="L46" s="7" t="s">
        <v>46</v>
      </c>
      <c r="M46" s="8" t="s">
        <v>51</v>
      </c>
      <c r="N46" s="50">
        <v>0</v>
      </c>
      <c r="O46" s="9">
        <f t="shared" ref="O46:R48" si="8">3642-504</f>
        <v>3138</v>
      </c>
      <c r="P46" s="9">
        <f t="shared" si="8"/>
        <v>3138</v>
      </c>
      <c r="Q46" s="9">
        <f t="shared" si="8"/>
        <v>3138</v>
      </c>
      <c r="R46" s="9">
        <f t="shared" si="8"/>
        <v>3138</v>
      </c>
      <c r="S46" s="9">
        <v>0</v>
      </c>
      <c r="T46" s="9">
        <v>0</v>
      </c>
      <c r="U46" s="10">
        <v>438.39</v>
      </c>
      <c r="V46" s="9">
        <v>0</v>
      </c>
      <c r="W46" s="9">
        <f t="shared" si="2"/>
        <v>0</v>
      </c>
      <c r="X46" s="7" t="s">
        <v>48</v>
      </c>
      <c r="Y46" s="51" t="s">
        <v>32</v>
      </c>
      <c r="Z46" s="15" t="s">
        <v>187</v>
      </c>
      <c r="AB46" s="93"/>
    </row>
    <row r="47" spans="1:28" s="52" customFormat="1" ht="114.75" outlineLevel="1" x14ac:dyDescent="0.3">
      <c r="A47" s="15" t="s">
        <v>189</v>
      </c>
      <c r="B47" s="14" t="s">
        <v>25</v>
      </c>
      <c r="C47" s="1" t="s">
        <v>53</v>
      </c>
      <c r="D47" s="1" t="s">
        <v>54</v>
      </c>
      <c r="E47" s="2" t="s">
        <v>55</v>
      </c>
      <c r="F47" s="3" t="s">
        <v>58</v>
      </c>
      <c r="G47" s="15" t="s">
        <v>42</v>
      </c>
      <c r="H47" s="4">
        <v>0.5</v>
      </c>
      <c r="I47" s="2" t="s">
        <v>185</v>
      </c>
      <c r="J47" s="1" t="s">
        <v>44</v>
      </c>
      <c r="K47" s="7" t="s">
        <v>45</v>
      </c>
      <c r="L47" s="7" t="s">
        <v>46</v>
      </c>
      <c r="M47" s="8" t="s">
        <v>51</v>
      </c>
      <c r="N47" s="50">
        <v>0</v>
      </c>
      <c r="O47" s="9">
        <f t="shared" si="8"/>
        <v>3138</v>
      </c>
      <c r="P47" s="9">
        <f t="shared" si="8"/>
        <v>3138</v>
      </c>
      <c r="Q47" s="9">
        <f t="shared" si="8"/>
        <v>3138</v>
      </c>
      <c r="R47" s="9">
        <f t="shared" si="8"/>
        <v>3138</v>
      </c>
      <c r="S47" s="9">
        <v>0</v>
      </c>
      <c r="T47" s="9">
        <v>0</v>
      </c>
      <c r="U47" s="10">
        <v>353.5</v>
      </c>
      <c r="V47" s="9">
        <v>0</v>
      </c>
      <c r="W47" s="9">
        <f t="shared" ref="W47" si="9">V47*1.12</f>
        <v>0</v>
      </c>
      <c r="X47" s="7" t="s">
        <v>48</v>
      </c>
      <c r="Y47" s="51" t="s">
        <v>32</v>
      </c>
      <c r="Z47" s="15" t="s">
        <v>239</v>
      </c>
      <c r="AB47" s="93"/>
    </row>
    <row r="48" spans="1:28" s="52" customFormat="1" ht="114.75" outlineLevel="1" x14ac:dyDescent="0.3">
      <c r="A48" s="15" t="s">
        <v>240</v>
      </c>
      <c r="B48" s="14" t="s">
        <v>25</v>
      </c>
      <c r="C48" s="1" t="s">
        <v>53</v>
      </c>
      <c r="D48" s="1" t="s">
        <v>54</v>
      </c>
      <c r="E48" s="2" t="s">
        <v>55</v>
      </c>
      <c r="F48" s="3" t="s">
        <v>58</v>
      </c>
      <c r="G48" s="15" t="s">
        <v>238</v>
      </c>
      <c r="H48" s="4">
        <v>0.5</v>
      </c>
      <c r="I48" s="2" t="s">
        <v>281</v>
      </c>
      <c r="J48" s="1" t="s">
        <v>44</v>
      </c>
      <c r="K48" s="7" t="s">
        <v>45</v>
      </c>
      <c r="L48" s="7" t="s">
        <v>46</v>
      </c>
      <c r="M48" s="8" t="s">
        <v>51</v>
      </c>
      <c r="N48" s="50">
        <v>0</v>
      </c>
      <c r="O48" s="9">
        <f>3642-504-1569</f>
        <v>1569</v>
      </c>
      <c r="P48" s="9">
        <f t="shared" si="8"/>
        <v>3138</v>
      </c>
      <c r="Q48" s="9">
        <f t="shared" si="8"/>
        <v>3138</v>
      </c>
      <c r="R48" s="9">
        <f t="shared" si="8"/>
        <v>3138</v>
      </c>
      <c r="S48" s="9">
        <v>0</v>
      </c>
      <c r="T48" s="9">
        <v>0</v>
      </c>
      <c r="U48" s="10">
        <v>353.5</v>
      </c>
      <c r="V48" s="9">
        <v>0</v>
      </c>
      <c r="W48" s="9">
        <f t="shared" ref="W48" si="10">V48*1.12</f>
        <v>0</v>
      </c>
      <c r="X48" s="7" t="s">
        <v>48</v>
      </c>
      <c r="Y48" s="51" t="s">
        <v>32</v>
      </c>
      <c r="Z48" s="15" t="s">
        <v>209</v>
      </c>
      <c r="AB48" s="93"/>
    </row>
    <row r="49" spans="1:28" s="52" customFormat="1" ht="165.75" outlineLevel="1" x14ac:dyDescent="0.3">
      <c r="A49" s="15" t="s">
        <v>59</v>
      </c>
      <c r="B49" s="14" t="s">
        <v>25</v>
      </c>
      <c r="C49" s="1" t="s">
        <v>60</v>
      </c>
      <c r="D49" s="1" t="s">
        <v>61</v>
      </c>
      <c r="E49" s="2" t="s">
        <v>62</v>
      </c>
      <c r="F49" s="3" t="s">
        <v>181</v>
      </c>
      <c r="G49" s="15" t="s">
        <v>42</v>
      </c>
      <c r="H49" s="4">
        <v>0.5</v>
      </c>
      <c r="I49" s="2" t="s">
        <v>43</v>
      </c>
      <c r="J49" s="1" t="s">
        <v>44</v>
      </c>
      <c r="K49" s="7" t="s">
        <v>45</v>
      </c>
      <c r="L49" s="7" t="s">
        <v>46</v>
      </c>
      <c r="M49" s="8" t="s">
        <v>51</v>
      </c>
      <c r="N49" s="50">
        <v>0</v>
      </c>
      <c r="O49" s="9">
        <f t="shared" ref="O49:R51" si="11">2707+1176+36+18+24+170-468</f>
        <v>3663</v>
      </c>
      <c r="P49" s="9">
        <f t="shared" si="11"/>
        <v>3663</v>
      </c>
      <c r="Q49" s="9">
        <f t="shared" si="11"/>
        <v>3663</v>
      </c>
      <c r="R49" s="9">
        <f t="shared" si="11"/>
        <v>3663</v>
      </c>
      <c r="S49" s="9">
        <v>0</v>
      </c>
      <c r="T49" s="9">
        <v>0</v>
      </c>
      <c r="U49" s="10">
        <v>651.79</v>
      </c>
      <c r="V49" s="9">
        <v>0</v>
      </c>
      <c r="W49" s="9">
        <f t="shared" si="2"/>
        <v>0</v>
      </c>
      <c r="X49" s="7" t="s">
        <v>48</v>
      </c>
      <c r="Y49" s="51" t="s">
        <v>32</v>
      </c>
      <c r="Z49" s="15" t="s">
        <v>187</v>
      </c>
      <c r="AB49" s="93"/>
    </row>
    <row r="50" spans="1:28" s="52" customFormat="1" ht="165.75" outlineLevel="1" x14ac:dyDescent="0.3">
      <c r="A50" s="15" t="s">
        <v>190</v>
      </c>
      <c r="B50" s="14" t="s">
        <v>25</v>
      </c>
      <c r="C50" s="1" t="s">
        <v>60</v>
      </c>
      <c r="D50" s="1" t="s">
        <v>61</v>
      </c>
      <c r="E50" s="2" t="s">
        <v>62</v>
      </c>
      <c r="F50" s="3" t="s">
        <v>181</v>
      </c>
      <c r="G50" s="15" t="s">
        <v>42</v>
      </c>
      <c r="H50" s="4">
        <v>0.5</v>
      </c>
      <c r="I50" s="2" t="s">
        <v>185</v>
      </c>
      <c r="J50" s="1" t="s">
        <v>44</v>
      </c>
      <c r="K50" s="7" t="s">
        <v>45</v>
      </c>
      <c r="L50" s="7" t="s">
        <v>46</v>
      </c>
      <c r="M50" s="8" t="s">
        <v>51</v>
      </c>
      <c r="N50" s="50">
        <v>0</v>
      </c>
      <c r="O50" s="9">
        <f t="shared" si="11"/>
        <v>3663</v>
      </c>
      <c r="P50" s="9">
        <f t="shared" si="11"/>
        <v>3663</v>
      </c>
      <c r="Q50" s="9">
        <f t="shared" si="11"/>
        <v>3663</v>
      </c>
      <c r="R50" s="9">
        <f t="shared" si="11"/>
        <v>3663</v>
      </c>
      <c r="S50" s="9">
        <v>0</v>
      </c>
      <c r="T50" s="9">
        <v>0</v>
      </c>
      <c r="U50" s="10">
        <v>296.18</v>
      </c>
      <c r="V50" s="9">
        <v>0</v>
      </c>
      <c r="W50" s="9">
        <f t="shared" ref="W50" si="12">V50*1.12</f>
        <v>0</v>
      </c>
      <c r="X50" s="7" t="s">
        <v>48</v>
      </c>
      <c r="Y50" s="51" t="s">
        <v>32</v>
      </c>
      <c r="Z50" s="15" t="s">
        <v>239</v>
      </c>
      <c r="AB50" s="93"/>
    </row>
    <row r="51" spans="1:28" s="52" customFormat="1" ht="165.75" outlineLevel="1" x14ac:dyDescent="0.3">
      <c r="A51" s="15" t="s">
        <v>241</v>
      </c>
      <c r="B51" s="14" t="s">
        <v>25</v>
      </c>
      <c r="C51" s="1" t="s">
        <v>60</v>
      </c>
      <c r="D51" s="1" t="s">
        <v>61</v>
      </c>
      <c r="E51" s="2" t="s">
        <v>62</v>
      </c>
      <c r="F51" s="3" t="s">
        <v>181</v>
      </c>
      <c r="G51" s="15" t="s">
        <v>238</v>
      </c>
      <c r="H51" s="4">
        <v>0.5</v>
      </c>
      <c r="I51" s="2" t="s">
        <v>281</v>
      </c>
      <c r="J51" s="1" t="s">
        <v>44</v>
      </c>
      <c r="K51" s="7" t="s">
        <v>45</v>
      </c>
      <c r="L51" s="7" t="s">
        <v>46</v>
      </c>
      <c r="M51" s="8" t="s">
        <v>51</v>
      </c>
      <c r="N51" s="50">
        <v>0</v>
      </c>
      <c r="O51" s="9">
        <f>2707+1176+36+18+24+170-468-1831</f>
        <v>1832</v>
      </c>
      <c r="P51" s="9">
        <f t="shared" si="11"/>
        <v>3663</v>
      </c>
      <c r="Q51" s="9">
        <f t="shared" si="11"/>
        <v>3663</v>
      </c>
      <c r="R51" s="9">
        <f t="shared" si="11"/>
        <v>3663</v>
      </c>
      <c r="S51" s="9">
        <v>0</v>
      </c>
      <c r="T51" s="9">
        <v>0</v>
      </c>
      <c r="U51" s="10">
        <v>296.18</v>
      </c>
      <c r="V51" s="9">
        <v>0</v>
      </c>
      <c r="W51" s="9">
        <f t="shared" ref="W51" si="13">V51*1.12</f>
        <v>0</v>
      </c>
      <c r="X51" s="7" t="s">
        <v>48</v>
      </c>
      <c r="Y51" s="51" t="s">
        <v>32</v>
      </c>
      <c r="Z51" s="15" t="s">
        <v>209</v>
      </c>
      <c r="AB51" s="93"/>
    </row>
    <row r="52" spans="1:28" s="52" customFormat="1" ht="153" outlineLevel="1" x14ac:dyDescent="0.3">
      <c r="A52" s="15" t="s">
        <v>63</v>
      </c>
      <c r="B52" s="14" t="s">
        <v>25</v>
      </c>
      <c r="C52" s="1" t="s">
        <v>64</v>
      </c>
      <c r="D52" s="1" t="s">
        <v>65</v>
      </c>
      <c r="E52" s="2" t="s">
        <v>66</v>
      </c>
      <c r="F52" s="3" t="s">
        <v>67</v>
      </c>
      <c r="G52" s="15" t="s">
        <v>42</v>
      </c>
      <c r="H52" s="4">
        <v>0.5</v>
      </c>
      <c r="I52" s="2" t="s">
        <v>43</v>
      </c>
      <c r="J52" s="1" t="s">
        <v>44</v>
      </c>
      <c r="K52" s="7" t="s">
        <v>45</v>
      </c>
      <c r="L52" s="7" t="s">
        <v>46</v>
      </c>
      <c r="M52" s="8" t="s">
        <v>51</v>
      </c>
      <c r="N52" s="50">
        <v>0</v>
      </c>
      <c r="O52" s="9">
        <f t="shared" ref="O52:R54" si="14">1788+1176+48+24+48+200-252</f>
        <v>3032</v>
      </c>
      <c r="P52" s="9">
        <f t="shared" si="14"/>
        <v>3032</v>
      </c>
      <c r="Q52" s="9">
        <f t="shared" si="14"/>
        <v>3032</v>
      </c>
      <c r="R52" s="9">
        <f t="shared" si="14"/>
        <v>3032</v>
      </c>
      <c r="S52" s="9">
        <v>0</v>
      </c>
      <c r="T52" s="9">
        <v>0</v>
      </c>
      <c r="U52" s="10">
        <v>128.57</v>
      </c>
      <c r="V52" s="9">
        <v>0</v>
      </c>
      <c r="W52" s="9">
        <f t="shared" si="2"/>
        <v>0</v>
      </c>
      <c r="X52" s="7" t="s">
        <v>48</v>
      </c>
      <c r="Y52" s="51" t="s">
        <v>32</v>
      </c>
      <c r="Z52" s="15" t="s">
        <v>187</v>
      </c>
      <c r="AB52" s="93"/>
    </row>
    <row r="53" spans="1:28" s="52" customFormat="1" ht="153" outlineLevel="1" x14ac:dyDescent="0.3">
      <c r="A53" s="15" t="s">
        <v>191</v>
      </c>
      <c r="B53" s="14" t="s">
        <v>25</v>
      </c>
      <c r="C53" s="1" t="s">
        <v>64</v>
      </c>
      <c r="D53" s="1" t="s">
        <v>65</v>
      </c>
      <c r="E53" s="2" t="s">
        <v>66</v>
      </c>
      <c r="F53" s="3" t="s">
        <v>67</v>
      </c>
      <c r="G53" s="15" t="s">
        <v>42</v>
      </c>
      <c r="H53" s="4">
        <v>0.5</v>
      </c>
      <c r="I53" s="2" t="s">
        <v>185</v>
      </c>
      <c r="J53" s="1" t="s">
        <v>44</v>
      </c>
      <c r="K53" s="7" t="s">
        <v>45</v>
      </c>
      <c r="L53" s="7" t="s">
        <v>46</v>
      </c>
      <c r="M53" s="8" t="s">
        <v>51</v>
      </c>
      <c r="N53" s="50">
        <v>0</v>
      </c>
      <c r="O53" s="9">
        <f t="shared" si="14"/>
        <v>3032</v>
      </c>
      <c r="P53" s="9">
        <f t="shared" si="14"/>
        <v>3032</v>
      </c>
      <c r="Q53" s="9">
        <f t="shared" si="14"/>
        <v>3032</v>
      </c>
      <c r="R53" s="9">
        <f t="shared" si="14"/>
        <v>3032</v>
      </c>
      <c r="S53" s="9">
        <v>0</v>
      </c>
      <c r="T53" s="9">
        <v>0</v>
      </c>
      <c r="U53" s="10">
        <v>117.5</v>
      </c>
      <c r="V53" s="9">
        <v>0</v>
      </c>
      <c r="W53" s="9">
        <f t="shared" ref="W53" si="15">V53*1.12</f>
        <v>0</v>
      </c>
      <c r="X53" s="7" t="s">
        <v>48</v>
      </c>
      <c r="Y53" s="51" t="s">
        <v>32</v>
      </c>
      <c r="Z53" s="15">
        <v>7.9</v>
      </c>
      <c r="AB53" s="93"/>
    </row>
    <row r="54" spans="1:28" s="52" customFormat="1" ht="153" outlineLevel="1" x14ac:dyDescent="0.3">
      <c r="A54" s="15" t="s">
        <v>242</v>
      </c>
      <c r="B54" s="14" t="s">
        <v>25</v>
      </c>
      <c r="C54" s="1" t="s">
        <v>64</v>
      </c>
      <c r="D54" s="1" t="s">
        <v>65</v>
      </c>
      <c r="E54" s="2" t="s">
        <v>66</v>
      </c>
      <c r="F54" s="3" t="s">
        <v>67</v>
      </c>
      <c r="G54" s="15" t="s">
        <v>238</v>
      </c>
      <c r="H54" s="4">
        <v>0.5</v>
      </c>
      <c r="I54" s="2" t="s">
        <v>281</v>
      </c>
      <c r="J54" s="1" t="s">
        <v>44</v>
      </c>
      <c r="K54" s="7" t="s">
        <v>45</v>
      </c>
      <c r="L54" s="7" t="s">
        <v>46</v>
      </c>
      <c r="M54" s="8" t="s">
        <v>51</v>
      </c>
      <c r="N54" s="50">
        <v>0</v>
      </c>
      <c r="O54" s="9">
        <f t="shared" si="14"/>
        <v>3032</v>
      </c>
      <c r="P54" s="9">
        <f t="shared" si="14"/>
        <v>3032</v>
      </c>
      <c r="Q54" s="9">
        <f t="shared" si="14"/>
        <v>3032</v>
      </c>
      <c r="R54" s="9">
        <f t="shared" si="14"/>
        <v>3032</v>
      </c>
      <c r="S54" s="9">
        <v>0</v>
      </c>
      <c r="T54" s="9">
        <v>0</v>
      </c>
      <c r="U54" s="10">
        <v>117.5</v>
      </c>
      <c r="V54" s="9">
        <v>0</v>
      </c>
      <c r="W54" s="9">
        <f t="shared" ref="W54" si="16">V54*1.12</f>
        <v>0</v>
      </c>
      <c r="X54" s="7" t="s">
        <v>48</v>
      </c>
      <c r="Y54" s="51" t="s">
        <v>32</v>
      </c>
      <c r="Z54" s="15" t="s">
        <v>209</v>
      </c>
      <c r="AB54" s="93"/>
    </row>
    <row r="55" spans="1:28" s="52" customFormat="1" ht="89.25" outlineLevel="1" x14ac:dyDescent="0.3">
      <c r="A55" s="15" t="s">
        <v>68</v>
      </c>
      <c r="B55" s="14" t="s">
        <v>25</v>
      </c>
      <c r="C55" s="3" t="s">
        <v>69</v>
      </c>
      <c r="D55" s="3" t="s">
        <v>70</v>
      </c>
      <c r="E55" s="3" t="s">
        <v>71</v>
      </c>
      <c r="F55" s="3" t="s">
        <v>72</v>
      </c>
      <c r="G55" s="15" t="s">
        <v>42</v>
      </c>
      <c r="H55" s="4">
        <v>0.5</v>
      </c>
      <c r="I55" s="2" t="s">
        <v>43</v>
      </c>
      <c r="J55" s="1" t="s">
        <v>44</v>
      </c>
      <c r="K55" s="7" t="s">
        <v>45</v>
      </c>
      <c r="L55" s="7" t="s">
        <v>46</v>
      </c>
      <c r="M55" s="8" t="s">
        <v>73</v>
      </c>
      <c r="N55" s="50">
        <v>0</v>
      </c>
      <c r="O55" s="9">
        <f t="shared" ref="O55:R57" si="17">4368+470+10+19+40+336-504</f>
        <v>4739</v>
      </c>
      <c r="P55" s="9">
        <f t="shared" si="17"/>
        <v>4739</v>
      </c>
      <c r="Q55" s="9">
        <f t="shared" si="17"/>
        <v>4739</v>
      </c>
      <c r="R55" s="9">
        <f t="shared" si="17"/>
        <v>4739</v>
      </c>
      <c r="S55" s="9">
        <v>0</v>
      </c>
      <c r="T55" s="9">
        <v>0</v>
      </c>
      <c r="U55" s="10">
        <v>73.209999999999994</v>
      </c>
      <c r="V55" s="9">
        <v>0</v>
      </c>
      <c r="W55" s="9">
        <f t="shared" si="2"/>
        <v>0</v>
      </c>
      <c r="X55" s="7" t="s">
        <v>48</v>
      </c>
      <c r="Y55" s="51" t="s">
        <v>32</v>
      </c>
      <c r="Z55" s="15" t="s">
        <v>187</v>
      </c>
      <c r="AB55" s="93"/>
    </row>
    <row r="56" spans="1:28" s="52" customFormat="1" ht="89.25" outlineLevel="1" x14ac:dyDescent="0.3">
      <c r="A56" s="15" t="s">
        <v>192</v>
      </c>
      <c r="B56" s="14" t="s">
        <v>25</v>
      </c>
      <c r="C56" s="3" t="s">
        <v>69</v>
      </c>
      <c r="D56" s="3" t="s">
        <v>70</v>
      </c>
      <c r="E56" s="3" t="s">
        <v>71</v>
      </c>
      <c r="F56" s="3" t="s">
        <v>72</v>
      </c>
      <c r="G56" s="15" t="s">
        <v>42</v>
      </c>
      <c r="H56" s="4">
        <v>0.5</v>
      </c>
      <c r="I56" s="2" t="s">
        <v>185</v>
      </c>
      <c r="J56" s="1" t="s">
        <v>44</v>
      </c>
      <c r="K56" s="7" t="s">
        <v>45</v>
      </c>
      <c r="L56" s="7" t="s">
        <v>46</v>
      </c>
      <c r="M56" s="8" t="s">
        <v>73</v>
      </c>
      <c r="N56" s="50">
        <v>0</v>
      </c>
      <c r="O56" s="9">
        <f t="shared" si="17"/>
        <v>4739</v>
      </c>
      <c r="P56" s="9">
        <f t="shared" si="17"/>
        <v>4739</v>
      </c>
      <c r="Q56" s="9">
        <f t="shared" si="17"/>
        <v>4739</v>
      </c>
      <c r="R56" s="9">
        <f t="shared" si="17"/>
        <v>4739</v>
      </c>
      <c r="S56" s="9">
        <v>0</v>
      </c>
      <c r="T56" s="9">
        <v>0</v>
      </c>
      <c r="U56" s="10">
        <v>44.42</v>
      </c>
      <c r="V56" s="9">
        <v>0</v>
      </c>
      <c r="W56" s="9">
        <f t="shared" ref="W56:W58" si="18">V56*1.12</f>
        <v>0</v>
      </c>
      <c r="X56" s="7" t="s">
        <v>48</v>
      </c>
      <c r="Y56" s="51" t="s">
        <v>32</v>
      </c>
      <c r="Z56" s="15" t="s">
        <v>239</v>
      </c>
      <c r="AB56" s="93"/>
    </row>
    <row r="57" spans="1:28" s="52" customFormat="1" ht="89.25" outlineLevel="1" x14ac:dyDescent="0.3">
      <c r="A57" s="15" t="s">
        <v>243</v>
      </c>
      <c r="B57" s="14" t="s">
        <v>25</v>
      </c>
      <c r="C57" s="3" t="s">
        <v>69</v>
      </c>
      <c r="D57" s="3" t="s">
        <v>70</v>
      </c>
      <c r="E57" s="3" t="s">
        <v>71</v>
      </c>
      <c r="F57" s="3" t="s">
        <v>72</v>
      </c>
      <c r="G57" s="15" t="s">
        <v>238</v>
      </c>
      <c r="H57" s="4">
        <v>0.5</v>
      </c>
      <c r="I57" s="2" t="s">
        <v>281</v>
      </c>
      <c r="J57" s="1" t="s">
        <v>44</v>
      </c>
      <c r="K57" s="7" t="s">
        <v>45</v>
      </c>
      <c r="L57" s="7" t="s">
        <v>46</v>
      </c>
      <c r="M57" s="8" t="s">
        <v>73</v>
      </c>
      <c r="N57" s="50">
        <v>0</v>
      </c>
      <c r="O57" s="9">
        <f>4368+470+10+19+40+336-504-2369</f>
        <v>2370</v>
      </c>
      <c r="P57" s="9">
        <f t="shared" si="17"/>
        <v>4739</v>
      </c>
      <c r="Q57" s="9">
        <f t="shared" si="17"/>
        <v>4739</v>
      </c>
      <c r="R57" s="9">
        <f t="shared" si="17"/>
        <v>4739</v>
      </c>
      <c r="S57" s="9">
        <v>0</v>
      </c>
      <c r="T57" s="9">
        <v>0</v>
      </c>
      <c r="U57" s="10">
        <v>44.42</v>
      </c>
      <c r="V57" s="9">
        <v>0</v>
      </c>
      <c r="W57" s="9">
        <f t="shared" ref="W57" si="19">V57*1.12</f>
        <v>0</v>
      </c>
      <c r="X57" s="7" t="s">
        <v>48</v>
      </c>
      <c r="Y57" s="51" t="s">
        <v>32</v>
      </c>
      <c r="Z57" s="15" t="s">
        <v>209</v>
      </c>
      <c r="AB57" s="93"/>
    </row>
    <row r="58" spans="1:28" s="52" customFormat="1" ht="216.75" outlineLevel="1" x14ac:dyDescent="0.3">
      <c r="A58" s="15" t="s">
        <v>74</v>
      </c>
      <c r="B58" s="14" t="s">
        <v>25</v>
      </c>
      <c r="C58" s="1" t="s">
        <v>75</v>
      </c>
      <c r="D58" s="1" t="s">
        <v>76</v>
      </c>
      <c r="E58" s="2" t="s">
        <v>77</v>
      </c>
      <c r="F58" s="3" t="s">
        <v>78</v>
      </c>
      <c r="G58" s="15" t="s">
        <v>42</v>
      </c>
      <c r="H58" s="4">
        <v>0.5</v>
      </c>
      <c r="I58" s="2" t="s">
        <v>43</v>
      </c>
      <c r="J58" s="1" t="s">
        <v>44</v>
      </c>
      <c r="K58" s="7" t="s">
        <v>45</v>
      </c>
      <c r="L58" s="7" t="s">
        <v>46</v>
      </c>
      <c r="M58" s="8" t="s">
        <v>73</v>
      </c>
      <c r="N58" s="50">
        <v>0</v>
      </c>
      <c r="O58" s="9">
        <f t="shared" ref="O58:R60" si="20">880+420+4+72+288</f>
        <v>1664</v>
      </c>
      <c r="P58" s="9">
        <f t="shared" si="20"/>
        <v>1664</v>
      </c>
      <c r="Q58" s="9">
        <f t="shared" si="20"/>
        <v>1664</v>
      </c>
      <c r="R58" s="9">
        <f t="shared" si="20"/>
        <v>1664</v>
      </c>
      <c r="S58" s="9">
        <v>0</v>
      </c>
      <c r="T58" s="9">
        <v>0</v>
      </c>
      <c r="U58" s="10">
        <v>397</v>
      </c>
      <c r="V58" s="9">
        <v>0</v>
      </c>
      <c r="W58" s="9">
        <f t="shared" si="18"/>
        <v>0</v>
      </c>
      <c r="X58" s="7" t="s">
        <v>48</v>
      </c>
      <c r="Y58" s="51" t="s">
        <v>32</v>
      </c>
      <c r="Z58" s="15" t="s">
        <v>187</v>
      </c>
      <c r="AB58" s="93"/>
    </row>
    <row r="59" spans="1:28" s="52" customFormat="1" ht="216.75" outlineLevel="1" x14ac:dyDescent="0.3">
      <c r="A59" s="15" t="s">
        <v>193</v>
      </c>
      <c r="B59" s="14" t="s">
        <v>25</v>
      </c>
      <c r="C59" s="1" t="s">
        <v>75</v>
      </c>
      <c r="D59" s="1" t="s">
        <v>76</v>
      </c>
      <c r="E59" s="2" t="s">
        <v>77</v>
      </c>
      <c r="F59" s="3" t="s">
        <v>78</v>
      </c>
      <c r="G59" s="15" t="s">
        <v>42</v>
      </c>
      <c r="H59" s="4">
        <v>0.5</v>
      </c>
      <c r="I59" s="2" t="s">
        <v>185</v>
      </c>
      <c r="J59" s="1" t="s">
        <v>44</v>
      </c>
      <c r="K59" s="7" t="s">
        <v>45</v>
      </c>
      <c r="L59" s="7" t="s">
        <v>46</v>
      </c>
      <c r="M59" s="8" t="s">
        <v>73</v>
      </c>
      <c r="N59" s="50">
        <v>0</v>
      </c>
      <c r="O59" s="9">
        <f t="shared" si="20"/>
        <v>1664</v>
      </c>
      <c r="P59" s="9">
        <f t="shared" si="20"/>
        <v>1664</v>
      </c>
      <c r="Q59" s="9">
        <f t="shared" si="20"/>
        <v>1664</v>
      </c>
      <c r="R59" s="9">
        <f t="shared" si="20"/>
        <v>1664</v>
      </c>
      <c r="S59" s="9">
        <v>0</v>
      </c>
      <c r="T59" s="9">
        <v>0</v>
      </c>
      <c r="U59" s="10">
        <v>253.5</v>
      </c>
      <c r="V59" s="9">
        <v>0</v>
      </c>
      <c r="W59" s="9">
        <f t="shared" si="2"/>
        <v>0</v>
      </c>
      <c r="X59" s="7" t="s">
        <v>48</v>
      </c>
      <c r="Y59" s="51" t="s">
        <v>32</v>
      </c>
      <c r="Z59" s="15" t="s">
        <v>239</v>
      </c>
      <c r="AB59" s="93"/>
    </row>
    <row r="60" spans="1:28" s="52" customFormat="1" ht="216.75" outlineLevel="1" x14ac:dyDescent="0.3">
      <c r="A60" s="15" t="s">
        <v>244</v>
      </c>
      <c r="B60" s="14" t="s">
        <v>25</v>
      </c>
      <c r="C60" s="1" t="s">
        <v>75</v>
      </c>
      <c r="D60" s="1" t="s">
        <v>76</v>
      </c>
      <c r="E60" s="2" t="s">
        <v>77</v>
      </c>
      <c r="F60" s="3" t="s">
        <v>78</v>
      </c>
      <c r="G60" s="15" t="s">
        <v>238</v>
      </c>
      <c r="H60" s="4">
        <v>0.5</v>
      </c>
      <c r="I60" s="2" t="s">
        <v>281</v>
      </c>
      <c r="J60" s="1" t="s">
        <v>44</v>
      </c>
      <c r="K60" s="7" t="s">
        <v>45</v>
      </c>
      <c r="L60" s="7" t="s">
        <v>46</v>
      </c>
      <c r="M60" s="8" t="s">
        <v>73</v>
      </c>
      <c r="N60" s="50">
        <v>0</v>
      </c>
      <c r="O60" s="9">
        <f>880+420+4+72+288-832</f>
        <v>832</v>
      </c>
      <c r="P60" s="9">
        <f t="shared" si="20"/>
        <v>1664</v>
      </c>
      <c r="Q60" s="9">
        <f t="shared" si="20"/>
        <v>1664</v>
      </c>
      <c r="R60" s="9">
        <f t="shared" si="20"/>
        <v>1664</v>
      </c>
      <c r="S60" s="9">
        <v>0</v>
      </c>
      <c r="T60" s="9">
        <v>0</v>
      </c>
      <c r="U60" s="10">
        <v>253.5</v>
      </c>
      <c r="V60" s="9">
        <v>0</v>
      </c>
      <c r="W60" s="9">
        <f t="shared" ref="W60" si="21">V60*1.12</f>
        <v>0</v>
      </c>
      <c r="X60" s="7" t="s">
        <v>48</v>
      </c>
      <c r="Y60" s="51" t="s">
        <v>32</v>
      </c>
      <c r="Z60" s="15" t="s">
        <v>209</v>
      </c>
      <c r="AB60" s="93"/>
    </row>
    <row r="61" spans="1:28" s="52" customFormat="1" ht="114.75" outlineLevel="1" x14ac:dyDescent="0.3">
      <c r="A61" s="15" t="s">
        <v>79</v>
      </c>
      <c r="B61" s="14" t="s">
        <v>25</v>
      </c>
      <c r="C61" s="1" t="s">
        <v>80</v>
      </c>
      <c r="D61" s="1" t="s">
        <v>76</v>
      </c>
      <c r="E61" s="2" t="s">
        <v>77</v>
      </c>
      <c r="F61" s="3" t="s">
        <v>81</v>
      </c>
      <c r="G61" s="15" t="s">
        <v>42</v>
      </c>
      <c r="H61" s="4">
        <v>0.5</v>
      </c>
      <c r="I61" s="2" t="s">
        <v>43</v>
      </c>
      <c r="J61" s="1" t="s">
        <v>44</v>
      </c>
      <c r="K61" s="7" t="s">
        <v>45</v>
      </c>
      <c r="L61" s="7" t="s">
        <v>46</v>
      </c>
      <c r="M61" s="8" t="s">
        <v>47</v>
      </c>
      <c r="N61" s="50">
        <v>0</v>
      </c>
      <c r="O61" s="9">
        <f t="shared" ref="O61:R63" si="22">3025+960+198+12+332+71</f>
        <v>4598</v>
      </c>
      <c r="P61" s="9">
        <f t="shared" si="22"/>
        <v>4598</v>
      </c>
      <c r="Q61" s="9">
        <f t="shared" si="22"/>
        <v>4598</v>
      </c>
      <c r="R61" s="9">
        <f t="shared" si="22"/>
        <v>4598</v>
      </c>
      <c r="S61" s="9">
        <v>0</v>
      </c>
      <c r="T61" s="9">
        <v>0</v>
      </c>
      <c r="U61" s="10">
        <v>305</v>
      </c>
      <c r="V61" s="9">
        <v>0</v>
      </c>
      <c r="W61" s="9">
        <f t="shared" si="2"/>
        <v>0</v>
      </c>
      <c r="X61" s="7" t="s">
        <v>48</v>
      </c>
      <c r="Y61" s="51" t="s">
        <v>32</v>
      </c>
      <c r="Z61" s="15" t="s">
        <v>187</v>
      </c>
      <c r="AB61" s="93"/>
    </row>
    <row r="62" spans="1:28" s="52" customFormat="1" ht="114.75" outlineLevel="1" x14ac:dyDescent="0.3">
      <c r="A62" s="15" t="s">
        <v>194</v>
      </c>
      <c r="B62" s="14" t="s">
        <v>25</v>
      </c>
      <c r="C62" s="1" t="s">
        <v>80</v>
      </c>
      <c r="D62" s="1" t="s">
        <v>76</v>
      </c>
      <c r="E62" s="2" t="s">
        <v>77</v>
      </c>
      <c r="F62" s="3" t="s">
        <v>81</v>
      </c>
      <c r="G62" s="15" t="s">
        <v>42</v>
      </c>
      <c r="H62" s="4">
        <v>0.5</v>
      </c>
      <c r="I62" s="2" t="s">
        <v>185</v>
      </c>
      <c r="J62" s="1" t="s">
        <v>44</v>
      </c>
      <c r="K62" s="7" t="s">
        <v>45</v>
      </c>
      <c r="L62" s="7" t="s">
        <v>46</v>
      </c>
      <c r="M62" s="8" t="s">
        <v>47</v>
      </c>
      <c r="N62" s="50">
        <v>0</v>
      </c>
      <c r="O62" s="9">
        <f t="shared" si="22"/>
        <v>4598</v>
      </c>
      <c r="P62" s="9">
        <f t="shared" si="22"/>
        <v>4598</v>
      </c>
      <c r="Q62" s="9">
        <f t="shared" si="22"/>
        <v>4598</v>
      </c>
      <c r="R62" s="9">
        <f t="shared" si="22"/>
        <v>4598</v>
      </c>
      <c r="S62" s="9">
        <v>0</v>
      </c>
      <c r="T62" s="9">
        <v>0</v>
      </c>
      <c r="U62" s="10">
        <v>201</v>
      </c>
      <c r="V62" s="9">
        <v>0</v>
      </c>
      <c r="W62" s="9">
        <f t="shared" ref="W62" si="23">V62*1.12</f>
        <v>0</v>
      </c>
      <c r="X62" s="7" t="s">
        <v>48</v>
      </c>
      <c r="Y62" s="51" t="s">
        <v>32</v>
      </c>
      <c r="Z62" s="15" t="s">
        <v>239</v>
      </c>
      <c r="AB62" s="93"/>
    </row>
    <row r="63" spans="1:28" s="52" customFormat="1" ht="114.75" outlineLevel="1" x14ac:dyDescent="0.3">
      <c r="A63" s="15" t="s">
        <v>245</v>
      </c>
      <c r="B63" s="14" t="s">
        <v>25</v>
      </c>
      <c r="C63" s="1" t="s">
        <v>80</v>
      </c>
      <c r="D63" s="1" t="s">
        <v>76</v>
      </c>
      <c r="E63" s="2" t="s">
        <v>77</v>
      </c>
      <c r="F63" s="3" t="s">
        <v>81</v>
      </c>
      <c r="G63" s="15" t="s">
        <v>238</v>
      </c>
      <c r="H63" s="4">
        <v>0.5</v>
      </c>
      <c r="I63" s="2" t="s">
        <v>281</v>
      </c>
      <c r="J63" s="1" t="s">
        <v>44</v>
      </c>
      <c r="K63" s="7" t="s">
        <v>45</v>
      </c>
      <c r="L63" s="7" t="s">
        <v>46</v>
      </c>
      <c r="M63" s="8" t="s">
        <v>47</v>
      </c>
      <c r="N63" s="50">
        <v>0</v>
      </c>
      <c r="O63" s="9">
        <f>3025+960+198+12+332+71-2299</f>
        <v>2299</v>
      </c>
      <c r="P63" s="9">
        <f t="shared" si="22"/>
        <v>4598</v>
      </c>
      <c r="Q63" s="9">
        <f t="shared" si="22"/>
        <v>4598</v>
      </c>
      <c r="R63" s="9">
        <f t="shared" si="22"/>
        <v>4598</v>
      </c>
      <c r="S63" s="9">
        <v>0</v>
      </c>
      <c r="T63" s="9">
        <v>0</v>
      </c>
      <c r="U63" s="10">
        <v>201</v>
      </c>
      <c r="V63" s="9">
        <v>0</v>
      </c>
      <c r="W63" s="9">
        <f t="shared" ref="W63" si="24">V63*1.12</f>
        <v>0</v>
      </c>
      <c r="X63" s="7" t="s">
        <v>48</v>
      </c>
      <c r="Y63" s="51" t="s">
        <v>32</v>
      </c>
      <c r="Z63" s="15" t="s">
        <v>209</v>
      </c>
      <c r="AB63" s="93"/>
    </row>
    <row r="64" spans="1:28" s="52" customFormat="1" ht="127.5" outlineLevel="1" x14ac:dyDescent="0.3">
      <c r="A64" s="15" t="s">
        <v>82</v>
      </c>
      <c r="B64" s="14" t="s">
        <v>25</v>
      </c>
      <c r="C64" s="1" t="s">
        <v>83</v>
      </c>
      <c r="D64" s="1" t="s">
        <v>84</v>
      </c>
      <c r="E64" s="2" t="s">
        <v>85</v>
      </c>
      <c r="F64" s="3" t="s">
        <v>86</v>
      </c>
      <c r="G64" s="15" t="s">
        <v>42</v>
      </c>
      <c r="H64" s="4">
        <v>0.5</v>
      </c>
      <c r="I64" s="2" t="s">
        <v>43</v>
      </c>
      <c r="J64" s="1" t="s">
        <v>44</v>
      </c>
      <c r="K64" s="7" t="s">
        <v>45</v>
      </c>
      <c r="L64" s="7" t="s">
        <v>46</v>
      </c>
      <c r="M64" s="8" t="s">
        <v>73</v>
      </c>
      <c r="N64" s="50">
        <v>0</v>
      </c>
      <c r="O64" s="9">
        <f t="shared" ref="O64:R66" si="25">5+288+20</f>
        <v>313</v>
      </c>
      <c r="P64" s="9">
        <f t="shared" si="25"/>
        <v>313</v>
      </c>
      <c r="Q64" s="9">
        <f t="shared" si="25"/>
        <v>313</v>
      </c>
      <c r="R64" s="9">
        <f t="shared" si="25"/>
        <v>313</v>
      </c>
      <c r="S64" s="9">
        <v>0</v>
      </c>
      <c r="T64" s="9">
        <v>0</v>
      </c>
      <c r="U64" s="10">
        <v>616.07000000000005</v>
      </c>
      <c r="V64" s="9">
        <v>0</v>
      </c>
      <c r="W64" s="9">
        <f t="shared" si="2"/>
        <v>0</v>
      </c>
      <c r="X64" s="7" t="s">
        <v>48</v>
      </c>
      <c r="Y64" s="51" t="s">
        <v>32</v>
      </c>
      <c r="Z64" s="15" t="s">
        <v>187</v>
      </c>
      <c r="AB64" s="93"/>
    </row>
    <row r="65" spans="1:28" s="52" customFormat="1" ht="127.5" outlineLevel="1" x14ac:dyDescent="0.3">
      <c r="A65" s="15" t="s">
        <v>195</v>
      </c>
      <c r="B65" s="14" t="s">
        <v>25</v>
      </c>
      <c r="C65" s="1" t="s">
        <v>83</v>
      </c>
      <c r="D65" s="1" t="s">
        <v>84</v>
      </c>
      <c r="E65" s="2" t="s">
        <v>85</v>
      </c>
      <c r="F65" s="3" t="s">
        <v>86</v>
      </c>
      <c r="G65" s="15" t="s">
        <v>42</v>
      </c>
      <c r="H65" s="4">
        <v>0.5</v>
      </c>
      <c r="I65" s="2" t="s">
        <v>185</v>
      </c>
      <c r="J65" s="1" t="s">
        <v>44</v>
      </c>
      <c r="K65" s="7" t="s">
        <v>45</v>
      </c>
      <c r="L65" s="7" t="s">
        <v>46</v>
      </c>
      <c r="M65" s="8" t="s">
        <v>73</v>
      </c>
      <c r="N65" s="50">
        <v>0</v>
      </c>
      <c r="O65" s="9">
        <f t="shared" si="25"/>
        <v>313</v>
      </c>
      <c r="P65" s="9">
        <f t="shared" si="25"/>
        <v>313</v>
      </c>
      <c r="Q65" s="9">
        <f t="shared" si="25"/>
        <v>313</v>
      </c>
      <c r="R65" s="9">
        <f t="shared" si="25"/>
        <v>313</v>
      </c>
      <c r="S65" s="9">
        <v>0</v>
      </c>
      <c r="T65" s="9">
        <v>0</v>
      </c>
      <c r="U65" s="10">
        <v>349</v>
      </c>
      <c r="V65" s="9">
        <v>0</v>
      </c>
      <c r="W65" s="9">
        <f t="shared" ref="W65" si="26">V65*1.12</f>
        <v>0</v>
      </c>
      <c r="X65" s="7" t="s">
        <v>48</v>
      </c>
      <c r="Y65" s="51" t="s">
        <v>32</v>
      </c>
      <c r="Z65" s="15">
        <v>7.9</v>
      </c>
      <c r="AB65" s="93"/>
    </row>
    <row r="66" spans="1:28" s="52" customFormat="1" ht="127.5" outlineLevel="1" x14ac:dyDescent="0.3">
      <c r="A66" s="15" t="s">
        <v>246</v>
      </c>
      <c r="B66" s="14" t="s">
        <v>25</v>
      </c>
      <c r="C66" s="1" t="s">
        <v>83</v>
      </c>
      <c r="D66" s="1" t="s">
        <v>84</v>
      </c>
      <c r="E66" s="2" t="s">
        <v>85</v>
      </c>
      <c r="F66" s="3" t="s">
        <v>86</v>
      </c>
      <c r="G66" s="15" t="s">
        <v>238</v>
      </c>
      <c r="H66" s="4">
        <v>0.5</v>
      </c>
      <c r="I66" s="2" t="s">
        <v>281</v>
      </c>
      <c r="J66" s="1" t="s">
        <v>44</v>
      </c>
      <c r="K66" s="7" t="s">
        <v>45</v>
      </c>
      <c r="L66" s="7" t="s">
        <v>46</v>
      </c>
      <c r="M66" s="8" t="s">
        <v>73</v>
      </c>
      <c r="N66" s="50">
        <v>0</v>
      </c>
      <c r="O66" s="9">
        <f t="shared" si="25"/>
        <v>313</v>
      </c>
      <c r="P66" s="9">
        <f t="shared" si="25"/>
        <v>313</v>
      </c>
      <c r="Q66" s="9">
        <f t="shared" si="25"/>
        <v>313</v>
      </c>
      <c r="R66" s="9">
        <f t="shared" si="25"/>
        <v>313</v>
      </c>
      <c r="S66" s="9">
        <v>0</v>
      </c>
      <c r="T66" s="9">
        <v>0</v>
      </c>
      <c r="U66" s="10">
        <v>349</v>
      </c>
      <c r="V66" s="9">
        <v>0</v>
      </c>
      <c r="W66" s="9">
        <f t="shared" ref="W66" si="27">V66*1.12</f>
        <v>0</v>
      </c>
      <c r="X66" s="7" t="s">
        <v>48</v>
      </c>
      <c r="Y66" s="51" t="s">
        <v>32</v>
      </c>
      <c r="Z66" s="15" t="s">
        <v>209</v>
      </c>
      <c r="AB66" s="93"/>
    </row>
    <row r="67" spans="1:28" s="52" customFormat="1" ht="89.25" outlineLevel="1" x14ac:dyDescent="0.3">
      <c r="A67" s="15" t="s">
        <v>87</v>
      </c>
      <c r="B67" s="14" t="s">
        <v>25</v>
      </c>
      <c r="C67" s="1" t="s">
        <v>88</v>
      </c>
      <c r="D67" s="1" t="s">
        <v>89</v>
      </c>
      <c r="E67" s="2" t="s">
        <v>90</v>
      </c>
      <c r="F67" s="3" t="s">
        <v>91</v>
      </c>
      <c r="G67" s="15" t="s">
        <v>42</v>
      </c>
      <c r="H67" s="4">
        <v>0.5</v>
      </c>
      <c r="I67" s="2" t="s">
        <v>43</v>
      </c>
      <c r="J67" s="1" t="s">
        <v>44</v>
      </c>
      <c r="K67" s="7" t="s">
        <v>45</v>
      </c>
      <c r="L67" s="7" t="s">
        <v>46</v>
      </c>
      <c r="M67" s="8" t="s">
        <v>73</v>
      </c>
      <c r="N67" s="50">
        <v>0</v>
      </c>
      <c r="O67" s="9">
        <f t="shared" ref="O67:R69" si="28">250+1220+7+48+24+600</f>
        <v>2149</v>
      </c>
      <c r="P67" s="9">
        <f t="shared" si="28"/>
        <v>2149</v>
      </c>
      <c r="Q67" s="9">
        <f t="shared" si="28"/>
        <v>2149</v>
      </c>
      <c r="R67" s="9">
        <f t="shared" si="28"/>
        <v>2149</v>
      </c>
      <c r="S67" s="9">
        <v>0</v>
      </c>
      <c r="T67" s="9">
        <v>0</v>
      </c>
      <c r="U67" s="10">
        <v>361.61</v>
      </c>
      <c r="V67" s="9">
        <v>0</v>
      </c>
      <c r="W67" s="9">
        <f t="shared" si="2"/>
        <v>0</v>
      </c>
      <c r="X67" s="7" t="s">
        <v>48</v>
      </c>
      <c r="Y67" s="51" t="s">
        <v>32</v>
      </c>
      <c r="Z67" s="15" t="s">
        <v>187</v>
      </c>
      <c r="AB67" s="93"/>
    </row>
    <row r="68" spans="1:28" s="52" customFormat="1" ht="89.25" outlineLevel="1" x14ac:dyDescent="0.3">
      <c r="A68" s="15" t="s">
        <v>196</v>
      </c>
      <c r="B68" s="14" t="s">
        <v>25</v>
      </c>
      <c r="C68" s="1" t="s">
        <v>88</v>
      </c>
      <c r="D68" s="1" t="s">
        <v>89</v>
      </c>
      <c r="E68" s="2" t="s">
        <v>90</v>
      </c>
      <c r="F68" s="3" t="s">
        <v>91</v>
      </c>
      <c r="G68" s="15" t="s">
        <v>42</v>
      </c>
      <c r="H68" s="4">
        <v>0.5</v>
      </c>
      <c r="I68" s="2" t="s">
        <v>185</v>
      </c>
      <c r="J68" s="1" t="s">
        <v>44</v>
      </c>
      <c r="K68" s="7" t="s">
        <v>45</v>
      </c>
      <c r="L68" s="7" t="s">
        <v>46</v>
      </c>
      <c r="M68" s="8" t="s">
        <v>73</v>
      </c>
      <c r="N68" s="50">
        <v>0</v>
      </c>
      <c r="O68" s="9">
        <f t="shared" si="28"/>
        <v>2149</v>
      </c>
      <c r="P68" s="9">
        <f t="shared" si="28"/>
        <v>2149</v>
      </c>
      <c r="Q68" s="9">
        <f t="shared" si="28"/>
        <v>2149</v>
      </c>
      <c r="R68" s="9">
        <f t="shared" si="28"/>
        <v>2149</v>
      </c>
      <c r="S68" s="9">
        <v>0</v>
      </c>
      <c r="T68" s="9">
        <v>0</v>
      </c>
      <c r="U68" s="10">
        <v>208.93</v>
      </c>
      <c r="V68" s="9">
        <v>0</v>
      </c>
      <c r="W68" s="9">
        <f t="shared" ref="W68" si="29">V68*1.12</f>
        <v>0</v>
      </c>
      <c r="X68" s="7" t="s">
        <v>48</v>
      </c>
      <c r="Y68" s="51" t="s">
        <v>32</v>
      </c>
      <c r="Z68" s="15">
        <v>7.9</v>
      </c>
      <c r="AB68" s="93"/>
    </row>
    <row r="69" spans="1:28" s="52" customFormat="1" ht="89.25" outlineLevel="1" x14ac:dyDescent="0.3">
      <c r="A69" s="15" t="s">
        <v>247</v>
      </c>
      <c r="B69" s="14" t="s">
        <v>25</v>
      </c>
      <c r="C69" s="1" t="s">
        <v>88</v>
      </c>
      <c r="D69" s="1" t="s">
        <v>89</v>
      </c>
      <c r="E69" s="2" t="s">
        <v>90</v>
      </c>
      <c r="F69" s="3" t="s">
        <v>91</v>
      </c>
      <c r="G69" s="15" t="s">
        <v>238</v>
      </c>
      <c r="H69" s="4">
        <v>0.5</v>
      </c>
      <c r="I69" s="2" t="s">
        <v>281</v>
      </c>
      <c r="J69" s="1" t="s">
        <v>44</v>
      </c>
      <c r="K69" s="7" t="s">
        <v>45</v>
      </c>
      <c r="L69" s="7" t="s">
        <v>46</v>
      </c>
      <c r="M69" s="8" t="s">
        <v>73</v>
      </c>
      <c r="N69" s="50">
        <v>0</v>
      </c>
      <c r="O69" s="9">
        <f t="shared" si="28"/>
        <v>2149</v>
      </c>
      <c r="P69" s="9">
        <f t="shared" si="28"/>
        <v>2149</v>
      </c>
      <c r="Q69" s="9">
        <f t="shared" si="28"/>
        <v>2149</v>
      </c>
      <c r="R69" s="9">
        <f t="shared" si="28"/>
        <v>2149</v>
      </c>
      <c r="S69" s="9">
        <v>0</v>
      </c>
      <c r="T69" s="9">
        <v>0</v>
      </c>
      <c r="U69" s="10">
        <v>208.93</v>
      </c>
      <c r="V69" s="9">
        <v>0</v>
      </c>
      <c r="W69" s="9">
        <f t="shared" ref="W69" si="30">V69*1.12</f>
        <v>0</v>
      </c>
      <c r="X69" s="7" t="s">
        <v>48</v>
      </c>
      <c r="Y69" s="51" t="s">
        <v>32</v>
      </c>
      <c r="Z69" s="15" t="s">
        <v>209</v>
      </c>
      <c r="AB69" s="93"/>
    </row>
    <row r="70" spans="1:28" s="52" customFormat="1" ht="89.25" outlineLevel="1" x14ac:dyDescent="0.3">
      <c r="A70" s="15" t="s">
        <v>92</v>
      </c>
      <c r="B70" s="14" t="s">
        <v>25</v>
      </c>
      <c r="C70" s="1" t="s">
        <v>88</v>
      </c>
      <c r="D70" s="1" t="s">
        <v>89</v>
      </c>
      <c r="E70" s="2" t="s">
        <v>90</v>
      </c>
      <c r="F70" s="3" t="s">
        <v>93</v>
      </c>
      <c r="G70" s="15" t="s">
        <v>42</v>
      </c>
      <c r="H70" s="4">
        <v>0.5</v>
      </c>
      <c r="I70" s="2" t="s">
        <v>43</v>
      </c>
      <c r="J70" s="1" t="s">
        <v>44</v>
      </c>
      <c r="K70" s="7" t="s">
        <v>45</v>
      </c>
      <c r="L70" s="7" t="s">
        <v>46</v>
      </c>
      <c r="M70" s="8" t="s">
        <v>73</v>
      </c>
      <c r="N70" s="50">
        <v>0</v>
      </c>
      <c r="O70" s="9">
        <f t="shared" ref="O70:R72" si="31">1056+118</f>
        <v>1174</v>
      </c>
      <c r="P70" s="9">
        <f t="shared" si="31"/>
        <v>1174</v>
      </c>
      <c r="Q70" s="9">
        <f t="shared" si="31"/>
        <v>1174</v>
      </c>
      <c r="R70" s="9">
        <f t="shared" si="31"/>
        <v>1174</v>
      </c>
      <c r="S70" s="9">
        <v>0</v>
      </c>
      <c r="T70" s="9">
        <v>0</v>
      </c>
      <c r="U70" s="10">
        <v>831.25</v>
      </c>
      <c r="V70" s="9">
        <v>0</v>
      </c>
      <c r="W70" s="9">
        <f t="shared" si="2"/>
        <v>0</v>
      </c>
      <c r="X70" s="7" t="s">
        <v>48</v>
      </c>
      <c r="Y70" s="51" t="s">
        <v>32</v>
      </c>
      <c r="Z70" s="15">
        <v>9</v>
      </c>
      <c r="AB70" s="93"/>
    </row>
    <row r="71" spans="1:28" s="52" customFormat="1" ht="89.25" outlineLevel="1" x14ac:dyDescent="0.3">
      <c r="A71" s="15" t="s">
        <v>197</v>
      </c>
      <c r="B71" s="14" t="s">
        <v>25</v>
      </c>
      <c r="C71" s="1" t="s">
        <v>88</v>
      </c>
      <c r="D71" s="1" t="s">
        <v>89</v>
      </c>
      <c r="E71" s="2" t="s">
        <v>90</v>
      </c>
      <c r="F71" s="3" t="s">
        <v>93</v>
      </c>
      <c r="G71" s="15" t="s">
        <v>42</v>
      </c>
      <c r="H71" s="4">
        <v>0.5</v>
      </c>
      <c r="I71" s="2" t="s">
        <v>185</v>
      </c>
      <c r="J71" s="1" t="s">
        <v>44</v>
      </c>
      <c r="K71" s="7" t="s">
        <v>45</v>
      </c>
      <c r="L71" s="7" t="s">
        <v>46</v>
      </c>
      <c r="M71" s="8" t="s">
        <v>73</v>
      </c>
      <c r="N71" s="50">
        <v>0</v>
      </c>
      <c r="O71" s="9">
        <f t="shared" si="31"/>
        <v>1174</v>
      </c>
      <c r="P71" s="9">
        <f t="shared" si="31"/>
        <v>1174</v>
      </c>
      <c r="Q71" s="9">
        <f t="shared" si="31"/>
        <v>1174</v>
      </c>
      <c r="R71" s="9">
        <f t="shared" si="31"/>
        <v>1174</v>
      </c>
      <c r="S71" s="9">
        <v>0</v>
      </c>
      <c r="T71" s="9">
        <v>0</v>
      </c>
      <c r="U71" s="10">
        <v>831.25</v>
      </c>
      <c r="V71" s="9">
        <v>0</v>
      </c>
      <c r="W71" s="9">
        <f t="shared" ref="W71" si="32">V71*1.12</f>
        <v>0</v>
      </c>
      <c r="X71" s="7" t="s">
        <v>48</v>
      </c>
      <c r="Y71" s="51" t="s">
        <v>32</v>
      </c>
      <c r="Z71" s="15">
        <v>7.9</v>
      </c>
      <c r="AB71" s="93"/>
    </row>
    <row r="72" spans="1:28" s="52" customFormat="1" ht="89.25" outlineLevel="1" x14ac:dyDescent="0.3">
      <c r="A72" s="15" t="s">
        <v>248</v>
      </c>
      <c r="B72" s="14" t="s">
        <v>25</v>
      </c>
      <c r="C72" s="1" t="s">
        <v>88</v>
      </c>
      <c r="D72" s="1" t="s">
        <v>89</v>
      </c>
      <c r="E72" s="2" t="s">
        <v>90</v>
      </c>
      <c r="F72" s="3" t="s">
        <v>93</v>
      </c>
      <c r="G72" s="15" t="s">
        <v>238</v>
      </c>
      <c r="H72" s="4">
        <v>0.5</v>
      </c>
      <c r="I72" s="2" t="s">
        <v>281</v>
      </c>
      <c r="J72" s="1" t="s">
        <v>44</v>
      </c>
      <c r="K72" s="7" t="s">
        <v>45</v>
      </c>
      <c r="L72" s="7" t="s">
        <v>46</v>
      </c>
      <c r="M72" s="8" t="s">
        <v>73</v>
      </c>
      <c r="N72" s="50">
        <v>0</v>
      </c>
      <c r="O72" s="9">
        <f t="shared" si="31"/>
        <v>1174</v>
      </c>
      <c r="P72" s="9">
        <f t="shared" si="31"/>
        <v>1174</v>
      </c>
      <c r="Q72" s="9">
        <f t="shared" si="31"/>
        <v>1174</v>
      </c>
      <c r="R72" s="9">
        <f t="shared" si="31"/>
        <v>1174</v>
      </c>
      <c r="S72" s="9">
        <v>0</v>
      </c>
      <c r="T72" s="9">
        <v>0</v>
      </c>
      <c r="U72" s="10">
        <v>831.25</v>
      </c>
      <c r="V72" s="9">
        <v>0</v>
      </c>
      <c r="W72" s="9">
        <f t="shared" ref="W72" si="33">V72*1.12</f>
        <v>0</v>
      </c>
      <c r="X72" s="7" t="s">
        <v>48</v>
      </c>
      <c r="Y72" s="51" t="s">
        <v>32</v>
      </c>
      <c r="Z72" s="15" t="s">
        <v>209</v>
      </c>
      <c r="AB72" s="93"/>
    </row>
    <row r="73" spans="1:28" s="52" customFormat="1" ht="165.75" outlineLevel="1" x14ac:dyDescent="0.3">
      <c r="A73" s="15" t="s">
        <v>94</v>
      </c>
      <c r="B73" s="14" t="s">
        <v>25</v>
      </c>
      <c r="C73" s="1" t="s">
        <v>95</v>
      </c>
      <c r="D73" s="1" t="s">
        <v>96</v>
      </c>
      <c r="E73" s="2" t="s">
        <v>97</v>
      </c>
      <c r="F73" s="3" t="s">
        <v>98</v>
      </c>
      <c r="G73" s="15" t="s">
        <v>42</v>
      </c>
      <c r="H73" s="4">
        <v>0.5</v>
      </c>
      <c r="I73" s="2" t="s">
        <v>43</v>
      </c>
      <c r="J73" s="1" t="s">
        <v>44</v>
      </c>
      <c r="K73" s="7" t="s">
        <v>45</v>
      </c>
      <c r="L73" s="7" t="s">
        <v>46</v>
      </c>
      <c r="M73" s="8" t="s">
        <v>51</v>
      </c>
      <c r="N73" s="50">
        <v>0</v>
      </c>
      <c r="O73" s="9">
        <f t="shared" ref="O73:R75" si="34">840+720+72+12</f>
        <v>1644</v>
      </c>
      <c r="P73" s="9">
        <f t="shared" si="34"/>
        <v>1644</v>
      </c>
      <c r="Q73" s="9">
        <f t="shared" si="34"/>
        <v>1644</v>
      </c>
      <c r="R73" s="9">
        <f t="shared" si="34"/>
        <v>1644</v>
      </c>
      <c r="S73" s="9">
        <v>0</v>
      </c>
      <c r="T73" s="9">
        <v>0</v>
      </c>
      <c r="U73" s="10">
        <v>341.96</v>
      </c>
      <c r="V73" s="9">
        <v>0</v>
      </c>
      <c r="W73" s="9">
        <f t="shared" si="2"/>
        <v>0</v>
      </c>
      <c r="X73" s="7" t="s">
        <v>48</v>
      </c>
      <c r="Y73" s="51" t="s">
        <v>32</v>
      </c>
      <c r="Z73" s="15" t="s">
        <v>187</v>
      </c>
      <c r="AB73" s="93"/>
    </row>
    <row r="74" spans="1:28" s="52" customFormat="1" ht="165.75" outlineLevel="1" x14ac:dyDescent="0.3">
      <c r="A74" s="15" t="s">
        <v>198</v>
      </c>
      <c r="B74" s="14" t="s">
        <v>25</v>
      </c>
      <c r="C74" s="1" t="s">
        <v>95</v>
      </c>
      <c r="D74" s="1" t="s">
        <v>96</v>
      </c>
      <c r="E74" s="2" t="s">
        <v>97</v>
      </c>
      <c r="F74" s="3" t="s">
        <v>98</v>
      </c>
      <c r="G74" s="15" t="s">
        <v>42</v>
      </c>
      <c r="H74" s="4">
        <v>0.5</v>
      </c>
      <c r="I74" s="2" t="s">
        <v>185</v>
      </c>
      <c r="J74" s="1" t="s">
        <v>44</v>
      </c>
      <c r="K74" s="7" t="s">
        <v>45</v>
      </c>
      <c r="L74" s="7" t="s">
        <v>46</v>
      </c>
      <c r="M74" s="8" t="s">
        <v>51</v>
      </c>
      <c r="N74" s="50">
        <v>0</v>
      </c>
      <c r="O74" s="9">
        <f t="shared" si="34"/>
        <v>1644</v>
      </c>
      <c r="P74" s="9">
        <f t="shared" si="34"/>
        <v>1644</v>
      </c>
      <c r="Q74" s="9">
        <f t="shared" si="34"/>
        <v>1644</v>
      </c>
      <c r="R74" s="9">
        <f t="shared" si="34"/>
        <v>1644</v>
      </c>
      <c r="S74" s="9">
        <v>0</v>
      </c>
      <c r="T74" s="9">
        <v>0</v>
      </c>
      <c r="U74" s="10">
        <v>241.73</v>
      </c>
      <c r="V74" s="9">
        <v>0</v>
      </c>
      <c r="W74" s="9">
        <f t="shared" ref="W74" si="35">V74*1.12</f>
        <v>0</v>
      </c>
      <c r="X74" s="7" t="s">
        <v>48</v>
      </c>
      <c r="Y74" s="51" t="s">
        <v>32</v>
      </c>
      <c r="Z74" s="15" t="s">
        <v>239</v>
      </c>
      <c r="AB74" s="93"/>
    </row>
    <row r="75" spans="1:28" s="52" customFormat="1" ht="165.75" outlineLevel="1" x14ac:dyDescent="0.3">
      <c r="A75" s="15" t="s">
        <v>271</v>
      </c>
      <c r="B75" s="14" t="s">
        <v>25</v>
      </c>
      <c r="C75" s="1" t="s">
        <v>95</v>
      </c>
      <c r="D75" s="1" t="s">
        <v>96</v>
      </c>
      <c r="E75" s="2" t="s">
        <v>97</v>
      </c>
      <c r="F75" s="3" t="s">
        <v>98</v>
      </c>
      <c r="G75" s="15" t="s">
        <v>238</v>
      </c>
      <c r="H75" s="4">
        <v>0.5</v>
      </c>
      <c r="I75" s="2" t="s">
        <v>281</v>
      </c>
      <c r="J75" s="1" t="s">
        <v>44</v>
      </c>
      <c r="K75" s="7" t="s">
        <v>45</v>
      </c>
      <c r="L75" s="7" t="s">
        <v>46</v>
      </c>
      <c r="M75" s="8" t="s">
        <v>51</v>
      </c>
      <c r="N75" s="50">
        <v>0</v>
      </c>
      <c r="O75" s="9">
        <f>840+720+72+12-822</f>
        <v>822</v>
      </c>
      <c r="P75" s="9">
        <f t="shared" si="34"/>
        <v>1644</v>
      </c>
      <c r="Q75" s="9">
        <f t="shared" si="34"/>
        <v>1644</v>
      </c>
      <c r="R75" s="9">
        <f t="shared" si="34"/>
        <v>1644</v>
      </c>
      <c r="S75" s="9">
        <v>0</v>
      </c>
      <c r="T75" s="9">
        <v>0</v>
      </c>
      <c r="U75" s="10">
        <v>241.73</v>
      </c>
      <c r="V75" s="9">
        <v>0</v>
      </c>
      <c r="W75" s="9">
        <f t="shared" ref="W75" si="36">V75*1.12</f>
        <v>0</v>
      </c>
      <c r="X75" s="7" t="s">
        <v>48</v>
      </c>
      <c r="Y75" s="51" t="s">
        <v>32</v>
      </c>
      <c r="Z75" s="15" t="s">
        <v>209</v>
      </c>
      <c r="AB75" s="93"/>
    </row>
    <row r="76" spans="1:28" s="52" customFormat="1" ht="89.25" outlineLevel="1" x14ac:dyDescent="0.3">
      <c r="A76" s="15" t="s">
        <v>99</v>
      </c>
      <c r="B76" s="14" t="s">
        <v>25</v>
      </c>
      <c r="C76" s="3" t="s">
        <v>100</v>
      </c>
      <c r="D76" s="3" t="s">
        <v>101</v>
      </c>
      <c r="E76" s="3" t="s">
        <v>102</v>
      </c>
      <c r="F76" s="3" t="s">
        <v>103</v>
      </c>
      <c r="G76" s="15" t="s">
        <v>42</v>
      </c>
      <c r="H76" s="4">
        <v>0.5</v>
      </c>
      <c r="I76" s="2" t="s">
        <v>43</v>
      </c>
      <c r="J76" s="1" t="s">
        <v>44</v>
      </c>
      <c r="K76" s="7" t="s">
        <v>45</v>
      </c>
      <c r="L76" s="7" t="s">
        <v>46</v>
      </c>
      <c r="M76" s="8" t="s">
        <v>104</v>
      </c>
      <c r="N76" s="50">
        <v>0</v>
      </c>
      <c r="O76" s="9">
        <f t="shared" ref="O76:R80" si="37">8976+85000+600+2772+1140+1320-4600</f>
        <v>95208</v>
      </c>
      <c r="P76" s="9">
        <f t="shared" si="37"/>
        <v>95208</v>
      </c>
      <c r="Q76" s="9">
        <f t="shared" si="37"/>
        <v>95208</v>
      </c>
      <c r="R76" s="9">
        <f t="shared" si="37"/>
        <v>95208</v>
      </c>
      <c r="S76" s="9">
        <v>0</v>
      </c>
      <c r="T76" s="9">
        <v>0</v>
      </c>
      <c r="U76" s="10">
        <v>62.5</v>
      </c>
      <c r="V76" s="9">
        <v>0</v>
      </c>
      <c r="W76" s="9">
        <f t="shared" si="2"/>
        <v>0</v>
      </c>
      <c r="X76" s="7" t="s">
        <v>48</v>
      </c>
      <c r="Y76" s="51" t="s">
        <v>32</v>
      </c>
      <c r="Z76" s="15">
        <v>9</v>
      </c>
      <c r="AB76" s="93"/>
    </row>
    <row r="77" spans="1:28" s="52" customFormat="1" ht="89.25" outlineLevel="1" x14ac:dyDescent="0.3">
      <c r="A77" s="15" t="s">
        <v>199</v>
      </c>
      <c r="B77" s="14" t="s">
        <v>25</v>
      </c>
      <c r="C77" s="3" t="s">
        <v>100</v>
      </c>
      <c r="D77" s="3" t="s">
        <v>101</v>
      </c>
      <c r="E77" s="3" t="s">
        <v>102</v>
      </c>
      <c r="F77" s="3" t="s">
        <v>103</v>
      </c>
      <c r="G77" s="15" t="s">
        <v>42</v>
      </c>
      <c r="H77" s="4">
        <v>0.5</v>
      </c>
      <c r="I77" s="2" t="s">
        <v>185</v>
      </c>
      <c r="J77" s="1" t="s">
        <v>44</v>
      </c>
      <c r="K77" s="7" t="s">
        <v>45</v>
      </c>
      <c r="L77" s="7" t="s">
        <v>46</v>
      </c>
      <c r="M77" s="8" t="s">
        <v>104</v>
      </c>
      <c r="N77" s="50">
        <v>0</v>
      </c>
      <c r="O77" s="9">
        <f t="shared" si="37"/>
        <v>95208</v>
      </c>
      <c r="P77" s="9">
        <f t="shared" si="37"/>
        <v>95208</v>
      </c>
      <c r="Q77" s="9">
        <f t="shared" si="37"/>
        <v>95208</v>
      </c>
      <c r="R77" s="9">
        <f t="shared" si="37"/>
        <v>95208</v>
      </c>
      <c r="S77" s="9">
        <v>0</v>
      </c>
      <c r="T77" s="9">
        <v>0</v>
      </c>
      <c r="U77" s="10">
        <v>62.5</v>
      </c>
      <c r="V77" s="9">
        <v>0</v>
      </c>
      <c r="W77" s="9">
        <f t="shared" ref="W77" si="38">V77*1.12</f>
        <v>0</v>
      </c>
      <c r="X77" s="7" t="s">
        <v>48</v>
      </c>
      <c r="Y77" s="51" t="s">
        <v>32</v>
      </c>
      <c r="Z77" s="15" t="s">
        <v>239</v>
      </c>
      <c r="AB77" s="93"/>
    </row>
    <row r="78" spans="1:28" s="19" customFormat="1" ht="89.25" outlineLevel="1" x14ac:dyDescent="0.3">
      <c r="A78" s="39" t="s">
        <v>249</v>
      </c>
      <c r="B78" s="66" t="s">
        <v>25</v>
      </c>
      <c r="C78" s="67" t="s">
        <v>100</v>
      </c>
      <c r="D78" s="67" t="s">
        <v>101</v>
      </c>
      <c r="E78" s="67" t="s">
        <v>102</v>
      </c>
      <c r="F78" s="67" t="s">
        <v>103</v>
      </c>
      <c r="G78" s="39" t="s">
        <v>238</v>
      </c>
      <c r="H78" s="68">
        <v>0.5</v>
      </c>
      <c r="I78" s="5" t="s">
        <v>281</v>
      </c>
      <c r="J78" s="69" t="s">
        <v>44</v>
      </c>
      <c r="K78" s="6" t="s">
        <v>45</v>
      </c>
      <c r="L78" s="6" t="s">
        <v>46</v>
      </c>
      <c r="M78" s="38" t="s">
        <v>104</v>
      </c>
      <c r="N78" s="18">
        <v>0</v>
      </c>
      <c r="O78" s="11">
        <f>95208-47604</f>
        <v>47604</v>
      </c>
      <c r="P78" s="11">
        <f t="shared" si="37"/>
        <v>95208</v>
      </c>
      <c r="Q78" s="11">
        <f t="shared" si="37"/>
        <v>95208</v>
      </c>
      <c r="R78" s="11">
        <f t="shared" si="37"/>
        <v>95208</v>
      </c>
      <c r="S78" s="9">
        <v>0</v>
      </c>
      <c r="T78" s="9">
        <v>0</v>
      </c>
      <c r="U78" s="70">
        <v>62.5</v>
      </c>
      <c r="V78" s="11">
        <v>0</v>
      </c>
      <c r="W78" s="11">
        <f t="shared" ref="W78" si="39">V78*1.12</f>
        <v>0</v>
      </c>
      <c r="X78" s="6" t="s">
        <v>48</v>
      </c>
      <c r="Y78" s="12" t="s">
        <v>32</v>
      </c>
      <c r="Z78" s="39" t="s">
        <v>405</v>
      </c>
      <c r="AB78" s="93"/>
    </row>
    <row r="79" spans="1:28" s="19" customFormat="1" ht="89.25" outlineLevel="1" x14ac:dyDescent="0.3">
      <c r="A79" s="39" t="s">
        <v>404</v>
      </c>
      <c r="B79" s="66" t="s">
        <v>25</v>
      </c>
      <c r="C79" s="67" t="s">
        <v>100</v>
      </c>
      <c r="D79" s="67" t="s">
        <v>101</v>
      </c>
      <c r="E79" s="67" t="s">
        <v>102</v>
      </c>
      <c r="F79" s="67" t="s">
        <v>103</v>
      </c>
      <c r="G79" s="39" t="s">
        <v>238</v>
      </c>
      <c r="H79" s="68">
        <v>0.5</v>
      </c>
      <c r="I79" s="5" t="s">
        <v>281</v>
      </c>
      <c r="J79" s="69" t="s">
        <v>44</v>
      </c>
      <c r="K79" s="6" t="s">
        <v>45</v>
      </c>
      <c r="L79" s="6" t="s">
        <v>46</v>
      </c>
      <c r="M79" s="38" t="s">
        <v>104</v>
      </c>
      <c r="N79" s="83">
        <v>0</v>
      </c>
      <c r="O79" s="84">
        <f>95208-47604</f>
        <v>47604</v>
      </c>
      <c r="P79" s="84">
        <f t="shared" si="37"/>
        <v>95208</v>
      </c>
      <c r="Q79" s="84">
        <f t="shared" si="37"/>
        <v>95208</v>
      </c>
      <c r="R79" s="84">
        <f t="shared" si="37"/>
        <v>95208</v>
      </c>
      <c r="S79" s="9">
        <v>0</v>
      </c>
      <c r="T79" s="9">
        <v>0</v>
      </c>
      <c r="U79" s="84">
        <v>71.180000000000007</v>
      </c>
      <c r="V79" s="84">
        <v>0</v>
      </c>
      <c r="W79" s="84">
        <f t="shared" ref="W79:W80" si="40">V79*1.12</f>
        <v>0</v>
      </c>
      <c r="X79" s="6" t="s">
        <v>48</v>
      </c>
      <c r="Y79" s="12" t="s">
        <v>32</v>
      </c>
      <c r="Z79" s="39" t="s">
        <v>468</v>
      </c>
      <c r="AA79" s="19" t="s">
        <v>460</v>
      </c>
      <c r="AB79" s="93"/>
    </row>
    <row r="80" spans="1:28" s="19" customFormat="1" ht="89.25" outlineLevel="1" x14ac:dyDescent="0.2">
      <c r="A80" s="39" t="s">
        <v>459</v>
      </c>
      <c r="B80" s="66" t="s">
        <v>25</v>
      </c>
      <c r="C80" s="67" t="s">
        <v>100</v>
      </c>
      <c r="D80" s="67" t="s">
        <v>101</v>
      </c>
      <c r="E80" s="67" t="s">
        <v>102</v>
      </c>
      <c r="F80" s="67" t="s">
        <v>103</v>
      </c>
      <c r="G80" s="39" t="s">
        <v>238</v>
      </c>
      <c r="H80" s="68">
        <v>0.5</v>
      </c>
      <c r="I80" s="5" t="s">
        <v>281</v>
      </c>
      <c r="J80" s="69" t="s">
        <v>22</v>
      </c>
      <c r="K80" s="6" t="s">
        <v>45</v>
      </c>
      <c r="L80" s="6" t="s">
        <v>46</v>
      </c>
      <c r="M80" s="38" t="s">
        <v>104</v>
      </c>
      <c r="N80" s="83">
        <v>0</v>
      </c>
      <c r="O80" s="84">
        <f>95208-47604</f>
        <v>47604</v>
      </c>
      <c r="P80" s="84">
        <f t="shared" si="37"/>
        <v>95208</v>
      </c>
      <c r="Q80" s="84">
        <f t="shared" si="37"/>
        <v>95208</v>
      </c>
      <c r="R80" s="84">
        <f t="shared" si="37"/>
        <v>95208</v>
      </c>
      <c r="S80" s="9">
        <v>0</v>
      </c>
      <c r="T80" s="9">
        <v>0</v>
      </c>
      <c r="U80" s="84">
        <v>66.959999999999994</v>
      </c>
      <c r="V80" s="84">
        <f>(N80+O80+P80+Q80+R80+T80)*U80</f>
        <v>22312946.879999999</v>
      </c>
      <c r="W80" s="84">
        <f t="shared" si="40"/>
        <v>24990500.505600002</v>
      </c>
      <c r="X80" s="6" t="s">
        <v>48</v>
      </c>
      <c r="Y80" s="12" t="s">
        <v>32</v>
      </c>
      <c r="Z80" s="13"/>
      <c r="AA80" s="19" t="s">
        <v>460</v>
      </c>
      <c r="AB80" s="93"/>
    </row>
    <row r="81" spans="1:28" s="52" customFormat="1" ht="89.25" outlineLevel="1" x14ac:dyDescent="0.3">
      <c r="A81" s="15" t="s">
        <v>105</v>
      </c>
      <c r="B81" s="14" t="s">
        <v>25</v>
      </c>
      <c r="C81" s="1" t="s">
        <v>106</v>
      </c>
      <c r="D81" s="1" t="s">
        <v>101</v>
      </c>
      <c r="E81" s="2" t="s">
        <v>107</v>
      </c>
      <c r="F81" s="3" t="s">
        <v>108</v>
      </c>
      <c r="G81" s="15" t="s">
        <v>42</v>
      </c>
      <c r="H81" s="4">
        <v>0.5</v>
      </c>
      <c r="I81" s="2" t="s">
        <v>43</v>
      </c>
      <c r="J81" s="1" t="s">
        <v>44</v>
      </c>
      <c r="K81" s="7" t="s">
        <v>45</v>
      </c>
      <c r="L81" s="7" t="s">
        <v>46</v>
      </c>
      <c r="M81" s="8" t="s">
        <v>104</v>
      </c>
      <c r="N81" s="50">
        <v>0</v>
      </c>
      <c r="O81" s="9">
        <f t="shared" ref="O81:R85" si="41">12816+2300</f>
        <v>15116</v>
      </c>
      <c r="P81" s="9">
        <f t="shared" si="41"/>
        <v>15116</v>
      </c>
      <c r="Q81" s="9">
        <f t="shared" si="41"/>
        <v>15116</v>
      </c>
      <c r="R81" s="9">
        <f t="shared" si="41"/>
        <v>15116</v>
      </c>
      <c r="S81" s="9">
        <v>0</v>
      </c>
      <c r="T81" s="9">
        <v>0</v>
      </c>
      <c r="U81" s="10">
        <v>504.46</v>
      </c>
      <c r="V81" s="9">
        <v>0</v>
      </c>
      <c r="W81" s="9">
        <f t="shared" si="2"/>
        <v>0</v>
      </c>
      <c r="X81" s="7" t="s">
        <v>48</v>
      </c>
      <c r="Y81" s="51" t="s">
        <v>32</v>
      </c>
      <c r="Z81" s="15" t="s">
        <v>187</v>
      </c>
      <c r="AB81" s="93"/>
    </row>
    <row r="82" spans="1:28" s="52" customFormat="1" ht="89.25" outlineLevel="1" x14ac:dyDescent="0.3">
      <c r="A82" s="15" t="s">
        <v>200</v>
      </c>
      <c r="B82" s="14" t="s">
        <v>25</v>
      </c>
      <c r="C82" s="1" t="s">
        <v>106</v>
      </c>
      <c r="D82" s="1" t="s">
        <v>101</v>
      </c>
      <c r="E82" s="2" t="s">
        <v>107</v>
      </c>
      <c r="F82" s="3" t="s">
        <v>108</v>
      </c>
      <c r="G82" s="15" t="s">
        <v>42</v>
      </c>
      <c r="H82" s="4">
        <v>0.5</v>
      </c>
      <c r="I82" s="2" t="s">
        <v>185</v>
      </c>
      <c r="J82" s="1" t="s">
        <v>44</v>
      </c>
      <c r="K82" s="7" t="s">
        <v>45</v>
      </c>
      <c r="L82" s="7" t="s">
        <v>46</v>
      </c>
      <c r="M82" s="8" t="s">
        <v>104</v>
      </c>
      <c r="N82" s="50">
        <v>0</v>
      </c>
      <c r="O82" s="9">
        <f t="shared" si="41"/>
        <v>15116</v>
      </c>
      <c r="P82" s="9">
        <f t="shared" si="41"/>
        <v>15116</v>
      </c>
      <c r="Q82" s="9">
        <f t="shared" si="41"/>
        <v>15116</v>
      </c>
      <c r="R82" s="9">
        <f t="shared" si="41"/>
        <v>15116</v>
      </c>
      <c r="S82" s="9">
        <v>0</v>
      </c>
      <c r="T82" s="9">
        <v>0</v>
      </c>
      <c r="U82" s="10">
        <v>500</v>
      </c>
      <c r="V82" s="9">
        <v>0</v>
      </c>
      <c r="W82" s="9">
        <f t="shared" ref="W82" si="42">V82*1.12</f>
        <v>0</v>
      </c>
      <c r="X82" s="7" t="s">
        <v>48</v>
      </c>
      <c r="Y82" s="51" t="s">
        <v>32</v>
      </c>
      <c r="Z82" s="15" t="s">
        <v>239</v>
      </c>
      <c r="AB82" s="93"/>
    </row>
    <row r="83" spans="1:28" s="19" customFormat="1" ht="89.25" outlineLevel="1" x14ac:dyDescent="0.3">
      <c r="A83" s="39" t="s">
        <v>250</v>
      </c>
      <c r="B83" s="66" t="s">
        <v>25</v>
      </c>
      <c r="C83" s="69" t="s">
        <v>106</v>
      </c>
      <c r="D83" s="69" t="s">
        <v>101</v>
      </c>
      <c r="E83" s="5" t="s">
        <v>107</v>
      </c>
      <c r="F83" s="67" t="s">
        <v>108</v>
      </c>
      <c r="G83" s="39" t="s">
        <v>238</v>
      </c>
      <c r="H83" s="68">
        <v>0.5</v>
      </c>
      <c r="I83" s="5" t="s">
        <v>281</v>
      </c>
      <c r="J83" s="69" t="s">
        <v>44</v>
      </c>
      <c r="K83" s="6" t="s">
        <v>45</v>
      </c>
      <c r="L83" s="6" t="s">
        <v>46</v>
      </c>
      <c r="M83" s="38" t="s">
        <v>104</v>
      </c>
      <c r="N83" s="18">
        <v>0</v>
      </c>
      <c r="O83" s="11">
        <f>15116-7558</f>
        <v>7558</v>
      </c>
      <c r="P83" s="11">
        <f t="shared" si="41"/>
        <v>15116</v>
      </c>
      <c r="Q83" s="11">
        <f t="shared" si="41"/>
        <v>15116</v>
      </c>
      <c r="R83" s="11">
        <f t="shared" si="41"/>
        <v>15116</v>
      </c>
      <c r="S83" s="9">
        <v>0</v>
      </c>
      <c r="T83" s="9">
        <v>0</v>
      </c>
      <c r="U83" s="70">
        <v>500</v>
      </c>
      <c r="V83" s="11">
        <v>0</v>
      </c>
      <c r="W83" s="11">
        <f t="shared" ref="W83" si="43">V83*1.12</f>
        <v>0</v>
      </c>
      <c r="X83" s="6" t="s">
        <v>48</v>
      </c>
      <c r="Y83" s="12" t="s">
        <v>32</v>
      </c>
      <c r="Z83" s="39" t="s">
        <v>405</v>
      </c>
      <c r="AB83" s="93"/>
    </row>
    <row r="84" spans="1:28" s="19" customFormat="1" ht="89.25" outlineLevel="1" x14ac:dyDescent="0.3">
      <c r="A84" s="39" t="s">
        <v>406</v>
      </c>
      <c r="B84" s="66" t="s">
        <v>25</v>
      </c>
      <c r="C84" s="69" t="s">
        <v>106</v>
      </c>
      <c r="D84" s="69" t="s">
        <v>101</v>
      </c>
      <c r="E84" s="5" t="s">
        <v>107</v>
      </c>
      <c r="F84" s="67" t="s">
        <v>108</v>
      </c>
      <c r="G84" s="39" t="s">
        <v>238</v>
      </c>
      <c r="H84" s="68">
        <v>0.5</v>
      </c>
      <c r="I84" s="5" t="s">
        <v>281</v>
      </c>
      <c r="J84" s="69" t="s">
        <v>44</v>
      </c>
      <c r="K84" s="6" t="s">
        <v>45</v>
      </c>
      <c r="L84" s="6" t="s">
        <v>46</v>
      </c>
      <c r="M84" s="38" t="s">
        <v>104</v>
      </c>
      <c r="N84" s="83">
        <v>0</v>
      </c>
      <c r="O84" s="84">
        <f>15116-7558</f>
        <v>7558</v>
      </c>
      <c r="P84" s="84">
        <f t="shared" si="41"/>
        <v>15116</v>
      </c>
      <c r="Q84" s="84">
        <f t="shared" si="41"/>
        <v>15116</v>
      </c>
      <c r="R84" s="84">
        <f t="shared" si="41"/>
        <v>15116</v>
      </c>
      <c r="S84" s="9">
        <v>0</v>
      </c>
      <c r="T84" s="9">
        <v>0</v>
      </c>
      <c r="U84" s="84">
        <v>535</v>
      </c>
      <c r="V84" s="84">
        <v>0</v>
      </c>
      <c r="W84" s="84">
        <f t="shared" ref="W84" si="44">V84*1.12</f>
        <v>0</v>
      </c>
      <c r="X84" s="6" t="s">
        <v>48</v>
      </c>
      <c r="Y84" s="12" t="s">
        <v>32</v>
      </c>
      <c r="Z84" s="39" t="s">
        <v>468</v>
      </c>
      <c r="AA84" s="19" t="s">
        <v>460</v>
      </c>
      <c r="AB84" s="93"/>
    </row>
    <row r="85" spans="1:28" s="19" customFormat="1" ht="89.25" outlineLevel="1" x14ac:dyDescent="0.2">
      <c r="A85" s="39" t="s">
        <v>461</v>
      </c>
      <c r="B85" s="66" t="s">
        <v>25</v>
      </c>
      <c r="C85" s="69" t="s">
        <v>106</v>
      </c>
      <c r="D85" s="69" t="s">
        <v>101</v>
      </c>
      <c r="E85" s="5" t="s">
        <v>107</v>
      </c>
      <c r="F85" s="67" t="s">
        <v>108</v>
      </c>
      <c r="G85" s="39" t="s">
        <v>238</v>
      </c>
      <c r="H85" s="68">
        <v>0.5</v>
      </c>
      <c r="I85" s="5" t="s">
        <v>281</v>
      </c>
      <c r="J85" s="69" t="s">
        <v>22</v>
      </c>
      <c r="K85" s="6" t="s">
        <v>45</v>
      </c>
      <c r="L85" s="6" t="s">
        <v>46</v>
      </c>
      <c r="M85" s="38" t="s">
        <v>104</v>
      </c>
      <c r="N85" s="83">
        <v>0</v>
      </c>
      <c r="O85" s="84">
        <f>15116-7558</f>
        <v>7558</v>
      </c>
      <c r="P85" s="84">
        <f t="shared" si="41"/>
        <v>15116</v>
      </c>
      <c r="Q85" s="84">
        <f t="shared" si="41"/>
        <v>15116</v>
      </c>
      <c r="R85" s="84">
        <f t="shared" si="41"/>
        <v>15116</v>
      </c>
      <c r="S85" s="9">
        <v>0</v>
      </c>
      <c r="T85" s="9">
        <v>0</v>
      </c>
      <c r="U85" s="84">
        <v>426.88</v>
      </c>
      <c r="V85" s="84">
        <f>(N85+O85+P85+Q85+R85+T85)*U85</f>
        <v>22584513.280000001</v>
      </c>
      <c r="W85" s="84">
        <f t="shared" ref="W85" si="45">V85*1.12</f>
        <v>25294654.873600002</v>
      </c>
      <c r="X85" s="6" t="s">
        <v>48</v>
      </c>
      <c r="Y85" s="12" t="s">
        <v>32</v>
      </c>
      <c r="Z85" s="13"/>
      <c r="AA85" s="19" t="s">
        <v>460</v>
      </c>
      <c r="AB85" s="93"/>
    </row>
    <row r="86" spans="1:28" s="52" customFormat="1" ht="89.25" outlineLevel="1" x14ac:dyDescent="0.3">
      <c r="A86" s="15" t="s">
        <v>109</v>
      </c>
      <c r="B86" s="14" t="s">
        <v>25</v>
      </c>
      <c r="C86" s="1" t="s">
        <v>110</v>
      </c>
      <c r="D86" s="1" t="s">
        <v>111</v>
      </c>
      <c r="E86" s="2" t="s">
        <v>112</v>
      </c>
      <c r="F86" s="3" t="s">
        <v>113</v>
      </c>
      <c r="G86" s="15" t="s">
        <v>42</v>
      </c>
      <c r="H86" s="4">
        <v>0.5</v>
      </c>
      <c r="I86" s="2" t="s">
        <v>43</v>
      </c>
      <c r="J86" s="1" t="s">
        <v>44</v>
      </c>
      <c r="K86" s="7" t="s">
        <v>45</v>
      </c>
      <c r="L86" s="7" t="s">
        <v>46</v>
      </c>
      <c r="M86" s="8" t="s">
        <v>104</v>
      </c>
      <c r="N86" s="50">
        <v>0</v>
      </c>
      <c r="O86" s="9">
        <f t="shared" ref="O86:R90" si="46">8208+2200+2500-400</f>
        <v>12508</v>
      </c>
      <c r="P86" s="9">
        <f t="shared" si="46"/>
        <v>12508</v>
      </c>
      <c r="Q86" s="9">
        <f t="shared" si="46"/>
        <v>12508</v>
      </c>
      <c r="R86" s="9">
        <f t="shared" si="46"/>
        <v>12508</v>
      </c>
      <c r="S86" s="9">
        <v>0</v>
      </c>
      <c r="T86" s="9">
        <v>0</v>
      </c>
      <c r="U86" s="10">
        <v>1321</v>
      </c>
      <c r="V86" s="9">
        <v>0</v>
      </c>
      <c r="W86" s="9">
        <f t="shared" si="2"/>
        <v>0</v>
      </c>
      <c r="X86" s="7" t="s">
        <v>48</v>
      </c>
      <c r="Y86" s="51" t="s">
        <v>32</v>
      </c>
      <c r="Z86" s="15" t="s">
        <v>187</v>
      </c>
      <c r="AB86" s="93"/>
    </row>
    <row r="87" spans="1:28" s="52" customFormat="1" ht="89.25" outlineLevel="1" x14ac:dyDescent="0.3">
      <c r="A87" s="15" t="s">
        <v>201</v>
      </c>
      <c r="B87" s="14" t="s">
        <v>25</v>
      </c>
      <c r="C87" s="1" t="s">
        <v>110</v>
      </c>
      <c r="D87" s="1" t="s">
        <v>111</v>
      </c>
      <c r="E87" s="2" t="s">
        <v>112</v>
      </c>
      <c r="F87" s="3" t="s">
        <v>113</v>
      </c>
      <c r="G87" s="15" t="s">
        <v>42</v>
      </c>
      <c r="H87" s="4">
        <v>0.5</v>
      </c>
      <c r="I87" s="2" t="s">
        <v>185</v>
      </c>
      <c r="J87" s="1" t="s">
        <v>44</v>
      </c>
      <c r="K87" s="7" t="s">
        <v>45</v>
      </c>
      <c r="L87" s="7" t="s">
        <v>46</v>
      </c>
      <c r="M87" s="8" t="s">
        <v>104</v>
      </c>
      <c r="N87" s="50">
        <v>0</v>
      </c>
      <c r="O87" s="9">
        <f t="shared" si="46"/>
        <v>12508</v>
      </c>
      <c r="P87" s="9">
        <f t="shared" si="46"/>
        <v>12508</v>
      </c>
      <c r="Q87" s="9">
        <f t="shared" si="46"/>
        <v>12508</v>
      </c>
      <c r="R87" s="9">
        <f t="shared" si="46"/>
        <v>12508</v>
      </c>
      <c r="S87" s="9">
        <v>0</v>
      </c>
      <c r="T87" s="9">
        <v>0</v>
      </c>
      <c r="U87" s="10">
        <v>1290</v>
      </c>
      <c r="V87" s="9">
        <v>0</v>
      </c>
      <c r="W87" s="9">
        <f t="shared" ref="W87" si="47">V87*1.12</f>
        <v>0</v>
      </c>
      <c r="X87" s="7" t="s">
        <v>48</v>
      </c>
      <c r="Y87" s="51" t="s">
        <v>32</v>
      </c>
      <c r="Z87" s="15" t="s">
        <v>239</v>
      </c>
      <c r="AB87" s="93"/>
    </row>
    <row r="88" spans="1:28" s="19" customFormat="1" ht="89.25" outlineLevel="1" x14ac:dyDescent="0.3">
      <c r="A88" s="39" t="s">
        <v>251</v>
      </c>
      <c r="B88" s="66" t="s">
        <v>25</v>
      </c>
      <c r="C88" s="69" t="s">
        <v>110</v>
      </c>
      <c r="D88" s="69" t="s">
        <v>111</v>
      </c>
      <c r="E88" s="5" t="s">
        <v>112</v>
      </c>
      <c r="F88" s="67" t="s">
        <v>113</v>
      </c>
      <c r="G88" s="39" t="s">
        <v>238</v>
      </c>
      <c r="H88" s="68">
        <v>0.5</v>
      </c>
      <c r="I88" s="5" t="s">
        <v>281</v>
      </c>
      <c r="J88" s="69" t="s">
        <v>44</v>
      </c>
      <c r="K88" s="6" t="s">
        <v>45</v>
      </c>
      <c r="L88" s="6" t="s">
        <v>46</v>
      </c>
      <c r="M88" s="38" t="s">
        <v>104</v>
      </c>
      <c r="N88" s="18">
        <v>0</v>
      </c>
      <c r="O88" s="11">
        <f>12508-6254</f>
        <v>6254</v>
      </c>
      <c r="P88" s="11">
        <f t="shared" si="46"/>
        <v>12508</v>
      </c>
      <c r="Q88" s="11">
        <f t="shared" si="46"/>
        <v>12508</v>
      </c>
      <c r="R88" s="11">
        <f t="shared" si="46"/>
        <v>12508</v>
      </c>
      <c r="S88" s="9">
        <v>0</v>
      </c>
      <c r="T88" s="9">
        <v>0</v>
      </c>
      <c r="U88" s="70">
        <v>1290</v>
      </c>
      <c r="V88" s="11">
        <v>0</v>
      </c>
      <c r="W88" s="11">
        <f t="shared" ref="W88" si="48">V88*1.12</f>
        <v>0</v>
      </c>
      <c r="X88" s="6" t="s">
        <v>48</v>
      </c>
      <c r="Y88" s="12" t="s">
        <v>32</v>
      </c>
      <c r="Z88" s="39" t="s">
        <v>405</v>
      </c>
      <c r="AB88" s="93"/>
    </row>
    <row r="89" spans="1:28" s="19" customFormat="1" ht="89.25" outlineLevel="1" x14ac:dyDescent="0.3">
      <c r="A89" s="39" t="s">
        <v>407</v>
      </c>
      <c r="B89" s="66" t="s">
        <v>25</v>
      </c>
      <c r="C89" s="69" t="s">
        <v>110</v>
      </c>
      <c r="D89" s="69" t="s">
        <v>111</v>
      </c>
      <c r="E89" s="5" t="s">
        <v>112</v>
      </c>
      <c r="F89" s="67" t="s">
        <v>113</v>
      </c>
      <c r="G89" s="39" t="s">
        <v>238</v>
      </c>
      <c r="H89" s="68">
        <v>0.5</v>
      </c>
      <c r="I89" s="5" t="s">
        <v>281</v>
      </c>
      <c r="J89" s="69" t="s">
        <v>44</v>
      </c>
      <c r="K89" s="6" t="s">
        <v>45</v>
      </c>
      <c r="L89" s="6" t="s">
        <v>46</v>
      </c>
      <c r="M89" s="38" t="s">
        <v>104</v>
      </c>
      <c r="N89" s="83">
        <v>0</v>
      </c>
      <c r="O89" s="84">
        <f>12508-6254</f>
        <v>6254</v>
      </c>
      <c r="P89" s="84">
        <f t="shared" si="46"/>
        <v>12508</v>
      </c>
      <c r="Q89" s="84">
        <f t="shared" si="46"/>
        <v>12508</v>
      </c>
      <c r="R89" s="84">
        <f t="shared" si="46"/>
        <v>12508</v>
      </c>
      <c r="S89" s="9">
        <v>0</v>
      </c>
      <c r="T89" s="9">
        <v>0</v>
      </c>
      <c r="U89" s="84">
        <v>1453.5</v>
      </c>
      <c r="V89" s="84">
        <v>0</v>
      </c>
      <c r="W89" s="84">
        <f t="shared" ref="W89" si="49">V89*1.12</f>
        <v>0</v>
      </c>
      <c r="X89" s="6" t="s">
        <v>48</v>
      </c>
      <c r="Y89" s="12" t="s">
        <v>32</v>
      </c>
      <c r="Z89" s="39" t="s">
        <v>468</v>
      </c>
      <c r="AA89" s="19" t="s">
        <v>460</v>
      </c>
      <c r="AB89" s="93"/>
    </row>
    <row r="90" spans="1:28" s="19" customFormat="1" ht="89.25" outlineLevel="1" x14ac:dyDescent="0.2">
      <c r="A90" s="39" t="s">
        <v>462</v>
      </c>
      <c r="B90" s="66" t="s">
        <v>25</v>
      </c>
      <c r="C90" s="69" t="s">
        <v>110</v>
      </c>
      <c r="D90" s="69" t="s">
        <v>111</v>
      </c>
      <c r="E90" s="5" t="s">
        <v>112</v>
      </c>
      <c r="F90" s="67" t="s">
        <v>113</v>
      </c>
      <c r="G90" s="39" t="s">
        <v>238</v>
      </c>
      <c r="H90" s="68">
        <v>0.5</v>
      </c>
      <c r="I90" s="5" t="s">
        <v>281</v>
      </c>
      <c r="J90" s="69" t="s">
        <v>22</v>
      </c>
      <c r="K90" s="6" t="s">
        <v>45</v>
      </c>
      <c r="L90" s="6" t="s">
        <v>46</v>
      </c>
      <c r="M90" s="38" t="s">
        <v>104</v>
      </c>
      <c r="N90" s="83">
        <v>0</v>
      </c>
      <c r="O90" s="84">
        <f>12508-6254</f>
        <v>6254</v>
      </c>
      <c r="P90" s="84">
        <f t="shared" si="46"/>
        <v>12508</v>
      </c>
      <c r="Q90" s="84">
        <f t="shared" si="46"/>
        <v>12508</v>
      </c>
      <c r="R90" s="84">
        <f t="shared" si="46"/>
        <v>12508</v>
      </c>
      <c r="S90" s="9">
        <v>0</v>
      </c>
      <c r="T90" s="9">
        <v>0</v>
      </c>
      <c r="U90" s="84">
        <v>1017.86</v>
      </c>
      <c r="V90" s="84">
        <f>(N90+O90+P90+Q90+R90+T90)*U90</f>
        <v>44559875.079999998</v>
      </c>
      <c r="W90" s="84">
        <f t="shared" ref="W90" si="50">V90*1.12</f>
        <v>49907060.089600004</v>
      </c>
      <c r="X90" s="6" t="s">
        <v>48</v>
      </c>
      <c r="Y90" s="12" t="s">
        <v>32</v>
      </c>
      <c r="Z90" s="13"/>
      <c r="AA90" s="19" t="s">
        <v>460</v>
      </c>
      <c r="AB90" s="93"/>
    </row>
    <row r="91" spans="1:28" s="52" customFormat="1" ht="89.25" outlineLevel="1" x14ac:dyDescent="0.3">
      <c r="A91" s="15" t="s">
        <v>114</v>
      </c>
      <c r="B91" s="14" t="s">
        <v>25</v>
      </c>
      <c r="C91" s="1" t="s">
        <v>115</v>
      </c>
      <c r="D91" s="1" t="s">
        <v>116</v>
      </c>
      <c r="E91" s="2" t="s">
        <v>117</v>
      </c>
      <c r="F91" s="3" t="s">
        <v>118</v>
      </c>
      <c r="G91" s="15" t="s">
        <v>42</v>
      </c>
      <c r="H91" s="4">
        <v>0.5</v>
      </c>
      <c r="I91" s="2" t="s">
        <v>43</v>
      </c>
      <c r="J91" s="1" t="s">
        <v>44</v>
      </c>
      <c r="K91" s="7" t="s">
        <v>45</v>
      </c>
      <c r="L91" s="7" t="s">
        <v>46</v>
      </c>
      <c r="M91" s="8" t="s">
        <v>119</v>
      </c>
      <c r="N91" s="50">
        <v>0</v>
      </c>
      <c r="O91" s="9">
        <f t="shared" ref="O91:R95" si="51">1512+500+1788</f>
        <v>3800</v>
      </c>
      <c r="P91" s="9">
        <f t="shared" si="51"/>
        <v>3800</v>
      </c>
      <c r="Q91" s="9">
        <f t="shared" si="51"/>
        <v>3800</v>
      </c>
      <c r="R91" s="9">
        <f t="shared" si="51"/>
        <v>3800</v>
      </c>
      <c r="S91" s="9">
        <v>0</v>
      </c>
      <c r="T91" s="9">
        <v>0</v>
      </c>
      <c r="U91" s="10">
        <v>349.11</v>
      </c>
      <c r="V91" s="9">
        <v>0</v>
      </c>
      <c r="W91" s="9">
        <f t="shared" si="2"/>
        <v>0</v>
      </c>
      <c r="X91" s="7" t="s">
        <v>48</v>
      </c>
      <c r="Y91" s="51" t="s">
        <v>32</v>
      </c>
      <c r="Z91" s="15">
        <v>9</v>
      </c>
      <c r="AB91" s="93"/>
    </row>
    <row r="92" spans="1:28" s="52" customFormat="1" ht="89.25" outlineLevel="1" x14ac:dyDescent="0.3">
      <c r="A92" s="15" t="s">
        <v>202</v>
      </c>
      <c r="B92" s="14" t="s">
        <v>25</v>
      </c>
      <c r="C92" s="1" t="s">
        <v>115</v>
      </c>
      <c r="D92" s="1" t="s">
        <v>116</v>
      </c>
      <c r="E92" s="2" t="s">
        <v>117</v>
      </c>
      <c r="F92" s="3" t="s">
        <v>118</v>
      </c>
      <c r="G92" s="15" t="s">
        <v>42</v>
      </c>
      <c r="H92" s="4">
        <v>0.5</v>
      </c>
      <c r="I92" s="2" t="s">
        <v>185</v>
      </c>
      <c r="J92" s="1" t="s">
        <v>44</v>
      </c>
      <c r="K92" s="7" t="s">
        <v>45</v>
      </c>
      <c r="L92" s="7" t="s">
        <v>46</v>
      </c>
      <c r="M92" s="8" t="s">
        <v>119</v>
      </c>
      <c r="N92" s="50">
        <v>0</v>
      </c>
      <c r="O92" s="9">
        <f t="shared" si="51"/>
        <v>3800</v>
      </c>
      <c r="P92" s="9">
        <f t="shared" si="51"/>
        <v>3800</v>
      </c>
      <c r="Q92" s="9">
        <f t="shared" si="51"/>
        <v>3800</v>
      </c>
      <c r="R92" s="9">
        <f t="shared" si="51"/>
        <v>3800</v>
      </c>
      <c r="S92" s="9">
        <v>0</v>
      </c>
      <c r="T92" s="9">
        <v>0</v>
      </c>
      <c r="U92" s="10">
        <v>349.11</v>
      </c>
      <c r="V92" s="9">
        <v>0</v>
      </c>
      <c r="W92" s="9">
        <f t="shared" ref="W92" si="52">V92*1.12</f>
        <v>0</v>
      </c>
      <c r="X92" s="7" t="s">
        <v>48</v>
      </c>
      <c r="Y92" s="51" t="s">
        <v>32</v>
      </c>
      <c r="Z92" s="15" t="s">
        <v>239</v>
      </c>
      <c r="AB92" s="93"/>
    </row>
    <row r="93" spans="1:28" s="19" customFormat="1" ht="89.25" outlineLevel="1" x14ac:dyDescent="0.3">
      <c r="A93" s="39" t="s">
        <v>252</v>
      </c>
      <c r="B93" s="66" t="s">
        <v>25</v>
      </c>
      <c r="C93" s="69" t="s">
        <v>115</v>
      </c>
      <c r="D93" s="69" t="s">
        <v>116</v>
      </c>
      <c r="E93" s="5" t="s">
        <v>117</v>
      </c>
      <c r="F93" s="67" t="s">
        <v>118</v>
      </c>
      <c r="G93" s="39" t="s">
        <v>238</v>
      </c>
      <c r="H93" s="68">
        <v>0.5</v>
      </c>
      <c r="I93" s="5" t="s">
        <v>281</v>
      </c>
      <c r="J93" s="69" t="s">
        <v>44</v>
      </c>
      <c r="K93" s="6" t="s">
        <v>45</v>
      </c>
      <c r="L93" s="6" t="s">
        <v>46</v>
      </c>
      <c r="M93" s="38" t="s">
        <v>119</v>
      </c>
      <c r="N93" s="18">
        <v>0</v>
      </c>
      <c r="O93" s="11">
        <f>1512+500+1788-1900</f>
        <v>1900</v>
      </c>
      <c r="P93" s="11">
        <f t="shared" si="51"/>
        <v>3800</v>
      </c>
      <c r="Q93" s="11">
        <f t="shared" si="51"/>
        <v>3800</v>
      </c>
      <c r="R93" s="11">
        <f t="shared" si="51"/>
        <v>3800</v>
      </c>
      <c r="S93" s="9">
        <v>0</v>
      </c>
      <c r="T93" s="9">
        <v>0</v>
      </c>
      <c r="U93" s="70">
        <v>349.11</v>
      </c>
      <c r="V93" s="11">
        <v>0</v>
      </c>
      <c r="W93" s="11">
        <f t="shared" ref="W93" si="53">V93*1.12</f>
        <v>0</v>
      </c>
      <c r="X93" s="6" t="s">
        <v>48</v>
      </c>
      <c r="Y93" s="12" t="s">
        <v>32</v>
      </c>
      <c r="Z93" s="39" t="s">
        <v>405</v>
      </c>
      <c r="AB93" s="93"/>
    </row>
    <row r="94" spans="1:28" s="19" customFormat="1" ht="89.25" outlineLevel="1" x14ac:dyDescent="0.3">
      <c r="A94" s="39" t="s">
        <v>408</v>
      </c>
      <c r="B94" s="66" t="s">
        <v>25</v>
      </c>
      <c r="C94" s="69" t="s">
        <v>115</v>
      </c>
      <c r="D94" s="69" t="s">
        <v>116</v>
      </c>
      <c r="E94" s="5" t="s">
        <v>117</v>
      </c>
      <c r="F94" s="67" t="s">
        <v>118</v>
      </c>
      <c r="G94" s="39" t="s">
        <v>238</v>
      </c>
      <c r="H94" s="68">
        <v>0.5</v>
      </c>
      <c r="I94" s="5" t="s">
        <v>281</v>
      </c>
      <c r="J94" s="69" t="s">
        <v>44</v>
      </c>
      <c r="K94" s="6" t="s">
        <v>45</v>
      </c>
      <c r="L94" s="6" t="s">
        <v>46</v>
      </c>
      <c r="M94" s="38" t="s">
        <v>119</v>
      </c>
      <c r="N94" s="83">
        <v>0</v>
      </c>
      <c r="O94" s="84">
        <f>1512+500+1788-1900</f>
        <v>1900</v>
      </c>
      <c r="P94" s="84">
        <f t="shared" si="51"/>
        <v>3800</v>
      </c>
      <c r="Q94" s="84">
        <f t="shared" si="51"/>
        <v>3800</v>
      </c>
      <c r="R94" s="84">
        <f t="shared" si="51"/>
        <v>3800</v>
      </c>
      <c r="S94" s="9">
        <v>0</v>
      </c>
      <c r="T94" s="9">
        <v>0</v>
      </c>
      <c r="U94" s="84">
        <v>383</v>
      </c>
      <c r="V94" s="84">
        <v>0</v>
      </c>
      <c r="W94" s="84">
        <f t="shared" ref="W94" si="54">V94*1.12</f>
        <v>0</v>
      </c>
      <c r="X94" s="6" t="s">
        <v>48</v>
      </c>
      <c r="Y94" s="12" t="s">
        <v>32</v>
      </c>
      <c r="Z94" s="39" t="s">
        <v>468</v>
      </c>
      <c r="AA94" s="19" t="s">
        <v>460</v>
      </c>
      <c r="AB94" s="93"/>
    </row>
    <row r="95" spans="1:28" s="19" customFormat="1" ht="89.25" outlineLevel="1" x14ac:dyDescent="0.2">
      <c r="A95" s="39" t="s">
        <v>463</v>
      </c>
      <c r="B95" s="66" t="s">
        <v>25</v>
      </c>
      <c r="C95" s="69" t="s">
        <v>115</v>
      </c>
      <c r="D95" s="69" t="s">
        <v>116</v>
      </c>
      <c r="E95" s="5" t="s">
        <v>117</v>
      </c>
      <c r="F95" s="67" t="s">
        <v>118</v>
      </c>
      <c r="G95" s="39" t="s">
        <v>238</v>
      </c>
      <c r="H95" s="68">
        <v>0.5</v>
      </c>
      <c r="I95" s="5" t="s">
        <v>281</v>
      </c>
      <c r="J95" s="69" t="s">
        <v>22</v>
      </c>
      <c r="K95" s="6" t="s">
        <v>45</v>
      </c>
      <c r="L95" s="6" t="s">
        <v>46</v>
      </c>
      <c r="M95" s="38" t="s">
        <v>119</v>
      </c>
      <c r="N95" s="83">
        <v>0</v>
      </c>
      <c r="O95" s="84">
        <f>1512+500+1788-1900</f>
        <v>1900</v>
      </c>
      <c r="P95" s="84">
        <f t="shared" si="51"/>
        <v>3800</v>
      </c>
      <c r="Q95" s="84">
        <f t="shared" si="51"/>
        <v>3800</v>
      </c>
      <c r="R95" s="84">
        <f t="shared" si="51"/>
        <v>3800</v>
      </c>
      <c r="S95" s="9">
        <v>0</v>
      </c>
      <c r="T95" s="9">
        <v>0</v>
      </c>
      <c r="U95" s="84">
        <v>322.74</v>
      </c>
      <c r="V95" s="84">
        <f>(N95+O95+P95+Q95+R95+T95)*U95</f>
        <v>4292442</v>
      </c>
      <c r="W95" s="84">
        <f t="shared" ref="W95" si="55">V95*1.12</f>
        <v>4807535.04</v>
      </c>
      <c r="X95" s="6" t="s">
        <v>48</v>
      </c>
      <c r="Y95" s="12" t="s">
        <v>32</v>
      </c>
      <c r="Z95" s="13"/>
      <c r="AA95" s="19" t="s">
        <v>460</v>
      </c>
      <c r="AB95" s="93"/>
    </row>
    <row r="96" spans="1:28" s="52" customFormat="1" ht="89.25" outlineLevel="1" x14ac:dyDescent="0.3">
      <c r="A96" s="15" t="s">
        <v>120</v>
      </c>
      <c r="B96" s="14" t="s">
        <v>25</v>
      </c>
      <c r="C96" s="1" t="s">
        <v>115</v>
      </c>
      <c r="D96" s="1" t="s">
        <v>116</v>
      </c>
      <c r="E96" s="2" t="s">
        <v>117</v>
      </c>
      <c r="F96" s="3" t="s">
        <v>121</v>
      </c>
      <c r="G96" s="15" t="s">
        <v>42</v>
      </c>
      <c r="H96" s="4">
        <v>0.5</v>
      </c>
      <c r="I96" s="2" t="s">
        <v>43</v>
      </c>
      <c r="J96" s="1" t="s">
        <v>44</v>
      </c>
      <c r="K96" s="7" t="s">
        <v>45</v>
      </c>
      <c r="L96" s="7" t="s">
        <v>46</v>
      </c>
      <c r="M96" s="8" t="s">
        <v>119</v>
      </c>
      <c r="N96" s="50">
        <v>0</v>
      </c>
      <c r="O96" s="9">
        <f t="shared" ref="O96:R100" si="56">3600+3840</f>
        <v>7440</v>
      </c>
      <c r="P96" s="9">
        <f t="shared" si="56"/>
        <v>7440</v>
      </c>
      <c r="Q96" s="9">
        <f t="shared" si="56"/>
        <v>7440</v>
      </c>
      <c r="R96" s="9">
        <f t="shared" si="56"/>
        <v>7440</v>
      </c>
      <c r="S96" s="9">
        <v>0</v>
      </c>
      <c r="T96" s="9">
        <v>0</v>
      </c>
      <c r="U96" s="10">
        <v>66.959999999999994</v>
      </c>
      <c r="V96" s="9">
        <v>0</v>
      </c>
      <c r="W96" s="9">
        <f t="shared" si="2"/>
        <v>0</v>
      </c>
      <c r="X96" s="7" t="s">
        <v>48</v>
      </c>
      <c r="Y96" s="51" t="s">
        <v>32</v>
      </c>
      <c r="Z96" s="15">
        <v>9</v>
      </c>
      <c r="AB96" s="93"/>
    </row>
    <row r="97" spans="1:28" s="52" customFormat="1" ht="89.25" outlineLevel="1" x14ac:dyDescent="0.3">
      <c r="A97" s="15" t="s">
        <v>203</v>
      </c>
      <c r="B97" s="14" t="s">
        <v>25</v>
      </c>
      <c r="C97" s="1" t="s">
        <v>115</v>
      </c>
      <c r="D97" s="1" t="s">
        <v>116</v>
      </c>
      <c r="E97" s="2" t="s">
        <v>117</v>
      </c>
      <c r="F97" s="3" t="s">
        <v>121</v>
      </c>
      <c r="G97" s="15" t="s">
        <v>42</v>
      </c>
      <c r="H97" s="4">
        <v>0.5</v>
      </c>
      <c r="I97" s="2" t="s">
        <v>185</v>
      </c>
      <c r="J97" s="1" t="s">
        <v>44</v>
      </c>
      <c r="K97" s="7" t="s">
        <v>45</v>
      </c>
      <c r="L97" s="7" t="s">
        <v>46</v>
      </c>
      <c r="M97" s="8" t="s">
        <v>119</v>
      </c>
      <c r="N97" s="50">
        <v>0</v>
      </c>
      <c r="O97" s="9">
        <f t="shared" si="56"/>
        <v>7440</v>
      </c>
      <c r="P97" s="9">
        <f t="shared" si="56"/>
        <v>7440</v>
      </c>
      <c r="Q97" s="9">
        <f t="shared" si="56"/>
        <v>7440</v>
      </c>
      <c r="R97" s="9">
        <f t="shared" si="56"/>
        <v>7440</v>
      </c>
      <c r="S97" s="9">
        <v>0</v>
      </c>
      <c r="T97" s="9">
        <v>0</v>
      </c>
      <c r="U97" s="10">
        <v>66.959999999999994</v>
      </c>
      <c r="V97" s="9">
        <v>0</v>
      </c>
      <c r="W97" s="9">
        <f t="shared" ref="W97" si="57">V97*1.12</f>
        <v>0</v>
      </c>
      <c r="X97" s="7" t="s">
        <v>48</v>
      </c>
      <c r="Y97" s="51" t="s">
        <v>32</v>
      </c>
      <c r="Z97" s="15" t="s">
        <v>239</v>
      </c>
      <c r="AB97" s="93"/>
    </row>
    <row r="98" spans="1:28" s="19" customFormat="1" ht="89.25" outlineLevel="1" x14ac:dyDescent="0.3">
      <c r="A98" s="39" t="s">
        <v>253</v>
      </c>
      <c r="B98" s="66" t="s">
        <v>25</v>
      </c>
      <c r="C98" s="69" t="s">
        <v>115</v>
      </c>
      <c r="D98" s="69" t="s">
        <v>116</v>
      </c>
      <c r="E98" s="5" t="s">
        <v>117</v>
      </c>
      <c r="F98" s="67" t="s">
        <v>121</v>
      </c>
      <c r="G98" s="39" t="s">
        <v>238</v>
      </c>
      <c r="H98" s="68">
        <v>0.5</v>
      </c>
      <c r="I98" s="5" t="s">
        <v>281</v>
      </c>
      <c r="J98" s="69" t="s">
        <v>44</v>
      </c>
      <c r="K98" s="6" t="s">
        <v>45</v>
      </c>
      <c r="L98" s="6" t="s">
        <v>46</v>
      </c>
      <c r="M98" s="38" t="s">
        <v>119</v>
      </c>
      <c r="N98" s="18">
        <v>0</v>
      </c>
      <c r="O98" s="11">
        <f>3600+3840-3720</f>
        <v>3720</v>
      </c>
      <c r="P98" s="11">
        <f t="shared" si="56"/>
        <v>7440</v>
      </c>
      <c r="Q98" s="11">
        <f t="shared" si="56"/>
        <v>7440</v>
      </c>
      <c r="R98" s="11">
        <f t="shared" si="56"/>
        <v>7440</v>
      </c>
      <c r="S98" s="9">
        <v>0</v>
      </c>
      <c r="T98" s="9">
        <v>0</v>
      </c>
      <c r="U98" s="70">
        <v>66.959999999999994</v>
      </c>
      <c r="V98" s="11">
        <v>0</v>
      </c>
      <c r="W98" s="11">
        <f t="shared" ref="W98" si="58">V98*1.12</f>
        <v>0</v>
      </c>
      <c r="X98" s="6" t="s">
        <v>48</v>
      </c>
      <c r="Y98" s="12" t="s">
        <v>32</v>
      </c>
      <c r="Z98" s="39" t="s">
        <v>405</v>
      </c>
      <c r="AB98" s="93"/>
    </row>
    <row r="99" spans="1:28" s="19" customFormat="1" ht="89.25" outlineLevel="1" x14ac:dyDescent="0.3">
      <c r="A99" s="39" t="s">
        <v>409</v>
      </c>
      <c r="B99" s="66" t="s">
        <v>25</v>
      </c>
      <c r="C99" s="69" t="s">
        <v>115</v>
      </c>
      <c r="D99" s="69" t="s">
        <v>116</v>
      </c>
      <c r="E99" s="5" t="s">
        <v>117</v>
      </c>
      <c r="F99" s="67" t="s">
        <v>121</v>
      </c>
      <c r="G99" s="39" t="s">
        <v>238</v>
      </c>
      <c r="H99" s="68">
        <v>0.5</v>
      </c>
      <c r="I99" s="5" t="s">
        <v>281</v>
      </c>
      <c r="J99" s="69" t="s">
        <v>44</v>
      </c>
      <c r="K99" s="6" t="s">
        <v>45</v>
      </c>
      <c r="L99" s="6" t="s">
        <v>46</v>
      </c>
      <c r="M99" s="38" t="s">
        <v>119</v>
      </c>
      <c r="N99" s="83">
        <v>0</v>
      </c>
      <c r="O99" s="84">
        <f>3600+3840-3720</f>
        <v>3720</v>
      </c>
      <c r="P99" s="84">
        <f t="shared" si="56"/>
        <v>7440</v>
      </c>
      <c r="Q99" s="84">
        <f t="shared" si="56"/>
        <v>7440</v>
      </c>
      <c r="R99" s="84">
        <f t="shared" si="56"/>
        <v>7440</v>
      </c>
      <c r="S99" s="9">
        <v>0</v>
      </c>
      <c r="T99" s="9">
        <v>0</v>
      </c>
      <c r="U99" s="84">
        <v>71.8</v>
      </c>
      <c r="V99" s="84">
        <v>0</v>
      </c>
      <c r="W99" s="84">
        <f t="shared" ref="W99" si="59">V99*1.12</f>
        <v>0</v>
      </c>
      <c r="X99" s="6" t="s">
        <v>48</v>
      </c>
      <c r="Y99" s="12" t="s">
        <v>32</v>
      </c>
      <c r="Z99" s="39" t="s">
        <v>468</v>
      </c>
      <c r="AA99" s="19" t="s">
        <v>460</v>
      </c>
      <c r="AB99" s="93"/>
    </row>
    <row r="100" spans="1:28" s="19" customFormat="1" ht="89.25" outlineLevel="1" x14ac:dyDescent="0.2">
      <c r="A100" s="39" t="s">
        <v>464</v>
      </c>
      <c r="B100" s="66" t="s">
        <v>25</v>
      </c>
      <c r="C100" s="69" t="s">
        <v>115</v>
      </c>
      <c r="D100" s="69" t="s">
        <v>116</v>
      </c>
      <c r="E100" s="5" t="s">
        <v>117</v>
      </c>
      <c r="F100" s="67" t="s">
        <v>121</v>
      </c>
      <c r="G100" s="39" t="s">
        <v>238</v>
      </c>
      <c r="H100" s="68">
        <v>0.5</v>
      </c>
      <c r="I100" s="5" t="s">
        <v>281</v>
      </c>
      <c r="J100" s="69" t="s">
        <v>22</v>
      </c>
      <c r="K100" s="6" t="s">
        <v>45</v>
      </c>
      <c r="L100" s="6" t="s">
        <v>46</v>
      </c>
      <c r="M100" s="38" t="s">
        <v>119</v>
      </c>
      <c r="N100" s="83">
        <v>0</v>
      </c>
      <c r="O100" s="84">
        <f>3600+3840-3720</f>
        <v>3720</v>
      </c>
      <c r="P100" s="84">
        <f t="shared" si="56"/>
        <v>7440</v>
      </c>
      <c r="Q100" s="84">
        <f t="shared" si="56"/>
        <v>7440</v>
      </c>
      <c r="R100" s="84">
        <f t="shared" si="56"/>
        <v>7440</v>
      </c>
      <c r="S100" s="9">
        <v>0</v>
      </c>
      <c r="T100" s="9">
        <v>0</v>
      </c>
      <c r="U100" s="84">
        <v>66.959999999999994</v>
      </c>
      <c r="V100" s="84">
        <f>(N100+O100+P100+Q100+R100+T100)*U100</f>
        <v>1743638.4</v>
      </c>
      <c r="W100" s="84">
        <f t="shared" ref="W100" si="60">V100*1.12</f>
        <v>1952875.0080000001</v>
      </c>
      <c r="X100" s="6" t="s">
        <v>48</v>
      </c>
      <c r="Y100" s="12" t="s">
        <v>32</v>
      </c>
      <c r="Z100" s="13"/>
      <c r="AA100" s="19" t="s">
        <v>460</v>
      </c>
      <c r="AB100" s="93"/>
    </row>
    <row r="101" spans="1:28" s="52" customFormat="1" ht="89.25" outlineLevel="1" x14ac:dyDescent="0.3">
      <c r="A101" s="15" t="s">
        <v>122</v>
      </c>
      <c r="B101" s="14" t="s">
        <v>25</v>
      </c>
      <c r="C101" s="1" t="s">
        <v>115</v>
      </c>
      <c r="D101" s="1" t="s">
        <v>116</v>
      </c>
      <c r="E101" s="2" t="s">
        <v>117</v>
      </c>
      <c r="F101" s="3" t="s">
        <v>123</v>
      </c>
      <c r="G101" s="15" t="s">
        <v>42</v>
      </c>
      <c r="H101" s="4">
        <v>0.5</v>
      </c>
      <c r="I101" s="2" t="s">
        <v>43</v>
      </c>
      <c r="J101" s="1" t="s">
        <v>44</v>
      </c>
      <c r="K101" s="7" t="s">
        <v>45</v>
      </c>
      <c r="L101" s="7" t="s">
        <v>46</v>
      </c>
      <c r="M101" s="8" t="s">
        <v>119</v>
      </c>
      <c r="N101" s="50">
        <v>0</v>
      </c>
      <c r="O101" s="9">
        <f t="shared" ref="O101:R105" si="61">4760+600+100</f>
        <v>5460</v>
      </c>
      <c r="P101" s="9">
        <f t="shared" si="61"/>
        <v>5460</v>
      </c>
      <c r="Q101" s="9">
        <f t="shared" si="61"/>
        <v>5460</v>
      </c>
      <c r="R101" s="9">
        <f t="shared" si="61"/>
        <v>5460</v>
      </c>
      <c r="S101" s="9">
        <v>0</v>
      </c>
      <c r="T101" s="9">
        <v>0</v>
      </c>
      <c r="U101" s="10">
        <v>329.46</v>
      </c>
      <c r="V101" s="9">
        <v>0</v>
      </c>
      <c r="W101" s="9">
        <f t="shared" si="2"/>
        <v>0</v>
      </c>
      <c r="X101" s="7" t="s">
        <v>48</v>
      </c>
      <c r="Y101" s="51" t="s">
        <v>32</v>
      </c>
      <c r="Z101" s="15" t="s">
        <v>187</v>
      </c>
      <c r="AB101" s="93"/>
    </row>
    <row r="102" spans="1:28" s="52" customFormat="1" ht="89.25" outlineLevel="1" x14ac:dyDescent="0.3">
      <c r="A102" s="15" t="s">
        <v>204</v>
      </c>
      <c r="B102" s="14" t="s">
        <v>25</v>
      </c>
      <c r="C102" s="1" t="s">
        <v>115</v>
      </c>
      <c r="D102" s="1" t="s">
        <v>116</v>
      </c>
      <c r="E102" s="2" t="s">
        <v>117</v>
      </c>
      <c r="F102" s="3" t="s">
        <v>123</v>
      </c>
      <c r="G102" s="15" t="s">
        <v>42</v>
      </c>
      <c r="H102" s="4">
        <v>0.5</v>
      </c>
      <c r="I102" s="2" t="s">
        <v>185</v>
      </c>
      <c r="J102" s="1" t="s">
        <v>44</v>
      </c>
      <c r="K102" s="7" t="s">
        <v>45</v>
      </c>
      <c r="L102" s="7" t="s">
        <v>46</v>
      </c>
      <c r="M102" s="8" t="s">
        <v>119</v>
      </c>
      <c r="N102" s="50">
        <v>0</v>
      </c>
      <c r="O102" s="9">
        <f t="shared" si="61"/>
        <v>5460</v>
      </c>
      <c r="P102" s="9">
        <f t="shared" si="61"/>
        <v>5460</v>
      </c>
      <c r="Q102" s="9">
        <f t="shared" si="61"/>
        <v>5460</v>
      </c>
      <c r="R102" s="9">
        <f t="shared" si="61"/>
        <v>5460</v>
      </c>
      <c r="S102" s="9">
        <v>0</v>
      </c>
      <c r="T102" s="9">
        <v>0</v>
      </c>
      <c r="U102" s="10">
        <v>258</v>
      </c>
      <c r="V102" s="9">
        <v>0</v>
      </c>
      <c r="W102" s="9">
        <f t="shared" ref="W102" si="62">V102*1.12</f>
        <v>0</v>
      </c>
      <c r="X102" s="7" t="s">
        <v>48</v>
      </c>
      <c r="Y102" s="51" t="s">
        <v>32</v>
      </c>
      <c r="Z102" s="15" t="s">
        <v>239</v>
      </c>
      <c r="AB102" s="93"/>
    </row>
    <row r="103" spans="1:28" s="19" customFormat="1" ht="89.25" outlineLevel="1" x14ac:dyDescent="0.3">
      <c r="A103" s="39" t="s">
        <v>254</v>
      </c>
      <c r="B103" s="66" t="s">
        <v>25</v>
      </c>
      <c r="C103" s="69" t="s">
        <v>115</v>
      </c>
      <c r="D103" s="69" t="s">
        <v>116</v>
      </c>
      <c r="E103" s="5" t="s">
        <v>117</v>
      </c>
      <c r="F103" s="67" t="s">
        <v>123</v>
      </c>
      <c r="G103" s="39" t="s">
        <v>238</v>
      </c>
      <c r="H103" s="68">
        <v>0.5</v>
      </c>
      <c r="I103" s="5" t="s">
        <v>281</v>
      </c>
      <c r="J103" s="69" t="s">
        <v>44</v>
      </c>
      <c r="K103" s="6" t="s">
        <v>45</v>
      </c>
      <c r="L103" s="6" t="s">
        <v>46</v>
      </c>
      <c r="M103" s="38" t="s">
        <v>119</v>
      </c>
      <c r="N103" s="18">
        <v>0</v>
      </c>
      <c r="O103" s="11">
        <f>4760+600+100-2730</f>
        <v>2730</v>
      </c>
      <c r="P103" s="11">
        <f t="shared" si="61"/>
        <v>5460</v>
      </c>
      <c r="Q103" s="11">
        <f t="shared" si="61"/>
        <v>5460</v>
      </c>
      <c r="R103" s="11">
        <f t="shared" si="61"/>
        <v>5460</v>
      </c>
      <c r="S103" s="9">
        <v>0</v>
      </c>
      <c r="T103" s="9">
        <v>0</v>
      </c>
      <c r="U103" s="70">
        <v>258</v>
      </c>
      <c r="V103" s="11">
        <v>0</v>
      </c>
      <c r="W103" s="11">
        <f t="shared" ref="W103" si="63">V103*1.12</f>
        <v>0</v>
      </c>
      <c r="X103" s="6" t="s">
        <v>48</v>
      </c>
      <c r="Y103" s="12" t="s">
        <v>32</v>
      </c>
      <c r="Z103" s="39" t="s">
        <v>405</v>
      </c>
      <c r="AB103" s="93"/>
    </row>
    <row r="104" spans="1:28" s="19" customFormat="1" ht="89.25" outlineLevel="1" x14ac:dyDescent="0.3">
      <c r="A104" s="39" t="s">
        <v>410</v>
      </c>
      <c r="B104" s="66" t="s">
        <v>25</v>
      </c>
      <c r="C104" s="69" t="s">
        <v>115</v>
      </c>
      <c r="D104" s="69" t="s">
        <v>116</v>
      </c>
      <c r="E104" s="5" t="s">
        <v>117</v>
      </c>
      <c r="F104" s="67" t="s">
        <v>123</v>
      </c>
      <c r="G104" s="39" t="s">
        <v>238</v>
      </c>
      <c r="H104" s="68">
        <v>0.5</v>
      </c>
      <c r="I104" s="5" t="s">
        <v>281</v>
      </c>
      <c r="J104" s="69" t="s">
        <v>44</v>
      </c>
      <c r="K104" s="6" t="s">
        <v>45</v>
      </c>
      <c r="L104" s="6" t="s">
        <v>46</v>
      </c>
      <c r="M104" s="38" t="s">
        <v>119</v>
      </c>
      <c r="N104" s="83">
        <v>0</v>
      </c>
      <c r="O104" s="84">
        <f>4760+600+100-2730</f>
        <v>2730</v>
      </c>
      <c r="P104" s="84">
        <f t="shared" si="61"/>
        <v>5460</v>
      </c>
      <c r="Q104" s="84">
        <f t="shared" si="61"/>
        <v>5460</v>
      </c>
      <c r="R104" s="84">
        <f t="shared" si="61"/>
        <v>5460</v>
      </c>
      <c r="S104" s="9">
        <v>0</v>
      </c>
      <c r="T104" s="9">
        <v>0</v>
      </c>
      <c r="U104" s="84">
        <v>152.69999999999999</v>
      </c>
      <c r="V104" s="84">
        <v>0</v>
      </c>
      <c r="W104" s="84">
        <f t="shared" ref="W104" si="64">V104*1.12</f>
        <v>0</v>
      </c>
      <c r="X104" s="6" t="s">
        <v>48</v>
      </c>
      <c r="Y104" s="12" t="s">
        <v>32</v>
      </c>
      <c r="Z104" s="39" t="s">
        <v>468</v>
      </c>
      <c r="AA104" s="19" t="s">
        <v>460</v>
      </c>
      <c r="AB104" s="93"/>
    </row>
    <row r="105" spans="1:28" s="19" customFormat="1" ht="89.25" outlineLevel="1" x14ac:dyDescent="0.2">
      <c r="A105" s="39" t="s">
        <v>465</v>
      </c>
      <c r="B105" s="66" t="s">
        <v>25</v>
      </c>
      <c r="C105" s="69" t="s">
        <v>115</v>
      </c>
      <c r="D105" s="69" t="s">
        <v>116</v>
      </c>
      <c r="E105" s="5" t="s">
        <v>117</v>
      </c>
      <c r="F105" s="67" t="s">
        <v>123</v>
      </c>
      <c r="G105" s="39" t="s">
        <v>238</v>
      </c>
      <c r="H105" s="68">
        <v>0.5</v>
      </c>
      <c r="I105" s="5" t="s">
        <v>281</v>
      </c>
      <c r="J105" s="69" t="s">
        <v>22</v>
      </c>
      <c r="K105" s="6" t="s">
        <v>45</v>
      </c>
      <c r="L105" s="6" t="s">
        <v>46</v>
      </c>
      <c r="M105" s="38" t="s">
        <v>119</v>
      </c>
      <c r="N105" s="83">
        <v>0</v>
      </c>
      <c r="O105" s="84">
        <f>4760+600+100-2730</f>
        <v>2730</v>
      </c>
      <c r="P105" s="84">
        <f t="shared" si="61"/>
        <v>5460</v>
      </c>
      <c r="Q105" s="84">
        <f t="shared" si="61"/>
        <v>5460</v>
      </c>
      <c r="R105" s="84">
        <f t="shared" si="61"/>
        <v>5460</v>
      </c>
      <c r="S105" s="9">
        <v>0</v>
      </c>
      <c r="T105" s="9">
        <v>0</v>
      </c>
      <c r="U105" s="84">
        <v>107.14</v>
      </c>
      <c r="V105" s="84">
        <f>(N105+O105+P105+Q105+R105+T105)*U105</f>
        <v>2047445.4</v>
      </c>
      <c r="W105" s="84">
        <f t="shared" ref="W105" si="65">V105*1.12</f>
        <v>2293138.8480000002</v>
      </c>
      <c r="X105" s="6" t="s">
        <v>48</v>
      </c>
      <c r="Y105" s="12" t="s">
        <v>32</v>
      </c>
      <c r="Z105" s="13"/>
      <c r="AA105" s="19" t="s">
        <v>460</v>
      </c>
      <c r="AB105" s="93"/>
    </row>
    <row r="106" spans="1:28" s="52" customFormat="1" ht="89.25" outlineLevel="1" x14ac:dyDescent="0.3">
      <c r="A106" s="15" t="s">
        <v>124</v>
      </c>
      <c r="B106" s="14" t="s">
        <v>25</v>
      </c>
      <c r="C106" s="1" t="s">
        <v>115</v>
      </c>
      <c r="D106" s="1" t="s">
        <v>116</v>
      </c>
      <c r="E106" s="2" t="s">
        <v>117</v>
      </c>
      <c r="F106" s="3" t="s">
        <v>125</v>
      </c>
      <c r="G106" s="15" t="s">
        <v>42</v>
      </c>
      <c r="H106" s="4">
        <v>0.5</v>
      </c>
      <c r="I106" s="2" t="s">
        <v>43</v>
      </c>
      <c r="J106" s="1" t="s">
        <v>44</v>
      </c>
      <c r="K106" s="7" t="s">
        <v>45</v>
      </c>
      <c r="L106" s="7" t="s">
        <v>46</v>
      </c>
      <c r="M106" s="8" t="s">
        <v>119</v>
      </c>
      <c r="N106" s="50">
        <v>0</v>
      </c>
      <c r="O106" s="9">
        <f t="shared" ref="O106:R110" si="66">3600+500+1224+12</f>
        <v>5336</v>
      </c>
      <c r="P106" s="9">
        <f t="shared" si="66"/>
        <v>5336</v>
      </c>
      <c r="Q106" s="9">
        <f t="shared" si="66"/>
        <v>5336</v>
      </c>
      <c r="R106" s="9">
        <f t="shared" si="66"/>
        <v>5336</v>
      </c>
      <c r="S106" s="9">
        <v>0</v>
      </c>
      <c r="T106" s="9">
        <v>0</v>
      </c>
      <c r="U106" s="10">
        <v>329.46</v>
      </c>
      <c r="V106" s="9">
        <v>0</v>
      </c>
      <c r="W106" s="9">
        <f t="shared" si="2"/>
        <v>0</v>
      </c>
      <c r="X106" s="7" t="s">
        <v>48</v>
      </c>
      <c r="Y106" s="51" t="s">
        <v>32</v>
      </c>
      <c r="Z106" s="15" t="s">
        <v>187</v>
      </c>
      <c r="AB106" s="93"/>
    </row>
    <row r="107" spans="1:28" s="52" customFormat="1" ht="89.25" outlineLevel="1" x14ac:dyDescent="0.3">
      <c r="A107" s="15" t="s">
        <v>205</v>
      </c>
      <c r="B107" s="14" t="s">
        <v>25</v>
      </c>
      <c r="C107" s="1" t="s">
        <v>115</v>
      </c>
      <c r="D107" s="1" t="s">
        <v>116</v>
      </c>
      <c r="E107" s="2" t="s">
        <v>117</v>
      </c>
      <c r="F107" s="3" t="s">
        <v>125</v>
      </c>
      <c r="G107" s="15" t="s">
        <v>42</v>
      </c>
      <c r="H107" s="4">
        <v>0.5</v>
      </c>
      <c r="I107" s="2" t="s">
        <v>185</v>
      </c>
      <c r="J107" s="1" t="s">
        <v>44</v>
      </c>
      <c r="K107" s="7" t="s">
        <v>45</v>
      </c>
      <c r="L107" s="7" t="s">
        <v>46</v>
      </c>
      <c r="M107" s="8" t="s">
        <v>119</v>
      </c>
      <c r="N107" s="50">
        <v>0</v>
      </c>
      <c r="O107" s="9">
        <f t="shared" si="66"/>
        <v>5336</v>
      </c>
      <c r="P107" s="9">
        <f t="shared" si="66"/>
        <v>5336</v>
      </c>
      <c r="Q107" s="9">
        <f t="shared" si="66"/>
        <v>5336</v>
      </c>
      <c r="R107" s="9">
        <f t="shared" si="66"/>
        <v>5336</v>
      </c>
      <c r="S107" s="9">
        <v>0</v>
      </c>
      <c r="T107" s="9">
        <v>0</v>
      </c>
      <c r="U107" s="10">
        <v>325</v>
      </c>
      <c r="V107" s="9">
        <v>0</v>
      </c>
      <c r="W107" s="9">
        <f t="shared" ref="W107" si="67">V107*1.12</f>
        <v>0</v>
      </c>
      <c r="X107" s="7" t="s">
        <v>48</v>
      </c>
      <c r="Y107" s="51" t="s">
        <v>32</v>
      </c>
      <c r="Z107" s="15" t="s">
        <v>239</v>
      </c>
      <c r="AB107" s="93"/>
    </row>
    <row r="108" spans="1:28" s="19" customFormat="1" ht="89.25" outlineLevel="1" x14ac:dyDescent="0.3">
      <c r="A108" s="39" t="s">
        <v>255</v>
      </c>
      <c r="B108" s="66" t="s">
        <v>25</v>
      </c>
      <c r="C108" s="69" t="s">
        <v>115</v>
      </c>
      <c r="D108" s="69" t="s">
        <v>116</v>
      </c>
      <c r="E108" s="5" t="s">
        <v>117</v>
      </c>
      <c r="F108" s="67" t="s">
        <v>125</v>
      </c>
      <c r="G108" s="39" t="s">
        <v>238</v>
      </c>
      <c r="H108" s="68">
        <v>0.5</v>
      </c>
      <c r="I108" s="5" t="s">
        <v>281</v>
      </c>
      <c r="J108" s="69" t="s">
        <v>44</v>
      </c>
      <c r="K108" s="6" t="s">
        <v>45</v>
      </c>
      <c r="L108" s="6" t="s">
        <v>46</v>
      </c>
      <c r="M108" s="38" t="s">
        <v>119</v>
      </c>
      <c r="N108" s="18">
        <v>0</v>
      </c>
      <c r="O108" s="11">
        <f>3600+500+1224+12-2668</f>
        <v>2668</v>
      </c>
      <c r="P108" s="11">
        <f t="shared" si="66"/>
        <v>5336</v>
      </c>
      <c r="Q108" s="11">
        <f t="shared" si="66"/>
        <v>5336</v>
      </c>
      <c r="R108" s="11">
        <f t="shared" si="66"/>
        <v>5336</v>
      </c>
      <c r="S108" s="9">
        <v>0</v>
      </c>
      <c r="T108" s="9">
        <v>0</v>
      </c>
      <c r="U108" s="70">
        <v>325</v>
      </c>
      <c r="V108" s="11">
        <v>0</v>
      </c>
      <c r="W108" s="11">
        <f t="shared" ref="W108" si="68">V108*1.12</f>
        <v>0</v>
      </c>
      <c r="X108" s="6" t="s">
        <v>48</v>
      </c>
      <c r="Y108" s="12" t="s">
        <v>32</v>
      </c>
      <c r="Z108" s="39" t="s">
        <v>405</v>
      </c>
      <c r="AB108" s="93"/>
    </row>
    <row r="109" spans="1:28" s="19" customFormat="1" ht="89.25" outlineLevel="1" x14ac:dyDescent="0.3">
      <c r="A109" s="39" t="s">
        <v>411</v>
      </c>
      <c r="B109" s="66" t="s">
        <v>25</v>
      </c>
      <c r="C109" s="69" t="s">
        <v>115</v>
      </c>
      <c r="D109" s="69" t="s">
        <v>116</v>
      </c>
      <c r="E109" s="5" t="s">
        <v>117</v>
      </c>
      <c r="F109" s="67" t="s">
        <v>125</v>
      </c>
      <c r="G109" s="39" t="s">
        <v>238</v>
      </c>
      <c r="H109" s="68">
        <v>0.5</v>
      </c>
      <c r="I109" s="5" t="s">
        <v>281</v>
      </c>
      <c r="J109" s="69" t="s">
        <v>44</v>
      </c>
      <c r="K109" s="6" t="s">
        <v>45</v>
      </c>
      <c r="L109" s="6" t="s">
        <v>46</v>
      </c>
      <c r="M109" s="38" t="s">
        <v>119</v>
      </c>
      <c r="N109" s="83">
        <v>0</v>
      </c>
      <c r="O109" s="84">
        <f>3600+500+1224+12-2668</f>
        <v>2668</v>
      </c>
      <c r="P109" s="84">
        <f t="shared" si="66"/>
        <v>5336</v>
      </c>
      <c r="Q109" s="84">
        <f t="shared" si="66"/>
        <v>5336</v>
      </c>
      <c r="R109" s="84">
        <f t="shared" si="66"/>
        <v>5336</v>
      </c>
      <c r="S109" s="9">
        <v>0</v>
      </c>
      <c r="T109" s="9">
        <v>0</v>
      </c>
      <c r="U109" s="84">
        <v>312.5</v>
      </c>
      <c r="V109" s="84">
        <v>0</v>
      </c>
      <c r="W109" s="84">
        <f t="shared" ref="W109" si="69">V109*1.12</f>
        <v>0</v>
      </c>
      <c r="X109" s="6" t="s">
        <v>48</v>
      </c>
      <c r="Y109" s="12" t="s">
        <v>32</v>
      </c>
      <c r="Z109" s="39" t="s">
        <v>468</v>
      </c>
      <c r="AA109" s="19" t="s">
        <v>460</v>
      </c>
      <c r="AB109" s="93"/>
    </row>
    <row r="110" spans="1:28" s="19" customFormat="1" ht="89.25" outlineLevel="1" x14ac:dyDescent="0.2">
      <c r="A110" s="39" t="s">
        <v>466</v>
      </c>
      <c r="B110" s="66" t="s">
        <v>25</v>
      </c>
      <c r="C110" s="69" t="s">
        <v>115</v>
      </c>
      <c r="D110" s="69" t="s">
        <v>116</v>
      </c>
      <c r="E110" s="5" t="s">
        <v>117</v>
      </c>
      <c r="F110" s="67" t="s">
        <v>125</v>
      </c>
      <c r="G110" s="39" t="s">
        <v>238</v>
      </c>
      <c r="H110" s="68">
        <v>0.5</v>
      </c>
      <c r="I110" s="5" t="s">
        <v>281</v>
      </c>
      <c r="J110" s="69" t="s">
        <v>22</v>
      </c>
      <c r="K110" s="6" t="s">
        <v>45</v>
      </c>
      <c r="L110" s="6" t="s">
        <v>46</v>
      </c>
      <c r="M110" s="38" t="s">
        <v>119</v>
      </c>
      <c r="N110" s="83">
        <v>0</v>
      </c>
      <c r="O110" s="84">
        <f>3600+500+1224+12-2668</f>
        <v>2668</v>
      </c>
      <c r="P110" s="84">
        <f t="shared" si="66"/>
        <v>5336</v>
      </c>
      <c r="Q110" s="84">
        <f t="shared" si="66"/>
        <v>5336</v>
      </c>
      <c r="R110" s="84">
        <f t="shared" si="66"/>
        <v>5336</v>
      </c>
      <c r="S110" s="9">
        <v>0</v>
      </c>
      <c r="T110" s="9">
        <v>0</v>
      </c>
      <c r="U110" s="84">
        <v>294.64</v>
      </c>
      <c r="V110" s="84">
        <f>(N110+O110+P110+Q110+R110+T110)*U110</f>
        <v>5502696.6399999997</v>
      </c>
      <c r="W110" s="84">
        <f t="shared" ref="W110" si="70">V110*1.12</f>
        <v>6163020.2368000001</v>
      </c>
      <c r="X110" s="6" t="s">
        <v>48</v>
      </c>
      <c r="Y110" s="12" t="s">
        <v>32</v>
      </c>
      <c r="Z110" s="13"/>
      <c r="AA110" s="19" t="s">
        <v>460</v>
      </c>
      <c r="AB110" s="93"/>
    </row>
    <row r="111" spans="1:28" s="52" customFormat="1" ht="89.25" outlineLevel="1" x14ac:dyDescent="0.3">
      <c r="A111" s="15" t="s">
        <v>126</v>
      </c>
      <c r="B111" s="14" t="s">
        <v>25</v>
      </c>
      <c r="C111" s="1" t="s">
        <v>110</v>
      </c>
      <c r="D111" s="1" t="s">
        <v>111</v>
      </c>
      <c r="E111" s="2" t="s">
        <v>112</v>
      </c>
      <c r="F111" s="3" t="s">
        <v>127</v>
      </c>
      <c r="G111" s="15" t="s">
        <v>42</v>
      </c>
      <c r="H111" s="4">
        <v>0.5</v>
      </c>
      <c r="I111" s="2" t="s">
        <v>43</v>
      </c>
      <c r="J111" s="1" t="s">
        <v>44</v>
      </c>
      <c r="K111" s="7" t="s">
        <v>45</v>
      </c>
      <c r="L111" s="7" t="s">
        <v>46</v>
      </c>
      <c r="M111" s="8" t="s">
        <v>128</v>
      </c>
      <c r="N111" s="50">
        <v>0</v>
      </c>
      <c r="O111" s="9">
        <f t="shared" ref="O111:R115" si="71">800+12+2020+12+3840-520</f>
        <v>6164</v>
      </c>
      <c r="P111" s="9">
        <f t="shared" si="71"/>
        <v>6164</v>
      </c>
      <c r="Q111" s="9">
        <f t="shared" si="71"/>
        <v>6164</v>
      </c>
      <c r="R111" s="9">
        <f t="shared" si="71"/>
        <v>6164</v>
      </c>
      <c r="S111" s="9">
        <v>0</v>
      </c>
      <c r="T111" s="9">
        <v>0</v>
      </c>
      <c r="U111" s="10">
        <v>250</v>
      </c>
      <c r="V111" s="9">
        <v>0</v>
      </c>
      <c r="W111" s="9">
        <f t="shared" si="2"/>
        <v>0</v>
      </c>
      <c r="X111" s="7" t="s">
        <v>48</v>
      </c>
      <c r="Y111" s="51" t="s">
        <v>32</v>
      </c>
      <c r="Z111" s="15" t="s">
        <v>187</v>
      </c>
      <c r="AB111" s="93"/>
    </row>
    <row r="112" spans="1:28" s="52" customFormat="1" ht="89.25" outlineLevel="1" x14ac:dyDescent="0.3">
      <c r="A112" s="15" t="s">
        <v>256</v>
      </c>
      <c r="B112" s="14" t="s">
        <v>25</v>
      </c>
      <c r="C112" s="1" t="s">
        <v>110</v>
      </c>
      <c r="D112" s="1" t="s">
        <v>111</v>
      </c>
      <c r="E112" s="2" t="s">
        <v>112</v>
      </c>
      <c r="F112" s="3" t="s">
        <v>127</v>
      </c>
      <c r="G112" s="15" t="s">
        <v>42</v>
      </c>
      <c r="H112" s="4">
        <v>0.5</v>
      </c>
      <c r="I112" s="2" t="s">
        <v>185</v>
      </c>
      <c r="J112" s="1" t="s">
        <v>44</v>
      </c>
      <c r="K112" s="7" t="s">
        <v>45</v>
      </c>
      <c r="L112" s="7" t="s">
        <v>46</v>
      </c>
      <c r="M112" s="8" t="s">
        <v>128</v>
      </c>
      <c r="N112" s="50">
        <v>0</v>
      </c>
      <c r="O112" s="9">
        <f t="shared" si="71"/>
        <v>6164</v>
      </c>
      <c r="P112" s="9">
        <f t="shared" si="71"/>
        <v>6164</v>
      </c>
      <c r="Q112" s="9">
        <f t="shared" si="71"/>
        <v>6164</v>
      </c>
      <c r="R112" s="9">
        <f t="shared" si="71"/>
        <v>6164</v>
      </c>
      <c r="S112" s="9">
        <v>0</v>
      </c>
      <c r="T112" s="9">
        <v>0</v>
      </c>
      <c r="U112" s="10">
        <v>225</v>
      </c>
      <c r="V112" s="9">
        <v>0</v>
      </c>
      <c r="W112" s="9">
        <f t="shared" ref="W112" si="72">V112*1.12</f>
        <v>0</v>
      </c>
      <c r="X112" s="7" t="s">
        <v>48</v>
      </c>
      <c r="Y112" s="51" t="s">
        <v>32</v>
      </c>
      <c r="Z112" s="15" t="s">
        <v>239</v>
      </c>
      <c r="AB112" s="93"/>
    </row>
    <row r="113" spans="1:28" s="19" customFormat="1" ht="89.25" outlineLevel="1" x14ac:dyDescent="0.3">
      <c r="A113" s="39" t="s">
        <v>257</v>
      </c>
      <c r="B113" s="66" t="s">
        <v>25</v>
      </c>
      <c r="C113" s="69" t="s">
        <v>110</v>
      </c>
      <c r="D113" s="69" t="s">
        <v>111</v>
      </c>
      <c r="E113" s="5" t="s">
        <v>112</v>
      </c>
      <c r="F113" s="67" t="s">
        <v>127</v>
      </c>
      <c r="G113" s="39" t="s">
        <v>238</v>
      </c>
      <c r="H113" s="68">
        <v>0.5</v>
      </c>
      <c r="I113" s="5" t="s">
        <v>281</v>
      </c>
      <c r="J113" s="69" t="s">
        <v>44</v>
      </c>
      <c r="K113" s="6" t="s">
        <v>45</v>
      </c>
      <c r="L113" s="6" t="s">
        <v>46</v>
      </c>
      <c r="M113" s="38" t="s">
        <v>128</v>
      </c>
      <c r="N113" s="18">
        <v>0</v>
      </c>
      <c r="O113" s="11">
        <f>800+12+2020+12+3840-520-3082</f>
        <v>3082</v>
      </c>
      <c r="P113" s="11">
        <f t="shared" si="71"/>
        <v>6164</v>
      </c>
      <c r="Q113" s="11">
        <f t="shared" si="71"/>
        <v>6164</v>
      </c>
      <c r="R113" s="11">
        <f t="shared" si="71"/>
        <v>6164</v>
      </c>
      <c r="S113" s="9">
        <v>0</v>
      </c>
      <c r="T113" s="9">
        <v>0</v>
      </c>
      <c r="U113" s="70">
        <v>225</v>
      </c>
      <c r="V113" s="11">
        <v>0</v>
      </c>
      <c r="W113" s="11">
        <f t="shared" ref="W113" si="73">V113*1.12</f>
        <v>0</v>
      </c>
      <c r="X113" s="6" t="s">
        <v>48</v>
      </c>
      <c r="Y113" s="12" t="s">
        <v>32</v>
      </c>
      <c r="Z113" s="39" t="s">
        <v>405</v>
      </c>
      <c r="AB113" s="93"/>
    </row>
    <row r="114" spans="1:28" s="19" customFormat="1" ht="89.25" outlineLevel="1" x14ac:dyDescent="0.3">
      <c r="A114" s="39" t="s">
        <v>412</v>
      </c>
      <c r="B114" s="66" t="s">
        <v>25</v>
      </c>
      <c r="C114" s="69" t="s">
        <v>110</v>
      </c>
      <c r="D114" s="69" t="s">
        <v>111</v>
      </c>
      <c r="E114" s="5" t="s">
        <v>112</v>
      </c>
      <c r="F114" s="67" t="s">
        <v>127</v>
      </c>
      <c r="G114" s="39" t="s">
        <v>238</v>
      </c>
      <c r="H114" s="68">
        <v>0.5</v>
      </c>
      <c r="I114" s="5" t="s">
        <v>281</v>
      </c>
      <c r="J114" s="69" t="s">
        <v>44</v>
      </c>
      <c r="K114" s="6" t="s">
        <v>45</v>
      </c>
      <c r="L114" s="6" t="s">
        <v>46</v>
      </c>
      <c r="M114" s="38" t="s">
        <v>128</v>
      </c>
      <c r="N114" s="83">
        <v>0</v>
      </c>
      <c r="O114" s="84">
        <f>800+12+2020+12+3840-520-3082</f>
        <v>3082</v>
      </c>
      <c r="P114" s="84">
        <f t="shared" si="71"/>
        <v>6164</v>
      </c>
      <c r="Q114" s="84">
        <f t="shared" si="71"/>
        <v>6164</v>
      </c>
      <c r="R114" s="84">
        <f t="shared" si="71"/>
        <v>6164</v>
      </c>
      <c r="S114" s="9">
        <v>0</v>
      </c>
      <c r="T114" s="9">
        <v>0</v>
      </c>
      <c r="U114" s="84">
        <v>259.11</v>
      </c>
      <c r="V114" s="84">
        <v>0</v>
      </c>
      <c r="W114" s="84">
        <f t="shared" ref="W114" si="74">V114*1.12</f>
        <v>0</v>
      </c>
      <c r="X114" s="6" t="s">
        <v>48</v>
      </c>
      <c r="Y114" s="12" t="s">
        <v>32</v>
      </c>
      <c r="Z114" s="39" t="s">
        <v>468</v>
      </c>
      <c r="AA114" s="19" t="s">
        <v>460</v>
      </c>
      <c r="AB114" s="93"/>
    </row>
    <row r="115" spans="1:28" s="19" customFormat="1" ht="89.25" outlineLevel="1" x14ac:dyDescent="0.2">
      <c r="A115" s="39" t="s">
        <v>467</v>
      </c>
      <c r="B115" s="66" t="s">
        <v>25</v>
      </c>
      <c r="C115" s="69" t="s">
        <v>110</v>
      </c>
      <c r="D115" s="69" t="s">
        <v>111</v>
      </c>
      <c r="E115" s="5" t="s">
        <v>112</v>
      </c>
      <c r="F115" s="67" t="s">
        <v>127</v>
      </c>
      <c r="G115" s="39" t="s">
        <v>238</v>
      </c>
      <c r="H115" s="68">
        <v>0.5</v>
      </c>
      <c r="I115" s="5" t="s">
        <v>281</v>
      </c>
      <c r="J115" s="69" t="s">
        <v>22</v>
      </c>
      <c r="K115" s="6" t="s">
        <v>45</v>
      </c>
      <c r="L115" s="6" t="s">
        <v>46</v>
      </c>
      <c r="M115" s="38" t="s">
        <v>128</v>
      </c>
      <c r="N115" s="83">
        <v>0</v>
      </c>
      <c r="O115" s="84">
        <f>800+12+2020+12+3840-520-3082</f>
        <v>3082</v>
      </c>
      <c r="P115" s="84">
        <f t="shared" si="71"/>
        <v>6164</v>
      </c>
      <c r="Q115" s="84">
        <f t="shared" si="71"/>
        <v>6164</v>
      </c>
      <c r="R115" s="84">
        <f t="shared" si="71"/>
        <v>6164</v>
      </c>
      <c r="S115" s="9">
        <v>0</v>
      </c>
      <c r="T115" s="9">
        <v>0</v>
      </c>
      <c r="U115" s="84">
        <v>196.43</v>
      </c>
      <c r="V115" s="84">
        <f>(N115+O115+P115+Q115+R115+T115)*U115</f>
        <v>4237780.82</v>
      </c>
      <c r="W115" s="84">
        <f t="shared" ref="W115" si="75">V115*1.12</f>
        <v>4746314.5184000004</v>
      </c>
      <c r="X115" s="6" t="s">
        <v>48</v>
      </c>
      <c r="Y115" s="12" t="s">
        <v>32</v>
      </c>
      <c r="Z115" s="13"/>
      <c r="AA115" s="19" t="s">
        <v>460</v>
      </c>
      <c r="AB115" s="93"/>
    </row>
    <row r="116" spans="1:28" s="52" customFormat="1" ht="89.25" outlineLevel="1" x14ac:dyDescent="0.3">
      <c r="A116" s="15" t="s">
        <v>129</v>
      </c>
      <c r="B116" s="14" t="s">
        <v>25</v>
      </c>
      <c r="C116" s="1" t="s">
        <v>130</v>
      </c>
      <c r="D116" s="1" t="s">
        <v>131</v>
      </c>
      <c r="E116" s="2" t="s">
        <v>132</v>
      </c>
      <c r="F116" s="3" t="s">
        <v>133</v>
      </c>
      <c r="G116" s="15" t="s">
        <v>42</v>
      </c>
      <c r="H116" s="4">
        <v>0.5</v>
      </c>
      <c r="I116" s="2" t="s">
        <v>43</v>
      </c>
      <c r="J116" s="1" t="s">
        <v>44</v>
      </c>
      <c r="K116" s="7" t="s">
        <v>45</v>
      </c>
      <c r="L116" s="7" t="s">
        <v>46</v>
      </c>
      <c r="M116" s="8" t="s">
        <v>104</v>
      </c>
      <c r="N116" s="50">
        <v>0</v>
      </c>
      <c r="O116" s="9">
        <f t="shared" ref="O116:R118" si="76">2600+17775+28+280+750+200+3500-450</f>
        <v>24683</v>
      </c>
      <c r="P116" s="9">
        <f t="shared" si="76"/>
        <v>24683</v>
      </c>
      <c r="Q116" s="9">
        <f t="shared" si="76"/>
        <v>24683</v>
      </c>
      <c r="R116" s="9">
        <f t="shared" si="76"/>
        <v>24683</v>
      </c>
      <c r="S116" s="9">
        <v>0</v>
      </c>
      <c r="T116" s="9">
        <v>0</v>
      </c>
      <c r="U116" s="10">
        <v>200.89</v>
      </c>
      <c r="V116" s="9">
        <v>0</v>
      </c>
      <c r="W116" s="9">
        <f t="shared" si="2"/>
        <v>0</v>
      </c>
      <c r="X116" s="7" t="s">
        <v>48</v>
      </c>
      <c r="Y116" s="51" t="s">
        <v>32</v>
      </c>
      <c r="Z116" s="15">
        <v>9</v>
      </c>
      <c r="AB116" s="93"/>
    </row>
    <row r="117" spans="1:28" s="52" customFormat="1" ht="89.25" outlineLevel="1" x14ac:dyDescent="0.3">
      <c r="A117" s="15" t="s">
        <v>206</v>
      </c>
      <c r="B117" s="14" t="s">
        <v>25</v>
      </c>
      <c r="C117" s="1" t="s">
        <v>130</v>
      </c>
      <c r="D117" s="1" t="s">
        <v>131</v>
      </c>
      <c r="E117" s="2" t="s">
        <v>132</v>
      </c>
      <c r="F117" s="3" t="s">
        <v>133</v>
      </c>
      <c r="G117" s="15" t="s">
        <v>42</v>
      </c>
      <c r="H117" s="4">
        <v>0.5</v>
      </c>
      <c r="I117" s="2" t="s">
        <v>185</v>
      </c>
      <c r="J117" s="1" t="s">
        <v>44</v>
      </c>
      <c r="K117" s="7" t="s">
        <v>45</v>
      </c>
      <c r="L117" s="7" t="s">
        <v>46</v>
      </c>
      <c r="M117" s="8" t="s">
        <v>104</v>
      </c>
      <c r="N117" s="50">
        <v>0</v>
      </c>
      <c r="O117" s="9">
        <f t="shared" si="76"/>
        <v>24683</v>
      </c>
      <c r="P117" s="9">
        <f t="shared" si="76"/>
        <v>24683</v>
      </c>
      <c r="Q117" s="9">
        <f t="shared" si="76"/>
        <v>24683</v>
      </c>
      <c r="R117" s="9">
        <f t="shared" si="76"/>
        <v>24683</v>
      </c>
      <c r="S117" s="9">
        <v>0</v>
      </c>
      <c r="T117" s="9">
        <v>0</v>
      </c>
      <c r="U117" s="10">
        <v>200.89</v>
      </c>
      <c r="V117" s="9">
        <v>0</v>
      </c>
      <c r="W117" s="9">
        <f t="shared" ref="W117" si="77">V117*1.12</f>
        <v>0</v>
      </c>
      <c r="X117" s="7" t="s">
        <v>48</v>
      </c>
      <c r="Y117" s="51" t="s">
        <v>32</v>
      </c>
      <c r="Z117" s="15" t="s">
        <v>239</v>
      </c>
      <c r="AB117" s="93"/>
    </row>
    <row r="118" spans="1:28" s="52" customFormat="1" ht="89.25" outlineLevel="1" x14ac:dyDescent="0.3">
      <c r="A118" s="15" t="s">
        <v>258</v>
      </c>
      <c r="B118" s="14" t="s">
        <v>25</v>
      </c>
      <c r="C118" s="1" t="s">
        <v>130</v>
      </c>
      <c r="D118" s="1" t="s">
        <v>131</v>
      </c>
      <c r="E118" s="2" t="s">
        <v>132</v>
      </c>
      <c r="F118" s="3" t="s">
        <v>133</v>
      </c>
      <c r="G118" s="15" t="s">
        <v>238</v>
      </c>
      <c r="H118" s="4">
        <v>0.5</v>
      </c>
      <c r="I118" s="2" t="s">
        <v>281</v>
      </c>
      <c r="J118" s="1" t="s">
        <v>44</v>
      </c>
      <c r="K118" s="7" t="s">
        <v>45</v>
      </c>
      <c r="L118" s="7" t="s">
        <v>46</v>
      </c>
      <c r="M118" s="8" t="s">
        <v>104</v>
      </c>
      <c r="N118" s="50">
        <v>0</v>
      </c>
      <c r="O118" s="9">
        <f>2600+17775+28+280+750+200+3500-450-12341</f>
        <v>12342</v>
      </c>
      <c r="P118" s="9">
        <f t="shared" si="76"/>
        <v>24683</v>
      </c>
      <c r="Q118" s="9">
        <f t="shared" si="76"/>
        <v>24683</v>
      </c>
      <c r="R118" s="9">
        <f t="shared" si="76"/>
        <v>24683</v>
      </c>
      <c r="S118" s="9">
        <v>0</v>
      </c>
      <c r="T118" s="9">
        <v>0</v>
      </c>
      <c r="U118" s="10">
        <v>200.89</v>
      </c>
      <c r="V118" s="9">
        <v>0</v>
      </c>
      <c r="W118" s="9">
        <f t="shared" ref="W118" si="78">V118*1.12</f>
        <v>0</v>
      </c>
      <c r="X118" s="7" t="s">
        <v>48</v>
      </c>
      <c r="Y118" s="51" t="s">
        <v>32</v>
      </c>
      <c r="Z118" s="15" t="s">
        <v>209</v>
      </c>
      <c r="AB118" s="93"/>
    </row>
    <row r="119" spans="1:28" s="52" customFormat="1" ht="89.25" outlineLevel="1" x14ac:dyDescent="0.3">
      <c r="A119" s="15" t="s">
        <v>134</v>
      </c>
      <c r="B119" s="14" t="s">
        <v>25</v>
      </c>
      <c r="C119" s="1" t="s">
        <v>130</v>
      </c>
      <c r="D119" s="1" t="s">
        <v>131</v>
      </c>
      <c r="E119" s="2" t="s">
        <v>132</v>
      </c>
      <c r="F119" s="3" t="s">
        <v>135</v>
      </c>
      <c r="G119" s="15" t="s">
        <v>42</v>
      </c>
      <c r="H119" s="4">
        <v>0.5</v>
      </c>
      <c r="I119" s="2" t="s">
        <v>43</v>
      </c>
      <c r="J119" s="1" t="s">
        <v>44</v>
      </c>
      <c r="K119" s="7" t="s">
        <v>45</v>
      </c>
      <c r="L119" s="7" t="s">
        <v>46</v>
      </c>
      <c r="M119" s="8" t="s">
        <v>104</v>
      </c>
      <c r="N119" s="50">
        <v>0</v>
      </c>
      <c r="O119" s="9">
        <f t="shared" ref="O119:R121" si="79">8+10+200+500+2400+199+150+500+4</f>
        <v>3971</v>
      </c>
      <c r="P119" s="9">
        <f t="shared" si="79"/>
        <v>3971</v>
      </c>
      <c r="Q119" s="9">
        <f t="shared" si="79"/>
        <v>3971</v>
      </c>
      <c r="R119" s="9">
        <f t="shared" si="79"/>
        <v>3971</v>
      </c>
      <c r="S119" s="9">
        <v>0</v>
      </c>
      <c r="T119" s="9">
        <v>0</v>
      </c>
      <c r="U119" s="10">
        <v>286.61</v>
      </c>
      <c r="V119" s="9">
        <v>0</v>
      </c>
      <c r="W119" s="9">
        <f t="shared" si="2"/>
        <v>0</v>
      </c>
      <c r="X119" s="7" t="s">
        <v>48</v>
      </c>
      <c r="Y119" s="51" t="s">
        <v>32</v>
      </c>
      <c r="Z119" s="15">
        <v>9</v>
      </c>
      <c r="AB119" s="93"/>
    </row>
    <row r="120" spans="1:28" s="52" customFormat="1" ht="89.25" outlineLevel="1" x14ac:dyDescent="0.3">
      <c r="A120" s="15" t="s">
        <v>207</v>
      </c>
      <c r="B120" s="14" t="s">
        <v>25</v>
      </c>
      <c r="C120" s="1" t="s">
        <v>130</v>
      </c>
      <c r="D120" s="1" t="s">
        <v>131</v>
      </c>
      <c r="E120" s="2" t="s">
        <v>132</v>
      </c>
      <c r="F120" s="3" t="s">
        <v>135</v>
      </c>
      <c r="G120" s="15" t="s">
        <v>42</v>
      </c>
      <c r="H120" s="4">
        <v>0.5</v>
      </c>
      <c r="I120" s="2" t="s">
        <v>185</v>
      </c>
      <c r="J120" s="1" t="s">
        <v>44</v>
      </c>
      <c r="K120" s="7" t="s">
        <v>45</v>
      </c>
      <c r="L120" s="7" t="s">
        <v>46</v>
      </c>
      <c r="M120" s="8" t="s">
        <v>104</v>
      </c>
      <c r="N120" s="50">
        <v>0</v>
      </c>
      <c r="O120" s="9">
        <f t="shared" si="79"/>
        <v>3971</v>
      </c>
      <c r="P120" s="9">
        <f t="shared" si="79"/>
        <v>3971</v>
      </c>
      <c r="Q120" s="9">
        <f t="shared" si="79"/>
        <v>3971</v>
      </c>
      <c r="R120" s="9">
        <f t="shared" si="79"/>
        <v>3971</v>
      </c>
      <c r="S120" s="9">
        <v>0</v>
      </c>
      <c r="T120" s="9">
        <v>0</v>
      </c>
      <c r="U120" s="10">
        <v>286.61</v>
      </c>
      <c r="V120" s="9">
        <v>0</v>
      </c>
      <c r="W120" s="9">
        <f t="shared" ref="W120" si="80">V120*1.12</f>
        <v>0</v>
      </c>
      <c r="X120" s="7" t="s">
        <v>48</v>
      </c>
      <c r="Y120" s="51" t="s">
        <v>32</v>
      </c>
      <c r="Z120" s="15" t="s">
        <v>239</v>
      </c>
      <c r="AB120" s="93"/>
    </row>
    <row r="121" spans="1:28" s="52" customFormat="1" ht="89.25" outlineLevel="1" x14ac:dyDescent="0.3">
      <c r="A121" s="15" t="s">
        <v>259</v>
      </c>
      <c r="B121" s="14" t="s">
        <v>25</v>
      </c>
      <c r="C121" s="1" t="s">
        <v>130</v>
      </c>
      <c r="D121" s="1" t="s">
        <v>131</v>
      </c>
      <c r="E121" s="2" t="s">
        <v>132</v>
      </c>
      <c r="F121" s="3" t="s">
        <v>135</v>
      </c>
      <c r="G121" s="15" t="s">
        <v>238</v>
      </c>
      <c r="H121" s="4">
        <v>0.5</v>
      </c>
      <c r="I121" s="2" t="s">
        <v>281</v>
      </c>
      <c r="J121" s="1" t="s">
        <v>44</v>
      </c>
      <c r="K121" s="7" t="s">
        <v>45</v>
      </c>
      <c r="L121" s="7" t="s">
        <v>46</v>
      </c>
      <c r="M121" s="8" t="s">
        <v>104</v>
      </c>
      <c r="N121" s="50">
        <v>0</v>
      </c>
      <c r="O121" s="9">
        <f>8+10+200+500+2400+199+150+500+4-1985</f>
        <v>1986</v>
      </c>
      <c r="P121" s="9">
        <f t="shared" si="79"/>
        <v>3971</v>
      </c>
      <c r="Q121" s="9">
        <f t="shared" si="79"/>
        <v>3971</v>
      </c>
      <c r="R121" s="9">
        <f t="shared" si="79"/>
        <v>3971</v>
      </c>
      <c r="S121" s="9">
        <v>0</v>
      </c>
      <c r="T121" s="9">
        <v>0</v>
      </c>
      <c r="U121" s="10">
        <v>286.61</v>
      </c>
      <c r="V121" s="9">
        <v>0</v>
      </c>
      <c r="W121" s="9">
        <f t="shared" ref="W121" si="81">V121*1.12</f>
        <v>0</v>
      </c>
      <c r="X121" s="7" t="s">
        <v>48</v>
      </c>
      <c r="Y121" s="51" t="s">
        <v>32</v>
      </c>
      <c r="Z121" s="15" t="s">
        <v>209</v>
      </c>
      <c r="AB121" s="93"/>
    </row>
    <row r="122" spans="1:28" s="52" customFormat="1" ht="89.25" outlineLevel="1" x14ac:dyDescent="0.3">
      <c r="A122" s="15" t="s">
        <v>136</v>
      </c>
      <c r="B122" s="14" t="s">
        <v>25</v>
      </c>
      <c r="C122" s="2" t="s">
        <v>137</v>
      </c>
      <c r="D122" s="2" t="s">
        <v>138</v>
      </c>
      <c r="E122" s="2" t="s">
        <v>139</v>
      </c>
      <c r="F122" s="3" t="s">
        <v>140</v>
      </c>
      <c r="G122" s="15" t="s">
        <v>42</v>
      </c>
      <c r="H122" s="4">
        <v>0.5</v>
      </c>
      <c r="I122" s="2" t="s">
        <v>43</v>
      </c>
      <c r="J122" s="1" t="s">
        <v>44</v>
      </c>
      <c r="K122" s="7" t="s">
        <v>45</v>
      </c>
      <c r="L122" s="7" t="s">
        <v>46</v>
      </c>
      <c r="M122" s="8" t="s">
        <v>141</v>
      </c>
      <c r="N122" s="50">
        <v>0</v>
      </c>
      <c r="O122" s="9">
        <f t="shared" ref="O122:R124" si="82">2304+4764+240+48+24+96+2352-504</f>
        <v>9324</v>
      </c>
      <c r="P122" s="9">
        <f t="shared" si="82"/>
        <v>9324</v>
      </c>
      <c r="Q122" s="9">
        <f t="shared" si="82"/>
        <v>9324</v>
      </c>
      <c r="R122" s="9">
        <f t="shared" si="82"/>
        <v>9324</v>
      </c>
      <c r="S122" s="9">
        <v>0</v>
      </c>
      <c r="T122" s="9">
        <v>0</v>
      </c>
      <c r="U122" s="10">
        <v>128.15</v>
      </c>
      <c r="V122" s="9">
        <v>0</v>
      </c>
      <c r="W122" s="9">
        <f t="shared" si="2"/>
        <v>0</v>
      </c>
      <c r="X122" s="7" t="s">
        <v>48</v>
      </c>
      <c r="Y122" s="51" t="s">
        <v>32</v>
      </c>
      <c r="Z122" s="15">
        <v>9</v>
      </c>
      <c r="AB122" s="93"/>
    </row>
    <row r="123" spans="1:28" s="52" customFormat="1" ht="89.25" outlineLevel="1" x14ac:dyDescent="0.3">
      <c r="A123" s="15" t="s">
        <v>208</v>
      </c>
      <c r="B123" s="14" t="s">
        <v>25</v>
      </c>
      <c r="C123" s="2" t="s">
        <v>137</v>
      </c>
      <c r="D123" s="2" t="s">
        <v>138</v>
      </c>
      <c r="E123" s="2" t="s">
        <v>139</v>
      </c>
      <c r="F123" s="3" t="s">
        <v>140</v>
      </c>
      <c r="G123" s="15" t="s">
        <v>42</v>
      </c>
      <c r="H123" s="4">
        <v>0.5</v>
      </c>
      <c r="I123" s="2" t="s">
        <v>185</v>
      </c>
      <c r="J123" s="1" t="s">
        <v>44</v>
      </c>
      <c r="K123" s="7" t="s">
        <v>45</v>
      </c>
      <c r="L123" s="7" t="s">
        <v>46</v>
      </c>
      <c r="M123" s="8" t="s">
        <v>141</v>
      </c>
      <c r="N123" s="50">
        <v>0</v>
      </c>
      <c r="O123" s="9">
        <f t="shared" si="82"/>
        <v>9324</v>
      </c>
      <c r="P123" s="9">
        <f t="shared" si="82"/>
        <v>9324</v>
      </c>
      <c r="Q123" s="9">
        <f t="shared" si="82"/>
        <v>9324</v>
      </c>
      <c r="R123" s="9">
        <f t="shared" si="82"/>
        <v>9324</v>
      </c>
      <c r="S123" s="9">
        <v>0</v>
      </c>
      <c r="T123" s="9">
        <v>0</v>
      </c>
      <c r="U123" s="10">
        <v>128.15</v>
      </c>
      <c r="V123" s="9">
        <v>0</v>
      </c>
      <c r="W123" s="9">
        <f t="shared" ref="W123" si="83">V123*1.12</f>
        <v>0</v>
      </c>
      <c r="X123" s="7" t="s">
        <v>48</v>
      </c>
      <c r="Y123" s="51" t="s">
        <v>32</v>
      </c>
      <c r="Z123" s="15">
        <v>7.9</v>
      </c>
      <c r="AB123" s="93"/>
    </row>
    <row r="124" spans="1:28" s="52" customFormat="1" ht="89.25" outlineLevel="1" x14ac:dyDescent="0.3">
      <c r="A124" s="15" t="s">
        <v>260</v>
      </c>
      <c r="B124" s="14" t="s">
        <v>25</v>
      </c>
      <c r="C124" s="2" t="s">
        <v>137</v>
      </c>
      <c r="D124" s="2" t="s">
        <v>138</v>
      </c>
      <c r="E124" s="2" t="s">
        <v>139</v>
      </c>
      <c r="F124" s="3" t="s">
        <v>140</v>
      </c>
      <c r="G124" s="15" t="s">
        <v>238</v>
      </c>
      <c r="H124" s="4">
        <v>0.5</v>
      </c>
      <c r="I124" s="2" t="s">
        <v>281</v>
      </c>
      <c r="J124" s="1" t="s">
        <v>44</v>
      </c>
      <c r="K124" s="7" t="s">
        <v>45</v>
      </c>
      <c r="L124" s="7" t="s">
        <v>46</v>
      </c>
      <c r="M124" s="8" t="s">
        <v>141</v>
      </c>
      <c r="N124" s="50">
        <v>0</v>
      </c>
      <c r="O124" s="9">
        <f t="shared" si="82"/>
        <v>9324</v>
      </c>
      <c r="P124" s="9">
        <f t="shared" si="82"/>
        <v>9324</v>
      </c>
      <c r="Q124" s="9">
        <f t="shared" si="82"/>
        <v>9324</v>
      </c>
      <c r="R124" s="9">
        <f t="shared" si="82"/>
        <v>9324</v>
      </c>
      <c r="S124" s="9">
        <v>0</v>
      </c>
      <c r="T124" s="9">
        <v>0</v>
      </c>
      <c r="U124" s="10">
        <v>128.15</v>
      </c>
      <c r="V124" s="9">
        <v>0</v>
      </c>
      <c r="W124" s="9">
        <f t="shared" ref="W124" si="84">V124*1.12</f>
        <v>0</v>
      </c>
      <c r="X124" s="7" t="s">
        <v>48</v>
      </c>
      <c r="Y124" s="51" t="s">
        <v>32</v>
      </c>
      <c r="Z124" s="15" t="s">
        <v>209</v>
      </c>
      <c r="AB124" s="93"/>
    </row>
    <row r="125" spans="1:28" s="52" customFormat="1" ht="89.25" outlineLevel="1" x14ac:dyDescent="0.3">
      <c r="A125" s="15" t="s">
        <v>142</v>
      </c>
      <c r="B125" s="14" t="s">
        <v>25</v>
      </c>
      <c r="C125" s="3" t="s">
        <v>143</v>
      </c>
      <c r="D125" s="3" t="s">
        <v>144</v>
      </c>
      <c r="E125" s="3" t="s">
        <v>145</v>
      </c>
      <c r="F125" s="3" t="s">
        <v>146</v>
      </c>
      <c r="G125" s="15" t="s">
        <v>42</v>
      </c>
      <c r="H125" s="4">
        <v>0.5</v>
      </c>
      <c r="I125" s="2" t="s">
        <v>43</v>
      </c>
      <c r="J125" s="1" t="s">
        <v>44</v>
      </c>
      <c r="K125" s="7" t="s">
        <v>45</v>
      </c>
      <c r="L125" s="7" t="s">
        <v>46</v>
      </c>
      <c r="M125" s="8" t="s">
        <v>73</v>
      </c>
      <c r="N125" s="50">
        <v>0</v>
      </c>
      <c r="O125" s="9">
        <f>1800+8+16+4+4692+40+112</f>
        <v>6672</v>
      </c>
      <c r="P125" s="9">
        <f>1800+8+16+4+4692+40+112</f>
        <v>6672</v>
      </c>
      <c r="Q125" s="9">
        <f>1800+8+16+4+4692+40+112</f>
        <v>6672</v>
      </c>
      <c r="R125" s="9">
        <f>1800+8+16+4+4692+40+112</f>
        <v>6672</v>
      </c>
      <c r="S125" s="9">
        <v>0</v>
      </c>
      <c r="T125" s="9">
        <v>0</v>
      </c>
      <c r="U125" s="10">
        <v>42.85</v>
      </c>
      <c r="V125" s="9">
        <v>0</v>
      </c>
      <c r="W125" s="9">
        <f t="shared" si="2"/>
        <v>0</v>
      </c>
      <c r="X125" s="7" t="s">
        <v>48</v>
      </c>
      <c r="Y125" s="51" t="s">
        <v>32</v>
      </c>
      <c r="Z125" s="15" t="s">
        <v>209</v>
      </c>
      <c r="AB125" s="93"/>
    </row>
    <row r="126" spans="1:28" s="52" customFormat="1" ht="102" outlineLevel="1" x14ac:dyDescent="0.3">
      <c r="A126" s="15" t="s">
        <v>147</v>
      </c>
      <c r="B126" s="14" t="s">
        <v>25</v>
      </c>
      <c r="C126" s="1" t="s">
        <v>148</v>
      </c>
      <c r="D126" s="1" t="s">
        <v>149</v>
      </c>
      <c r="E126" s="2" t="s">
        <v>150</v>
      </c>
      <c r="F126" s="3" t="s">
        <v>151</v>
      </c>
      <c r="G126" s="15" t="s">
        <v>42</v>
      </c>
      <c r="H126" s="4">
        <v>0.5</v>
      </c>
      <c r="I126" s="2" t="s">
        <v>43</v>
      </c>
      <c r="J126" s="1" t="s">
        <v>44</v>
      </c>
      <c r="K126" s="7" t="s">
        <v>45</v>
      </c>
      <c r="L126" s="7" t="s">
        <v>46</v>
      </c>
      <c r="M126" s="8" t="s">
        <v>73</v>
      </c>
      <c r="N126" s="50">
        <v>0</v>
      </c>
      <c r="O126" s="9">
        <f>196+40+8+3+4+291</f>
        <v>542</v>
      </c>
      <c r="P126" s="9">
        <f>196+40+8+3+4+291</f>
        <v>542</v>
      </c>
      <c r="Q126" s="9">
        <f>196+40+8+3+4+291</f>
        <v>542</v>
      </c>
      <c r="R126" s="9">
        <f>196+40+8+3+4+291</f>
        <v>542</v>
      </c>
      <c r="S126" s="9">
        <v>0</v>
      </c>
      <c r="T126" s="9">
        <v>0</v>
      </c>
      <c r="U126" s="10">
        <v>754.46</v>
      </c>
      <c r="V126" s="9">
        <v>0</v>
      </c>
      <c r="W126" s="9">
        <f t="shared" si="2"/>
        <v>0</v>
      </c>
      <c r="X126" s="7" t="s">
        <v>48</v>
      </c>
      <c r="Y126" s="51" t="s">
        <v>32</v>
      </c>
      <c r="Z126" s="15" t="s">
        <v>209</v>
      </c>
      <c r="AB126" s="93"/>
    </row>
    <row r="127" spans="1:28" s="52" customFormat="1" ht="89.25" outlineLevel="1" x14ac:dyDescent="0.3">
      <c r="A127" s="15" t="s">
        <v>152</v>
      </c>
      <c r="B127" s="14" t="s">
        <v>25</v>
      </c>
      <c r="C127" s="1" t="s">
        <v>50</v>
      </c>
      <c r="D127" s="1" t="s">
        <v>39</v>
      </c>
      <c r="E127" s="2" t="s">
        <v>40</v>
      </c>
      <c r="F127" s="3" t="s">
        <v>56</v>
      </c>
      <c r="G127" s="15" t="s">
        <v>42</v>
      </c>
      <c r="H127" s="4">
        <v>0.5</v>
      </c>
      <c r="I127" s="2" t="s">
        <v>43</v>
      </c>
      <c r="J127" s="1" t="s">
        <v>153</v>
      </c>
      <c r="K127" s="7" t="s">
        <v>45</v>
      </c>
      <c r="L127" s="7" t="s">
        <v>46</v>
      </c>
      <c r="M127" s="8" t="s">
        <v>51</v>
      </c>
      <c r="N127" s="50">
        <v>0</v>
      </c>
      <c r="O127" s="9">
        <v>342</v>
      </c>
      <c r="P127" s="9">
        <v>342</v>
      </c>
      <c r="Q127" s="9">
        <v>342</v>
      </c>
      <c r="R127" s="9">
        <v>342</v>
      </c>
      <c r="S127" s="9">
        <v>0</v>
      </c>
      <c r="T127" s="9">
        <v>0</v>
      </c>
      <c r="U127" s="10">
        <v>319.76</v>
      </c>
      <c r="V127" s="9">
        <v>0</v>
      </c>
      <c r="W127" s="9">
        <f t="shared" si="2"/>
        <v>0</v>
      </c>
      <c r="X127" s="7" t="s">
        <v>48</v>
      </c>
      <c r="Y127" s="51" t="s">
        <v>32</v>
      </c>
      <c r="Z127" s="15" t="s">
        <v>187</v>
      </c>
      <c r="AB127" s="93"/>
    </row>
    <row r="128" spans="1:28" s="52" customFormat="1" ht="89.25" outlineLevel="1" x14ac:dyDescent="0.3">
      <c r="A128" s="15" t="s">
        <v>210</v>
      </c>
      <c r="B128" s="14" t="s">
        <v>25</v>
      </c>
      <c r="C128" s="1" t="s">
        <v>50</v>
      </c>
      <c r="D128" s="1" t="s">
        <v>39</v>
      </c>
      <c r="E128" s="2" t="s">
        <v>40</v>
      </c>
      <c r="F128" s="3" t="s">
        <v>56</v>
      </c>
      <c r="G128" s="15" t="s">
        <v>42</v>
      </c>
      <c r="H128" s="4">
        <v>0.5</v>
      </c>
      <c r="I128" s="2" t="s">
        <v>185</v>
      </c>
      <c r="J128" s="1" t="s">
        <v>153</v>
      </c>
      <c r="K128" s="7" t="s">
        <v>45</v>
      </c>
      <c r="L128" s="7" t="s">
        <v>46</v>
      </c>
      <c r="M128" s="8" t="s">
        <v>51</v>
      </c>
      <c r="N128" s="50">
        <v>0</v>
      </c>
      <c r="O128" s="9">
        <v>342</v>
      </c>
      <c r="P128" s="9">
        <v>342</v>
      </c>
      <c r="Q128" s="9">
        <v>342</v>
      </c>
      <c r="R128" s="9">
        <v>342</v>
      </c>
      <c r="S128" s="9">
        <v>0</v>
      </c>
      <c r="T128" s="9">
        <v>0</v>
      </c>
      <c r="U128" s="10">
        <v>287.69</v>
      </c>
      <c r="V128" s="9">
        <v>0</v>
      </c>
      <c r="W128" s="9">
        <f t="shared" ref="W128" si="85">V128*1.12</f>
        <v>0</v>
      </c>
      <c r="X128" s="7" t="s">
        <v>48</v>
      </c>
      <c r="Y128" s="51" t="s">
        <v>32</v>
      </c>
      <c r="Z128" s="15" t="s">
        <v>239</v>
      </c>
      <c r="AB128" s="93"/>
    </row>
    <row r="129" spans="1:28" s="52" customFormat="1" ht="89.25" outlineLevel="1" x14ac:dyDescent="0.3">
      <c r="A129" s="15" t="s">
        <v>261</v>
      </c>
      <c r="B129" s="14" t="s">
        <v>25</v>
      </c>
      <c r="C129" s="1" t="s">
        <v>50</v>
      </c>
      <c r="D129" s="1" t="s">
        <v>39</v>
      </c>
      <c r="E129" s="2" t="s">
        <v>40</v>
      </c>
      <c r="F129" s="3" t="s">
        <v>56</v>
      </c>
      <c r="G129" s="15" t="s">
        <v>238</v>
      </c>
      <c r="H129" s="4">
        <v>0.5</v>
      </c>
      <c r="I129" s="2" t="s">
        <v>281</v>
      </c>
      <c r="J129" s="1" t="s">
        <v>153</v>
      </c>
      <c r="K129" s="7" t="s">
        <v>45</v>
      </c>
      <c r="L129" s="7" t="s">
        <v>46</v>
      </c>
      <c r="M129" s="8" t="s">
        <v>51</v>
      </c>
      <c r="N129" s="50">
        <v>0</v>
      </c>
      <c r="O129" s="9">
        <f>342-171</f>
        <v>171</v>
      </c>
      <c r="P129" s="9">
        <v>342</v>
      </c>
      <c r="Q129" s="9">
        <v>342</v>
      </c>
      <c r="R129" s="9">
        <v>342</v>
      </c>
      <c r="S129" s="9">
        <v>0</v>
      </c>
      <c r="T129" s="9">
        <v>0</v>
      </c>
      <c r="U129" s="10">
        <v>287.69</v>
      </c>
      <c r="V129" s="9">
        <v>0</v>
      </c>
      <c r="W129" s="9">
        <f t="shared" ref="W129" si="86">V129*1.12</f>
        <v>0</v>
      </c>
      <c r="X129" s="7" t="s">
        <v>48</v>
      </c>
      <c r="Y129" s="51" t="s">
        <v>32</v>
      </c>
      <c r="Z129" s="15" t="s">
        <v>209</v>
      </c>
      <c r="AB129" s="93"/>
    </row>
    <row r="130" spans="1:28" s="52" customFormat="1" ht="89.25" outlineLevel="1" x14ac:dyDescent="0.3">
      <c r="A130" s="15" t="s">
        <v>154</v>
      </c>
      <c r="B130" s="14" t="s">
        <v>25</v>
      </c>
      <c r="C130" s="1" t="s">
        <v>53</v>
      </c>
      <c r="D130" s="1" t="s">
        <v>54</v>
      </c>
      <c r="E130" s="2" t="s">
        <v>55</v>
      </c>
      <c r="F130" s="3" t="s">
        <v>56</v>
      </c>
      <c r="G130" s="15" t="s">
        <v>42</v>
      </c>
      <c r="H130" s="4">
        <v>0.5</v>
      </c>
      <c r="I130" s="2" t="s">
        <v>43</v>
      </c>
      <c r="J130" s="1" t="s">
        <v>153</v>
      </c>
      <c r="K130" s="7" t="s">
        <v>45</v>
      </c>
      <c r="L130" s="7" t="s">
        <v>46</v>
      </c>
      <c r="M130" s="8" t="s">
        <v>51</v>
      </c>
      <c r="N130" s="50">
        <v>0</v>
      </c>
      <c r="O130" s="9">
        <v>660</v>
      </c>
      <c r="P130" s="9">
        <v>660</v>
      </c>
      <c r="Q130" s="9">
        <v>660</v>
      </c>
      <c r="R130" s="9">
        <v>660</v>
      </c>
      <c r="S130" s="9">
        <v>0</v>
      </c>
      <c r="T130" s="9">
        <v>0</v>
      </c>
      <c r="U130" s="10">
        <v>395.18</v>
      </c>
      <c r="V130" s="9">
        <v>0</v>
      </c>
      <c r="W130" s="9">
        <f t="shared" si="2"/>
        <v>0</v>
      </c>
      <c r="X130" s="7" t="s">
        <v>48</v>
      </c>
      <c r="Y130" s="51" t="s">
        <v>32</v>
      </c>
      <c r="Z130" s="15" t="s">
        <v>187</v>
      </c>
      <c r="AB130" s="93"/>
    </row>
    <row r="131" spans="1:28" s="52" customFormat="1" ht="89.25" outlineLevel="1" x14ac:dyDescent="0.3">
      <c r="A131" s="15" t="s">
        <v>211</v>
      </c>
      <c r="B131" s="14" t="s">
        <v>25</v>
      </c>
      <c r="C131" s="1" t="s">
        <v>53</v>
      </c>
      <c r="D131" s="1" t="s">
        <v>54</v>
      </c>
      <c r="E131" s="2" t="s">
        <v>55</v>
      </c>
      <c r="F131" s="3" t="s">
        <v>56</v>
      </c>
      <c r="G131" s="15" t="s">
        <v>42</v>
      </c>
      <c r="H131" s="4">
        <v>0.5</v>
      </c>
      <c r="I131" s="2" t="s">
        <v>185</v>
      </c>
      <c r="J131" s="1" t="s">
        <v>153</v>
      </c>
      <c r="K131" s="7" t="s">
        <v>45</v>
      </c>
      <c r="L131" s="7" t="s">
        <v>46</v>
      </c>
      <c r="M131" s="8" t="s">
        <v>51</v>
      </c>
      <c r="N131" s="50">
        <v>0</v>
      </c>
      <c r="O131" s="9">
        <v>660</v>
      </c>
      <c r="P131" s="9">
        <v>660</v>
      </c>
      <c r="Q131" s="9">
        <v>660</v>
      </c>
      <c r="R131" s="9">
        <v>660</v>
      </c>
      <c r="S131" s="9">
        <v>0</v>
      </c>
      <c r="T131" s="9">
        <v>0</v>
      </c>
      <c r="U131" s="10">
        <v>298</v>
      </c>
      <c r="V131" s="9">
        <v>0</v>
      </c>
      <c r="W131" s="9">
        <f t="shared" ref="W131" si="87">V131*1.12</f>
        <v>0</v>
      </c>
      <c r="X131" s="7" t="s">
        <v>48</v>
      </c>
      <c r="Y131" s="51" t="s">
        <v>32</v>
      </c>
      <c r="Z131" s="15" t="s">
        <v>239</v>
      </c>
      <c r="AB131" s="93"/>
    </row>
    <row r="132" spans="1:28" s="52" customFormat="1" ht="89.25" outlineLevel="1" x14ac:dyDescent="0.3">
      <c r="A132" s="15" t="s">
        <v>262</v>
      </c>
      <c r="B132" s="14" t="s">
        <v>25</v>
      </c>
      <c r="C132" s="1" t="s">
        <v>53</v>
      </c>
      <c r="D132" s="1" t="s">
        <v>54</v>
      </c>
      <c r="E132" s="2" t="s">
        <v>55</v>
      </c>
      <c r="F132" s="3" t="s">
        <v>56</v>
      </c>
      <c r="G132" s="15" t="s">
        <v>238</v>
      </c>
      <c r="H132" s="4">
        <v>0.5</v>
      </c>
      <c r="I132" s="2" t="s">
        <v>281</v>
      </c>
      <c r="J132" s="1" t="s">
        <v>153</v>
      </c>
      <c r="K132" s="7" t="s">
        <v>45</v>
      </c>
      <c r="L132" s="7" t="s">
        <v>46</v>
      </c>
      <c r="M132" s="8" t="s">
        <v>51</v>
      </c>
      <c r="N132" s="50">
        <v>0</v>
      </c>
      <c r="O132" s="9">
        <f>660-330</f>
        <v>330</v>
      </c>
      <c r="P132" s="9">
        <v>660</v>
      </c>
      <c r="Q132" s="9">
        <v>660</v>
      </c>
      <c r="R132" s="9">
        <v>660</v>
      </c>
      <c r="S132" s="9">
        <v>0</v>
      </c>
      <c r="T132" s="9">
        <v>0</v>
      </c>
      <c r="U132" s="10">
        <v>298</v>
      </c>
      <c r="V132" s="9">
        <v>0</v>
      </c>
      <c r="W132" s="9">
        <f t="shared" ref="W132" si="88">V132*1.12</f>
        <v>0</v>
      </c>
      <c r="X132" s="7" t="s">
        <v>48</v>
      </c>
      <c r="Y132" s="51" t="s">
        <v>32</v>
      </c>
      <c r="Z132" s="15" t="s">
        <v>209</v>
      </c>
      <c r="AB132" s="93"/>
    </row>
    <row r="133" spans="1:28" s="52" customFormat="1" ht="89.25" outlineLevel="1" x14ac:dyDescent="0.3">
      <c r="A133" s="15" t="s">
        <v>155</v>
      </c>
      <c r="B133" s="14" t="s">
        <v>25</v>
      </c>
      <c r="C133" s="1" t="s">
        <v>95</v>
      </c>
      <c r="D133" s="1" t="s">
        <v>96</v>
      </c>
      <c r="E133" s="2" t="s">
        <v>97</v>
      </c>
      <c r="F133" s="3" t="s">
        <v>56</v>
      </c>
      <c r="G133" s="15" t="s">
        <v>42</v>
      </c>
      <c r="H133" s="4">
        <v>0.5</v>
      </c>
      <c r="I133" s="2" t="s">
        <v>43</v>
      </c>
      <c r="J133" s="1" t="s">
        <v>153</v>
      </c>
      <c r="K133" s="7" t="s">
        <v>45</v>
      </c>
      <c r="L133" s="7" t="s">
        <v>46</v>
      </c>
      <c r="M133" s="8" t="s">
        <v>51</v>
      </c>
      <c r="N133" s="50">
        <v>0</v>
      </c>
      <c r="O133" s="9">
        <v>344</v>
      </c>
      <c r="P133" s="9">
        <v>344</v>
      </c>
      <c r="Q133" s="9">
        <v>344</v>
      </c>
      <c r="R133" s="9">
        <v>344</v>
      </c>
      <c r="S133" s="9">
        <v>0</v>
      </c>
      <c r="T133" s="9">
        <v>0</v>
      </c>
      <c r="U133" s="10">
        <v>555.70000000000005</v>
      </c>
      <c r="V133" s="9">
        <v>0</v>
      </c>
      <c r="W133" s="9">
        <f t="shared" si="2"/>
        <v>0</v>
      </c>
      <c r="X133" s="7" t="s">
        <v>48</v>
      </c>
      <c r="Y133" s="51" t="s">
        <v>32</v>
      </c>
      <c r="Z133" s="15" t="s">
        <v>187</v>
      </c>
      <c r="AB133" s="93"/>
    </row>
    <row r="134" spans="1:28" s="52" customFormat="1" ht="89.25" outlineLevel="1" x14ac:dyDescent="0.3">
      <c r="A134" s="15" t="s">
        <v>212</v>
      </c>
      <c r="B134" s="14" t="s">
        <v>25</v>
      </c>
      <c r="C134" s="1" t="s">
        <v>95</v>
      </c>
      <c r="D134" s="1" t="s">
        <v>96</v>
      </c>
      <c r="E134" s="2" t="s">
        <v>97</v>
      </c>
      <c r="F134" s="3" t="s">
        <v>56</v>
      </c>
      <c r="G134" s="15" t="s">
        <v>42</v>
      </c>
      <c r="H134" s="4">
        <v>0.5</v>
      </c>
      <c r="I134" s="2" t="s">
        <v>185</v>
      </c>
      <c r="J134" s="1" t="s">
        <v>153</v>
      </c>
      <c r="K134" s="7" t="s">
        <v>45</v>
      </c>
      <c r="L134" s="7" t="s">
        <v>46</v>
      </c>
      <c r="M134" s="8" t="s">
        <v>51</v>
      </c>
      <c r="N134" s="50">
        <v>0</v>
      </c>
      <c r="O134" s="9">
        <v>344</v>
      </c>
      <c r="P134" s="9">
        <v>344</v>
      </c>
      <c r="Q134" s="9">
        <v>344</v>
      </c>
      <c r="R134" s="9">
        <v>344</v>
      </c>
      <c r="S134" s="9">
        <v>0</v>
      </c>
      <c r="T134" s="9">
        <v>0</v>
      </c>
      <c r="U134" s="10">
        <v>324</v>
      </c>
      <c r="V134" s="9">
        <v>0</v>
      </c>
      <c r="W134" s="9">
        <f t="shared" ref="W134" si="89">V134*1.12</f>
        <v>0</v>
      </c>
      <c r="X134" s="7" t="s">
        <v>48</v>
      </c>
      <c r="Y134" s="51" t="s">
        <v>32</v>
      </c>
      <c r="Z134" s="15" t="s">
        <v>239</v>
      </c>
      <c r="AB134" s="93"/>
    </row>
    <row r="135" spans="1:28" s="52" customFormat="1" ht="89.25" outlineLevel="1" x14ac:dyDescent="0.3">
      <c r="A135" s="15" t="s">
        <v>263</v>
      </c>
      <c r="B135" s="14" t="s">
        <v>25</v>
      </c>
      <c r="C135" s="1" t="s">
        <v>95</v>
      </c>
      <c r="D135" s="1" t="s">
        <v>96</v>
      </c>
      <c r="E135" s="2" t="s">
        <v>97</v>
      </c>
      <c r="F135" s="3" t="s">
        <v>56</v>
      </c>
      <c r="G135" s="15" t="s">
        <v>238</v>
      </c>
      <c r="H135" s="4">
        <v>0.5</v>
      </c>
      <c r="I135" s="2" t="s">
        <v>281</v>
      </c>
      <c r="J135" s="1" t="s">
        <v>153</v>
      </c>
      <c r="K135" s="7" t="s">
        <v>45</v>
      </c>
      <c r="L135" s="7" t="s">
        <v>46</v>
      </c>
      <c r="M135" s="8" t="s">
        <v>51</v>
      </c>
      <c r="N135" s="50">
        <v>0</v>
      </c>
      <c r="O135" s="9">
        <v>172</v>
      </c>
      <c r="P135" s="9">
        <v>344</v>
      </c>
      <c r="Q135" s="9">
        <v>344</v>
      </c>
      <c r="R135" s="9">
        <v>344</v>
      </c>
      <c r="S135" s="9">
        <v>0</v>
      </c>
      <c r="T135" s="9">
        <v>0</v>
      </c>
      <c r="U135" s="10">
        <v>324</v>
      </c>
      <c r="V135" s="9">
        <v>0</v>
      </c>
      <c r="W135" s="9">
        <f t="shared" ref="W135" si="90">V135*1.12</f>
        <v>0</v>
      </c>
      <c r="X135" s="7" t="s">
        <v>48</v>
      </c>
      <c r="Y135" s="51" t="s">
        <v>32</v>
      </c>
      <c r="Z135" s="15" t="s">
        <v>209</v>
      </c>
      <c r="AB135" s="93"/>
    </row>
    <row r="136" spans="1:28" s="52" customFormat="1" ht="153" outlineLevel="1" x14ac:dyDescent="0.3">
      <c r="A136" s="15" t="s">
        <v>156</v>
      </c>
      <c r="B136" s="14" t="s">
        <v>25</v>
      </c>
      <c r="C136" s="1" t="s">
        <v>64</v>
      </c>
      <c r="D136" s="1" t="s">
        <v>65</v>
      </c>
      <c r="E136" s="2" t="s">
        <v>66</v>
      </c>
      <c r="F136" s="3" t="s">
        <v>67</v>
      </c>
      <c r="G136" s="15" t="s">
        <v>42</v>
      </c>
      <c r="H136" s="4">
        <v>0.5</v>
      </c>
      <c r="I136" s="2" t="s">
        <v>43</v>
      </c>
      <c r="J136" s="1" t="s">
        <v>153</v>
      </c>
      <c r="K136" s="7" t="s">
        <v>45</v>
      </c>
      <c r="L136" s="7" t="s">
        <v>46</v>
      </c>
      <c r="M136" s="8" t="s">
        <v>51</v>
      </c>
      <c r="N136" s="50">
        <v>0</v>
      </c>
      <c r="O136" s="9">
        <v>198</v>
      </c>
      <c r="P136" s="9">
        <v>198</v>
      </c>
      <c r="Q136" s="9">
        <v>198</v>
      </c>
      <c r="R136" s="9">
        <v>198</v>
      </c>
      <c r="S136" s="9">
        <v>0</v>
      </c>
      <c r="T136" s="9">
        <v>0</v>
      </c>
      <c r="U136" s="10">
        <v>128.57</v>
      </c>
      <c r="V136" s="9">
        <v>0</v>
      </c>
      <c r="W136" s="9">
        <f t="shared" si="2"/>
        <v>0</v>
      </c>
      <c r="X136" s="7" t="s">
        <v>48</v>
      </c>
      <c r="Y136" s="51" t="s">
        <v>32</v>
      </c>
      <c r="Z136" s="15" t="s">
        <v>187</v>
      </c>
      <c r="AB136" s="93"/>
    </row>
    <row r="137" spans="1:28" s="52" customFormat="1" ht="153" outlineLevel="1" x14ac:dyDescent="0.3">
      <c r="A137" s="15" t="s">
        <v>213</v>
      </c>
      <c r="B137" s="14" t="s">
        <v>25</v>
      </c>
      <c r="C137" s="1" t="s">
        <v>64</v>
      </c>
      <c r="D137" s="1" t="s">
        <v>65</v>
      </c>
      <c r="E137" s="2" t="s">
        <v>66</v>
      </c>
      <c r="F137" s="3" t="s">
        <v>67</v>
      </c>
      <c r="G137" s="15" t="s">
        <v>42</v>
      </c>
      <c r="H137" s="4">
        <v>0.5</v>
      </c>
      <c r="I137" s="2" t="s">
        <v>185</v>
      </c>
      <c r="J137" s="1" t="s">
        <v>153</v>
      </c>
      <c r="K137" s="7" t="s">
        <v>45</v>
      </c>
      <c r="L137" s="7" t="s">
        <v>46</v>
      </c>
      <c r="M137" s="8" t="s">
        <v>51</v>
      </c>
      <c r="N137" s="50">
        <v>0</v>
      </c>
      <c r="O137" s="9">
        <v>198</v>
      </c>
      <c r="P137" s="9">
        <v>198</v>
      </c>
      <c r="Q137" s="9">
        <v>198</v>
      </c>
      <c r="R137" s="9">
        <v>198</v>
      </c>
      <c r="S137" s="9">
        <v>0</v>
      </c>
      <c r="T137" s="9">
        <v>0</v>
      </c>
      <c r="U137" s="10">
        <v>117.5</v>
      </c>
      <c r="V137" s="9">
        <v>0</v>
      </c>
      <c r="W137" s="9">
        <f t="shared" ref="W137" si="91">V137*1.12</f>
        <v>0</v>
      </c>
      <c r="X137" s="7" t="s">
        <v>48</v>
      </c>
      <c r="Y137" s="51" t="s">
        <v>32</v>
      </c>
      <c r="Z137" s="15">
        <v>7.9</v>
      </c>
      <c r="AB137" s="93"/>
    </row>
    <row r="138" spans="1:28" s="52" customFormat="1" ht="153" outlineLevel="1" x14ac:dyDescent="0.3">
      <c r="A138" s="15" t="s">
        <v>264</v>
      </c>
      <c r="B138" s="14" t="s">
        <v>25</v>
      </c>
      <c r="C138" s="1" t="s">
        <v>64</v>
      </c>
      <c r="D138" s="1" t="s">
        <v>65</v>
      </c>
      <c r="E138" s="2" t="s">
        <v>66</v>
      </c>
      <c r="F138" s="3" t="s">
        <v>67</v>
      </c>
      <c r="G138" s="15" t="s">
        <v>238</v>
      </c>
      <c r="H138" s="4">
        <v>0.5</v>
      </c>
      <c r="I138" s="2" t="s">
        <v>281</v>
      </c>
      <c r="J138" s="1" t="s">
        <v>153</v>
      </c>
      <c r="K138" s="7" t="s">
        <v>45</v>
      </c>
      <c r="L138" s="7" t="s">
        <v>46</v>
      </c>
      <c r="M138" s="8" t="s">
        <v>51</v>
      </c>
      <c r="N138" s="50">
        <v>0</v>
      </c>
      <c r="O138" s="9">
        <v>198</v>
      </c>
      <c r="P138" s="9">
        <v>198</v>
      </c>
      <c r="Q138" s="9">
        <v>198</v>
      </c>
      <c r="R138" s="9">
        <v>198</v>
      </c>
      <c r="S138" s="9">
        <v>0</v>
      </c>
      <c r="T138" s="9">
        <v>0</v>
      </c>
      <c r="U138" s="10">
        <v>117.5</v>
      </c>
      <c r="V138" s="9">
        <v>0</v>
      </c>
      <c r="W138" s="9">
        <f t="shared" ref="W138" si="92">V138*1.12</f>
        <v>0</v>
      </c>
      <c r="X138" s="7" t="s">
        <v>48</v>
      </c>
      <c r="Y138" s="51" t="s">
        <v>32</v>
      </c>
      <c r="Z138" s="15" t="s">
        <v>209</v>
      </c>
      <c r="AB138" s="93"/>
    </row>
    <row r="139" spans="1:28" s="52" customFormat="1" ht="89.25" outlineLevel="1" x14ac:dyDescent="0.3">
      <c r="A139" s="15" t="s">
        <v>157</v>
      </c>
      <c r="B139" s="14" t="s">
        <v>25</v>
      </c>
      <c r="C139" s="1" t="s">
        <v>83</v>
      </c>
      <c r="D139" s="1" t="s">
        <v>84</v>
      </c>
      <c r="E139" s="2" t="s">
        <v>85</v>
      </c>
      <c r="F139" s="3" t="s">
        <v>158</v>
      </c>
      <c r="G139" s="15" t="s">
        <v>42</v>
      </c>
      <c r="H139" s="4">
        <v>0.5</v>
      </c>
      <c r="I139" s="2" t="s">
        <v>43</v>
      </c>
      <c r="J139" s="1" t="s">
        <v>153</v>
      </c>
      <c r="K139" s="7" t="s">
        <v>45</v>
      </c>
      <c r="L139" s="7" t="s">
        <v>46</v>
      </c>
      <c r="M139" s="8" t="s">
        <v>73</v>
      </c>
      <c r="N139" s="50">
        <v>0</v>
      </c>
      <c r="O139" s="9">
        <v>376</v>
      </c>
      <c r="P139" s="9">
        <v>376</v>
      </c>
      <c r="Q139" s="9">
        <v>376</v>
      </c>
      <c r="R139" s="9">
        <v>376</v>
      </c>
      <c r="S139" s="9">
        <v>0</v>
      </c>
      <c r="T139" s="9">
        <v>0</v>
      </c>
      <c r="U139" s="10">
        <v>697.15</v>
      </c>
      <c r="V139" s="9">
        <v>0</v>
      </c>
      <c r="W139" s="9">
        <f t="shared" si="2"/>
        <v>0</v>
      </c>
      <c r="X139" s="7" t="s">
        <v>48</v>
      </c>
      <c r="Y139" s="51" t="s">
        <v>32</v>
      </c>
      <c r="Z139" s="15" t="s">
        <v>187</v>
      </c>
      <c r="AB139" s="93"/>
    </row>
    <row r="140" spans="1:28" s="52" customFormat="1" ht="89.25" outlineLevel="1" x14ac:dyDescent="0.3">
      <c r="A140" s="15" t="s">
        <v>214</v>
      </c>
      <c r="B140" s="14" t="s">
        <v>25</v>
      </c>
      <c r="C140" s="1" t="s">
        <v>83</v>
      </c>
      <c r="D140" s="1" t="s">
        <v>84</v>
      </c>
      <c r="E140" s="2" t="s">
        <v>85</v>
      </c>
      <c r="F140" s="3" t="s">
        <v>158</v>
      </c>
      <c r="G140" s="15" t="s">
        <v>42</v>
      </c>
      <c r="H140" s="4">
        <v>0.5</v>
      </c>
      <c r="I140" s="2" t="s">
        <v>185</v>
      </c>
      <c r="J140" s="1" t="s">
        <v>153</v>
      </c>
      <c r="K140" s="7" t="s">
        <v>45</v>
      </c>
      <c r="L140" s="7" t="s">
        <v>46</v>
      </c>
      <c r="M140" s="8" t="s">
        <v>73</v>
      </c>
      <c r="N140" s="50">
        <v>0</v>
      </c>
      <c r="O140" s="9">
        <v>376</v>
      </c>
      <c r="P140" s="9">
        <v>376</v>
      </c>
      <c r="Q140" s="9">
        <v>376</v>
      </c>
      <c r="R140" s="9">
        <v>376</v>
      </c>
      <c r="S140" s="9">
        <v>0</v>
      </c>
      <c r="T140" s="9">
        <v>0</v>
      </c>
      <c r="U140" s="10">
        <v>457.33</v>
      </c>
      <c r="V140" s="9">
        <v>0</v>
      </c>
      <c r="W140" s="9">
        <f t="shared" ref="W140" si="93">V140*1.12</f>
        <v>0</v>
      </c>
      <c r="X140" s="7" t="s">
        <v>48</v>
      </c>
      <c r="Y140" s="51" t="s">
        <v>32</v>
      </c>
      <c r="Z140" s="15">
        <v>7.9</v>
      </c>
      <c r="AB140" s="93"/>
    </row>
    <row r="141" spans="1:28" s="52" customFormat="1" ht="89.25" outlineLevel="1" x14ac:dyDescent="0.3">
      <c r="A141" s="15" t="s">
        <v>265</v>
      </c>
      <c r="B141" s="14" t="s">
        <v>25</v>
      </c>
      <c r="C141" s="1" t="s">
        <v>83</v>
      </c>
      <c r="D141" s="1" t="s">
        <v>84</v>
      </c>
      <c r="E141" s="2" t="s">
        <v>85</v>
      </c>
      <c r="F141" s="3" t="s">
        <v>158</v>
      </c>
      <c r="G141" s="15" t="s">
        <v>238</v>
      </c>
      <c r="H141" s="4">
        <v>0.5</v>
      </c>
      <c r="I141" s="2" t="s">
        <v>281</v>
      </c>
      <c r="J141" s="1" t="s">
        <v>153</v>
      </c>
      <c r="K141" s="7" t="s">
        <v>45</v>
      </c>
      <c r="L141" s="7" t="s">
        <v>46</v>
      </c>
      <c r="M141" s="8" t="s">
        <v>73</v>
      </c>
      <c r="N141" s="50">
        <v>0</v>
      </c>
      <c r="O141" s="9">
        <v>376</v>
      </c>
      <c r="P141" s="9">
        <v>376</v>
      </c>
      <c r="Q141" s="9">
        <v>376</v>
      </c>
      <c r="R141" s="9">
        <v>376</v>
      </c>
      <c r="S141" s="9">
        <v>0</v>
      </c>
      <c r="T141" s="9">
        <v>0</v>
      </c>
      <c r="U141" s="10">
        <v>457.33</v>
      </c>
      <c r="V141" s="9">
        <v>0</v>
      </c>
      <c r="W141" s="9">
        <f t="shared" ref="W141" si="94">V141*1.12</f>
        <v>0</v>
      </c>
      <c r="X141" s="7" t="s">
        <v>48</v>
      </c>
      <c r="Y141" s="51" t="s">
        <v>32</v>
      </c>
      <c r="Z141" s="15" t="s">
        <v>209</v>
      </c>
      <c r="AB141" s="93"/>
    </row>
    <row r="142" spans="1:28" s="52" customFormat="1" ht="89.25" outlineLevel="1" x14ac:dyDescent="0.3">
      <c r="A142" s="15" t="s">
        <v>159</v>
      </c>
      <c r="B142" s="14" t="s">
        <v>25</v>
      </c>
      <c r="C142" s="1" t="s">
        <v>160</v>
      </c>
      <c r="D142" s="1" t="s">
        <v>101</v>
      </c>
      <c r="E142" s="2" t="s">
        <v>161</v>
      </c>
      <c r="F142" s="3"/>
      <c r="G142" s="15" t="s">
        <v>42</v>
      </c>
      <c r="H142" s="4">
        <v>0.5</v>
      </c>
      <c r="I142" s="2" t="s">
        <v>43</v>
      </c>
      <c r="J142" s="1" t="s">
        <v>153</v>
      </c>
      <c r="K142" s="7" t="s">
        <v>45</v>
      </c>
      <c r="L142" s="7" t="s">
        <v>46</v>
      </c>
      <c r="M142" s="8" t="s">
        <v>104</v>
      </c>
      <c r="N142" s="50">
        <v>0</v>
      </c>
      <c r="O142" s="9">
        <v>3577</v>
      </c>
      <c r="P142" s="9">
        <v>3577</v>
      </c>
      <c r="Q142" s="9">
        <v>3577</v>
      </c>
      <c r="R142" s="9">
        <v>3577</v>
      </c>
      <c r="S142" s="9">
        <v>0</v>
      </c>
      <c r="T142" s="9">
        <v>0</v>
      </c>
      <c r="U142" s="10">
        <v>40.22</v>
      </c>
      <c r="V142" s="9">
        <v>0</v>
      </c>
      <c r="W142" s="9">
        <f t="shared" si="2"/>
        <v>0</v>
      </c>
      <c r="X142" s="7" t="s">
        <v>48</v>
      </c>
      <c r="Y142" s="51" t="s">
        <v>32</v>
      </c>
      <c r="Z142" s="15">
        <v>9</v>
      </c>
      <c r="AB142" s="93"/>
    </row>
    <row r="143" spans="1:28" s="52" customFormat="1" ht="89.25" outlineLevel="1" x14ac:dyDescent="0.3">
      <c r="A143" s="15" t="s">
        <v>215</v>
      </c>
      <c r="B143" s="14" t="s">
        <v>25</v>
      </c>
      <c r="C143" s="1" t="s">
        <v>160</v>
      </c>
      <c r="D143" s="1" t="s">
        <v>101</v>
      </c>
      <c r="E143" s="2" t="s">
        <v>161</v>
      </c>
      <c r="F143" s="3"/>
      <c r="G143" s="15" t="s">
        <v>42</v>
      </c>
      <c r="H143" s="4">
        <v>0.5</v>
      </c>
      <c r="I143" s="2" t="s">
        <v>185</v>
      </c>
      <c r="J143" s="1" t="s">
        <v>153</v>
      </c>
      <c r="K143" s="7" t="s">
        <v>45</v>
      </c>
      <c r="L143" s="7" t="s">
        <v>46</v>
      </c>
      <c r="M143" s="8" t="s">
        <v>104</v>
      </c>
      <c r="N143" s="50">
        <v>0</v>
      </c>
      <c r="O143" s="9">
        <v>3577</v>
      </c>
      <c r="P143" s="9">
        <v>3577</v>
      </c>
      <c r="Q143" s="9">
        <v>3577</v>
      </c>
      <c r="R143" s="9">
        <v>3577</v>
      </c>
      <c r="S143" s="9">
        <v>0</v>
      </c>
      <c r="T143" s="9">
        <v>0</v>
      </c>
      <c r="U143" s="10">
        <v>40.22</v>
      </c>
      <c r="V143" s="9">
        <v>0</v>
      </c>
      <c r="W143" s="9">
        <f t="shared" ref="W143" si="95">V143*1.12</f>
        <v>0</v>
      </c>
      <c r="X143" s="7" t="s">
        <v>48</v>
      </c>
      <c r="Y143" s="51" t="s">
        <v>32</v>
      </c>
      <c r="Z143" s="15" t="s">
        <v>239</v>
      </c>
      <c r="AB143" s="93"/>
    </row>
    <row r="144" spans="1:28" s="52" customFormat="1" ht="89.25" outlineLevel="1" x14ac:dyDescent="0.3">
      <c r="A144" s="15" t="s">
        <v>266</v>
      </c>
      <c r="B144" s="14" t="s">
        <v>25</v>
      </c>
      <c r="C144" s="1" t="s">
        <v>160</v>
      </c>
      <c r="D144" s="1" t="s">
        <v>101</v>
      </c>
      <c r="E144" s="2" t="s">
        <v>161</v>
      </c>
      <c r="F144" s="3"/>
      <c r="G144" s="15" t="s">
        <v>238</v>
      </c>
      <c r="H144" s="4">
        <v>0.5</v>
      </c>
      <c r="I144" s="2" t="s">
        <v>281</v>
      </c>
      <c r="J144" s="1" t="s">
        <v>153</v>
      </c>
      <c r="K144" s="7" t="s">
        <v>45</v>
      </c>
      <c r="L144" s="7" t="s">
        <v>46</v>
      </c>
      <c r="M144" s="8" t="s">
        <v>104</v>
      </c>
      <c r="N144" s="50">
        <v>0</v>
      </c>
      <c r="O144" s="9">
        <f>3577-1788</f>
        <v>1789</v>
      </c>
      <c r="P144" s="9">
        <v>3577</v>
      </c>
      <c r="Q144" s="9">
        <v>3577</v>
      </c>
      <c r="R144" s="9">
        <v>3577</v>
      </c>
      <c r="S144" s="9">
        <v>0</v>
      </c>
      <c r="T144" s="9">
        <v>0</v>
      </c>
      <c r="U144" s="10">
        <v>40.22</v>
      </c>
      <c r="V144" s="9">
        <v>0</v>
      </c>
      <c r="W144" s="9">
        <f t="shared" ref="W144" si="96">V144*1.12</f>
        <v>0</v>
      </c>
      <c r="X144" s="7" t="s">
        <v>48</v>
      </c>
      <c r="Y144" s="51" t="s">
        <v>32</v>
      </c>
      <c r="Z144" s="15" t="s">
        <v>209</v>
      </c>
      <c r="AB144" s="93"/>
    </row>
    <row r="145" spans="1:28" s="52" customFormat="1" ht="89.25" outlineLevel="1" x14ac:dyDescent="0.3">
      <c r="A145" s="15" t="s">
        <v>162</v>
      </c>
      <c r="B145" s="14" t="s">
        <v>25</v>
      </c>
      <c r="C145" s="1" t="s">
        <v>106</v>
      </c>
      <c r="D145" s="1" t="s">
        <v>101</v>
      </c>
      <c r="E145" s="2" t="s">
        <v>107</v>
      </c>
      <c r="F145" s="3" t="s">
        <v>163</v>
      </c>
      <c r="G145" s="15" t="s">
        <v>42</v>
      </c>
      <c r="H145" s="4">
        <v>0.5</v>
      </c>
      <c r="I145" s="2" t="s">
        <v>43</v>
      </c>
      <c r="J145" s="1" t="s">
        <v>153</v>
      </c>
      <c r="K145" s="7" t="s">
        <v>45</v>
      </c>
      <c r="L145" s="7" t="s">
        <v>46</v>
      </c>
      <c r="M145" s="8" t="s">
        <v>104</v>
      </c>
      <c r="N145" s="50">
        <v>0</v>
      </c>
      <c r="O145" s="9">
        <v>1697</v>
      </c>
      <c r="P145" s="9">
        <v>1697</v>
      </c>
      <c r="Q145" s="9">
        <v>1697</v>
      </c>
      <c r="R145" s="9">
        <v>1697</v>
      </c>
      <c r="S145" s="9">
        <v>0</v>
      </c>
      <c r="T145" s="9">
        <v>0</v>
      </c>
      <c r="U145" s="10">
        <v>49.56</v>
      </c>
      <c r="V145" s="9">
        <v>0</v>
      </c>
      <c r="W145" s="9">
        <f t="shared" si="2"/>
        <v>0</v>
      </c>
      <c r="X145" s="7" t="s">
        <v>48</v>
      </c>
      <c r="Y145" s="51" t="s">
        <v>32</v>
      </c>
      <c r="Z145" s="15">
        <v>9</v>
      </c>
      <c r="AB145" s="93"/>
    </row>
    <row r="146" spans="1:28" s="52" customFormat="1" ht="89.25" outlineLevel="1" x14ac:dyDescent="0.3">
      <c r="A146" s="15" t="s">
        <v>216</v>
      </c>
      <c r="B146" s="14" t="s">
        <v>25</v>
      </c>
      <c r="C146" s="1" t="s">
        <v>106</v>
      </c>
      <c r="D146" s="1" t="s">
        <v>101</v>
      </c>
      <c r="E146" s="2" t="s">
        <v>107</v>
      </c>
      <c r="F146" s="3" t="s">
        <v>163</v>
      </c>
      <c r="G146" s="15" t="s">
        <v>42</v>
      </c>
      <c r="H146" s="4">
        <v>0.5</v>
      </c>
      <c r="I146" s="2" t="s">
        <v>185</v>
      </c>
      <c r="J146" s="1" t="s">
        <v>153</v>
      </c>
      <c r="K146" s="7" t="s">
        <v>45</v>
      </c>
      <c r="L146" s="7" t="s">
        <v>46</v>
      </c>
      <c r="M146" s="8" t="s">
        <v>104</v>
      </c>
      <c r="N146" s="50">
        <v>0</v>
      </c>
      <c r="O146" s="9">
        <v>1697</v>
      </c>
      <c r="P146" s="9">
        <v>1697</v>
      </c>
      <c r="Q146" s="9">
        <v>1697</v>
      </c>
      <c r="R146" s="9">
        <v>1697</v>
      </c>
      <c r="S146" s="9">
        <v>0</v>
      </c>
      <c r="T146" s="9">
        <v>0</v>
      </c>
      <c r="U146" s="10">
        <v>49.56</v>
      </c>
      <c r="V146" s="9">
        <v>0</v>
      </c>
      <c r="W146" s="9">
        <f t="shared" ref="W146" si="97">V146*1.12</f>
        <v>0</v>
      </c>
      <c r="X146" s="7" t="s">
        <v>48</v>
      </c>
      <c r="Y146" s="51" t="s">
        <v>32</v>
      </c>
      <c r="Z146" s="15" t="s">
        <v>239</v>
      </c>
      <c r="AB146" s="93"/>
    </row>
    <row r="147" spans="1:28" s="52" customFormat="1" ht="89.25" outlineLevel="1" x14ac:dyDescent="0.3">
      <c r="A147" s="15" t="s">
        <v>267</v>
      </c>
      <c r="B147" s="14" t="s">
        <v>25</v>
      </c>
      <c r="C147" s="1" t="s">
        <v>106</v>
      </c>
      <c r="D147" s="1" t="s">
        <v>101</v>
      </c>
      <c r="E147" s="2" t="s">
        <v>107</v>
      </c>
      <c r="F147" s="3" t="s">
        <v>163</v>
      </c>
      <c r="G147" s="15" t="s">
        <v>238</v>
      </c>
      <c r="H147" s="4">
        <v>0.5</v>
      </c>
      <c r="I147" s="2" t="s">
        <v>281</v>
      </c>
      <c r="J147" s="1" t="s">
        <v>153</v>
      </c>
      <c r="K147" s="7" t="s">
        <v>45</v>
      </c>
      <c r="L147" s="7" t="s">
        <v>46</v>
      </c>
      <c r="M147" s="8" t="s">
        <v>104</v>
      </c>
      <c r="N147" s="50">
        <v>0</v>
      </c>
      <c r="O147" s="9">
        <f>1697-848</f>
        <v>849</v>
      </c>
      <c r="P147" s="9">
        <v>1697</v>
      </c>
      <c r="Q147" s="9">
        <v>1697</v>
      </c>
      <c r="R147" s="9">
        <v>1697</v>
      </c>
      <c r="S147" s="9">
        <v>0</v>
      </c>
      <c r="T147" s="9">
        <v>0</v>
      </c>
      <c r="U147" s="10">
        <v>49.56</v>
      </c>
      <c r="V147" s="9">
        <v>0</v>
      </c>
      <c r="W147" s="9">
        <f t="shared" ref="W147" si="98">V147*1.12</f>
        <v>0</v>
      </c>
      <c r="X147" s="7" t="s">
        <v>48</v>
      </c>
      <c r="Y147" s="51" t="s">
        <v>32</v>
      </c>
      <c r="Z147" s="15" t="s">
        <v>209</v>
      </c>
      <c r="AB147" s="93"/>
    </row>
    <row r="148" spans="1:28" s="52" customFormat="1" ht="89.25" outlineLevel="1" x14ac:dyDescent="0.3">
      <c r="A148" s="15" t="s">
        <v>164</v>
      </c>
      <c r="B148" s="14" t="s">
        <v>25</v>
      </c>
      <c r="C148" s="1" t="s">
        <v>115</v>
      </c>
      <c r="D148" s="1" t="s">
        <v>116</v>
      </c>
      <c r="E148" s="2" t="s">
        <v>117</v>
      </c>
      <c r="F148" s="3" t="s">
        <v>165</v>
      </c>
      <c r="G148" s="15" t="s">
        <v>42</v>
      </c>
      <c r="H148" s="4">
        <v>0.5</v>
      </c>
      <c r="I148" s="2" t="s">
        <v>43</v>
      </c>
      <c r="J148" s="1" t="s">
        <v>153</v>
      </c>
      <c r="K148" s="7" t="s">
        <v>45</v>
      </c>
      <c r="L148" s="7" t="s">
        <v>46</v>
      </c>
      <c r="M148" s="8" t="s">
        <v>119</v>
      </c>
      <c r="N148" s="50">
        <v>0</v>
      </c>
      <c r="O148" s="9">
        <v>1610</v>
      </c>
      <c r="P148" s="9">
        <v>1610</v>
      </c>
      <c r="Q148" s="9">
        <v>1610</v>
      </c>
      <c r="R148" s="9">
        <v>1610</v>
      </c>
      <c r="S148" s="9">
        <v>0</v>
      </c>
      <c r="T148" s="9">
        <v>0</v>
      </c>
      <c r="U148" s="10">
        <v>68.89</v>
      </c>
      <c r="V148" s="9">
        <v>0</v>
      </c>
      <c r="W148" s="9">
        <f t="shared" si="2"/>
        <v>0</v>
      </c>
      <c r="X148" s="7" t="s">
        <v>48</v>
      </c>
      <c r="Y148" s="51" t="s">
        <v>32</v>
      </c>
      <c r="Z148" s="15">
        <v>9</v>
      </c>
      <c r="AB148" s="93"/>
    </row>
    <row r="149" spans="1:28" s="52" customFormat="1" ht="89.25" outlineLevel="1" x14ac:dyDescent="0.3">
      <c r="A149" s="15" t="s">
        <v>217</v>
      </c>
      <c r="B149" s="14" t="s">
        <v>25</v>
      </c>
      <c r="C149" s="1" t="s">
        <v>115</v>
      </c>
      <c r="D149" s="1" t="s">
        <v>116</v>
      </c>
      <c r="E149" s="2" t="s">
        <v>117</v>
      </c>
      <c r="F149" s="3" t="s">
        <v>165</v>
      </c>
      <c r="G149" s="15" t="s">
        <v>42</v>
      </c>
      <c r="H149" s="4">
        <v>0.5</v>
      </c>
      <c r="I149" s="2" t="s">
        <v>185</v>
      </c>
      <c r="J149" s="1" t="s">
        <v>153</v>
      </c>
      <c r="K149" s="7" t="s">
        <v>45</v>
      </c>
      <c r="L149" s="7" t="s">
        <v>46</v>
      </c>
      <c r="M149" s="8" t="s">
        <v>119</v>
      </c>
      <c r="N149" s="50">
        <v>0</v>
      </c>
      <c r="O149" s="9">
        <v>1610</v>
      </c>
      <c r="P149" s="9">
        <v>1610</v>
      </c>
      <c r="Q149" s="9">
        <v>1610</v>
      </c>
      <c r="R149" s="9">
        <v>1610</v>
      </c>
      <c r="S149" s="9">
        <v>0</v>
      </c>
      <c r="T149" s="9">
        <v>0</v>
      </c>
      <c r="U149" s="10">
        <v>68.89</v>
      </c>
      <c r="V149" s="9">
        <v>0</v>
      </c>
      <c r="W149" s="9">
        <f t="shared" ref="W149" si="99">V149*1.12</f>
        <v>0</v>
      </c>
      <c r="X149" s="7" t="s">
        <v>48</v>
      </c>
      <c r="Y149" s="51" t="s">
        <v>32</v>
      </c>
      <c r="Z149" s="15" t="s">
        <v>239</v>
      </c>
      <c r="AB149" s="93"/>
    </row>
    <row r="150" spans="1:28" s="52" customFormat="1" ht="89.25" outlineLevel="1" x14ac:dyDescent="0.3">
      <c r="A150" s="15" t="s">
        <v>268</v>
      </c>
      <c r="B150" s="14" t="s">
        <v>25</v>
      </c>
      <c r="C150" s="1" t="s">
        <v>115</v>
      </c>
      <c r="D150" s="1" t="s">
        <v>116</v>
      </c>
      <c r="E150" s="2" t="s">
        <v>117</v>
      </c>
      <c r="F150" s="3" t="s">
        <v>165</v>
      </c>
      <c r="G150" s="15" t="s">
        <v>238</v>
      </c>
      <c r="H150" s="4">
        <v>0.5</v>
      </c>
      <c r="I150" s="2" t="s">
        <v>281</v>
      </c>
      <c r="J150" s="1" t="s">
        <v>153</v>
      </c>
      <c r="K150" s="7" t="s">
        <v>45</v>
      </c>
      <c r="L150" s="7" t="s">
        <v>46</v>
      </c>
      <c r="M150" s="8" t="s">
        <v>119</v>
      </c>
      <c r="N150" s="50">
        <v>0</v>
      </c>
      <c r="O150" s="9">
        <f>1610-805</f>
        <v>805</v>
      </c>
      <c r="P150" s="9">
        <v>1610</v>
      </c>
      <c r="Q150" s="9">
        <v>1610</v>
      </c>
      <c r="R150" s="9">
        <v>1610</v>
      </c>
      <c r="S150" s="9">
        <v>0</v>
      </c>
      <c r="T150" s="9">
        <v>0</v>
      </c>
      <c r="U150" s="10">
        <v>68.89</v>
      </c>
      <c r="V150" s="9">
        <v>0</v>
      </c>
      <c r="W150" s="9">
        <f t="shared" ref="W150" si="100">V150*1.12</f>
        <v>0</v>
      </c>
      <c r="X150" s="7" t="s">
        <v>48</v>
      </c>
      <c r="Y150" s="51" t="s">
        <v>32</v>
      </c>
      <c r="Z150" s="15" t="s">
        <v>209</v>
      </c>
      <c r="AB150" s="93"/>
    </row>
    <row r="151" spans="1:28" s="52" customFormat="1" ht="102" outlineLevel="1" x14ac:dyDescent="0.3">
      <c r="A151" s="15" t="s">
        <v>166</v>
      </c>
      <c r="B151" s="14" t="s">
        <v>25</v>
      </c>
      <c r="C151" s="3" t="s">
        <v>167</v>
      </c>
      <c r="D151" s="3" t="s">
        <v>144</v>
      </c>
      <c r="E151" s="3" t="s">
        <v>168</v>
      </c>
      <c r="F151" s="3" t="s">
        <v>169</v>
      </c>
      <c r="G151" s="15" t="s">
        <v>42</v>
      </c>
      <c r="H151" s="4">
        <v>0.5</v>
      </c>
      <c r="I151" s="2" t="s">
        <v>43</v>
      </c>
      <c r="J151" s="1" t="s">
        <v>153</v>
      </c>
      <c r="K151" s="7" t="s">
        <v>45</v>
      </c>
      <c r="L151" s="7" t="s">
        <v>46</v>
      </c>
      <c r="M151" s="8" t="s">
        <v>73</v>
      </c>
      <c r="N151" s="50">
        <v>0</v>
      </c>
      <c r="O151" s="9">
        <v>50</v>
      </c>
      <c r="P151" s="9">
        <v>50</v>
      </c>
      <c r="Q151" s="9">
        <v>50</v>
      </c>
      <c r="R151" s="9">
        <v>50</v>
      </c>
      <c r="S151" s="9">
        <v>0</v>
      </c>
      <c r="T151" s="9">
        <v>0</v>
      </c>
      <c r="U151" s="10">
        <v>107.02</v>
      </c>
      <c r="V151" s="9">
        <v>0</v>
      </c>
      <c r="W151" s="9">
        <f t="shared" si="2"/>
        <v>0</v>
      </c>
      <c r="X151" s="7" t="s">
        <v>48</v>
      </c>
      <c r="Y151" s="51" t="s">
        <v>32</v>
      </c>
      <c r="Z151" s="15" t="s">
        <v>209</v>
      </c>
      <c r="AB151" s="93"/>
    </row>
    <row r="152" spans="1:28" s="52" customFormat="1" ht="89.25" outlineLevel="1" x14ac:dyDescent="0.3">
      <c r="A152" s="15" t="s">
        <v>170</v>
      </c>
      <c r="B152" s="14" t="s">
        <v>25</v>
      </c>
      <c r="C152" s="1" t="s">
        <v>130</v>
      </c>
      <c r="D152" s="1" t="s">
        <v>131</v>
      </c>
      <c r="E152" s="2" t="s">
        <v>132</v>
      </c>
      <c r="F152" s="3" t="s">
        <v>135</v>
      </c>
      <c r="G152" s="15" t="s">
        <v>42</v>
      </c>
      <c r="H152" s="4">
        <v>0.5</v>
      </c>
      <c r="I152" s="2" t="s">
        <v>43</v>
      </c>
      <c r="J152" s="1" t="s">
        <v>153</v>
      </c>
      <c r="K152" s="7" t="s">
        <v>45</v>
      </c>
      <c r="L152" s="7" t="s">
        <v>46</v>
      </c>
      <c r="M152" s="8" t="s">
        <v>73</v>
      </c>
      <c r="N152" s="50">
        <v>0</v>
      </c>
      <c r="O152" s="9">
        <v>483</v>
      </c>
      <c r="P152" s="9">
        <v>483</v>
      </c>
      <c r="Q152" s="9">
        <v>483</v>
      </c>
      <c r="R152" s="9">
        <v>483</v>
      </c>
      <c r="S152" s="9">
        <v>0</v>
      </c>
      <c r="T152" s="9">
        <v>0</v>
      </c>
      <c r="U152" s="10">
        <v>201.63</v>
      </c>
      <c r="V152" s="9">
        <v>0</v>
      </c>
      <c r="W152" s="9">
        <f t="shared" si="2"/>
        <v>0</v>
      </c>
      <c r="X152" s="7" t="s">
        <v>48</v>
      </c>
      <c r="Y152" s="51" t="s">
        <v>32</v>
      </c>
      <c r="Z152" s="15">
        <v>9</v>
      </c>
      <c r="AB152" s="93"/>
    </row>
    <row r="153" spans="1:28" s="52" customFormat="1" ht="89.25" outlineLevel="1" x14ac:dyDescent="0.3">
      <c r="A153" s="15" t="s">
        <v>218</v>
      </c>
      <c r="B153" s="14" t="s">
        <v>25</v>
      </c>
      <c r="C153" s="1" t="s">
        <v>130</v>
      </c>
      <c r="D153" s="1" t="s">
        <v>131</v>
      </c>
      <c r="E153" s="2" t="s">
        <v>132</v>
      </c>
      <c r="F153" s="3" t="s">
        <v>135</v>
      </c>
      <c r="G153" s="15" t="s">
        <v>42</v>
      </c>
      <c r="H153" s="4">
        <v>0.5</v>
      </c>
      <c r="I153" s="2" t="s">
        <v>185</v>
      </c>
      <c r="J153" s="1" t="s">
        <v>153</v>
      </c>
      <c r="K153" s="7" t="s">
        <v>45</v>
      </c>
      <c r="L153" s="7" t="s">
        <v>46</v>
      </c>
      <c r="M153" s="8" t="s">
        <v>73</v>
      </c>
      <c r="N153" s="50">
        <v>0</v>
      </c>
      <c r="O153" s="9">
        <v>483</v>
      </c>
      <c r="P153" s="9">
        <v>483</v>
      </c>
      <c r="Q153" s="9">
        <v>483</v>
      </c>
      <c r="R153" s="9">
        <v>483</v>
      </c>
      <c r="S153" s="9">
        <v>0</v>
      </c>
      <c r="T153" s="9">
        <v>0</v>
      </c>
      <c r="U153" s="10">
        <v>201.63</v>
      </c>
      <c r="V153" s="9">
        <v>0</v>
      </c>
      <c r="W153" s="9">
        <f t="shared" ref="W153" si="101">V153*1.12</f>
        <v>0</v>
      </c>
      <c r="X153" s="7" t="s">
        <v>48</v>
      </c>
      <c r="Y153" s="51" t="s">
        <v>32</v>
      </c>
      <c r="Z153" s="15" t="s">
        <v>239</v>
      </c>
      <c r="AB153" s="93"/>
    </row>
    <row r="154" spans="1:28" s="52" customFormat="1" ht="89.25" outlineLevel="1" x14ac:dyDescent="0.3">
      <c r="A154" s="15" t="s">
        <v>269</v>
      </c>
      <c r="B154" s="14" t="s">
        <v>25</v>
      </c>
      <c r="C154" s="1" t="s">
        <v>130</v>
      </c>
      <c r="D154" s="1" t="s">
        <v>131</v>
      </c>
      <c r="E154" s="2" t="s">
        <v>132</v>
      </c>
      <c r="F154" s="3" t="s">
        <v>135</v>
      </c>
      <c r="G154" s="15" t="s">
        <v>238</v>
      </c>
      <c r="H154" s="4">
        <v>0.5</v>
      </c>
      <c r="I154" s="2" t="s">
        <v>281</v>
      </c>
      <c r="J154" s="1" t="s">
        <v>153</v>
      </c>
      <c r="K154" s="7" t="s">
        <v>45</v>
      </c>
      <c r="L154" s="7" t="s">
        <v>46</v>
      </c>
      <c r="M154" s="8" t="s">
        <v>73</v>
      </c>
      <c r="N154" s="50">
        <v>0</v>
      </c>
      <c r="O154" s="9">
        <f>483-241</f>
        <v>242</v>
      </c>
      <c r="P154" s="9">
        <v>483</v>
      </c>
      <c r="Q154" s="9">
        <v>483</v>
      </c>
      <c r="R154" s="9">
        <v>483</v>
      </c>
      <c r="S154" s="9">
        <v>0</v>
      </c>
      <c r="T154" s="9">
        <v>0</v>
      </c>
      <c r="U154" s="10">
        <v>201.63</v>
      </c>
      <c r="V154" s="9">
        <v>0</v>
      </c>
      <c r="W154" s="9">
        <f t="shared" ref="W154" si="102">V154*1.12</f>
        <v>0</v>
      </c>
      <c r="X154" s="7" t="s">
        <v>48</v>
      </c>
      <c r="Y154" s="51" t="s">
        <v>32</v>
      </c>
      <c r="Z154" s="15" t="s">
        <v>209</v>
      </c>
      <c r="AB154" s="93"/>
    </row>
    <row r="155" spans="1:28" s="52" customFormat="1" ht="89.25" outlineLevel="1" x14ac:dyDescent="0.3">
      <c r="A155" s="15" t="s">
        <v>171</v>
      </c>
      <c r="B155" s="14" t="s">
        <v>25</v>
      </c>
      <c r="C155" s="1" t="s">
        <v>148</v>
      </c>
      <c r="D155" s="1" t="s">
        <v>149</v>
      </c>
      <c r="E155" s="2" t="s">
        <v>150</v>
      </c>
      <c r="F155" s="3"/>
      <c r="G155" s="15" t="s">
        <v>42</v>
      </c>
      <c r="H155" s="4">
        <v>0.5</v>
      </c>
      <c r="I155" s="2" t="s">
        <v>43</v>
      </c>
      <c r="J155" s="1" t="s">
        <v>153</v>
      </c>
      <c r="K155" s="7" t="s">
        <v>45</v>
      </c>
      <c r="L155" s="7" t="s">
        <v>46</v>
      </c>
      <c r="M155" s="8" t="s">
        <v>73</v>
      </c>
      <c r="N155" s="50">
        <v>0</v>
      </c>
      <c r="O155" s="9">
        <v>10</v>
      </c>
      <c r="P155" s="9">
        <v>10</v>
      </c>
      <c r="Q155" s="9">
        <v>10</v>
      </c>
      <c r="R155" s="9">
        <v>10</v>
      </c>
      <c r="S155" s="9">
        <v>0</v>
      </c>
      <c r="T155" s="9">
        <v>0</v>
      </c>
      <c r="U155" s="10">
        <v>128</v>
      </c>
      <c r="V155" s="9">
        <v>0</v>
      </c>
      <c r="W155" s="9">
        <f t="shared" si="2"/>
        <v>0</v>
      </c>
      <c r="X155" s="7" t="s">
        <v>48</v>
      </c>
      <c r="Y155" s="51" t="s">
        <v>32</v>
      </c>
      <c r="Z155" s="15" t="s">
        <v>209</v>
      </c>
      <c r="AB155" s="93"/>
    </row>
    <row r="156" spans="1:28" s="52" customFormat="1" ht="89.25" outlineLevel="1" x14ac:dyDescent="0.3">
      <c r="A156" s="15" t="s">
        <v>172</v>
      </c>
      <c r="B156" s="16" t="s">
        <v>25</v>
      </c>
      <c r="C156" s="1" t="s">
        <v>110</v>
      </c>
      <c r="D156" s="1" t="s">
        <v>111</v>
      </c>
      <c r="E156" s="2" t="s">
        <v>112</v>
      </c>
      <c r="F156" s="3" t="s">
        <v>127</v>
      </c>
      <c r="G156" s="15" t="s">
        <v>42</v>
      </c>
      <c r="H156" s="4">
        <v>0.5</v>
      </c>
      <c r="I156" s="2" t="s">
        <v>43</v>
      </c>
      <c r="J156" s="1" t="s">
        <v>153</v>
      </c>
      <c r="K156" s="7" t="s">
        <v>45</v>
      </c>
      <c r="L156" s="7" t="s">
        <v>46</v>
      </c>
      <c r="M156" s="8" t="s">
        <v>128</v>
      </c>
      <c r="N156" s="50">
        <v>0</v>
      </c>
      <c r="O156" s="10">
        <v>787</v>
      </c>
      <c r="P156" s="10">
        <v>787</v>
      </c>
      <c r="Q156" s="10">
        <v>787</v>
      </c>
      <c r="R156" s="10">
        <v>787</v>
      </c>
      <c r="S156" s="9">
        <v>0</v>
      </c>
      <c r="T156" s="9">
        <v>0</v>
      </c>
      <c r="U156" s="10">
        <v>314.19</v>
      </c>
      <c r="V156" s="9">
        <v>0</v>
      </c>
      <c r="W156" s="9">
        <f t="shared" si="2"/>
        <v>0</v>
      </c>
      <c r="X156" s="7" t="s">
        <v>48</v>
      </c>
      <c r="Y156" s="51" t="s">
        <v>32</v>
      </c>
      <c r="Z156" s="15" t="s">
        <v>187</v>
      </c>
      <c r="AB156" s="93"/>
    </row>
    <row r="157" spans="1:28" s="52" customFormat="1" ht="89.25" outlineLevel="1" x14ac:dyDescent="0.3">
      <c r="A157" s="15" t="s">
        <v>219</v>
      </c>
      <c r="B157" s="16" t="s">
        <v>25</v>
      </c>
      <c r="C157" s="1" t="s">
        <v>110</v>
      </c>
      <c r="D157" s="1" t="s">
        <v>111</v>
      </c>
      <c r="E157" s="2" t="s">
        <v>112</v>
      </c>
      <c r="F157" s="3" t="s">
        <v>127</v>
      </c>
      <c r="G157" s="15" t="s">
        <v>42</v>
      </c>
      <c r="H157" s="4">
        <v>0.5</v>
      </c>
      <c r="I157" s="2" t="s">
        <v>185</v>
      </c>
      <c r="J157" s="1" t="s">
        <v>153</v>
      </c>
      <c r="K157" s="7" t="s">
        <v>45</v>
      </c>
      <c r="L157" s="7" t="s">
        <v>46</v>
      </c>
      <c r="M157" s="8" t="s">
        <v>128</v>
      </c>
      <c r="N157" s="50">
        <v>0</v>
      </c>
      <c r="O157" s="10">
        <v>787</v>
      </c>
      <c r="P157" s="10">
        <v>787</v>
      </c>
      <c r="Q157" s="10">
        <v>787</v>
      </c>
      <c r="R157" s="10">
        <v>787</v>
      </c>
      <c r="S157" s="9">
        <v>0</v>
      </c>
      <c r="T157" s="9">
        <v>0</v>
      </c>
      <c r="U157" s="10">
        <v>264</v>
      </c>
      <c r="V157" s="9">
        <v>0</v>
      </c>
      <c r="W157" s="9">
        <f t="shared" ref="W157:W158" si="103">V157*1.12</f>
        <v>0</v>
      </c>
      <c r="X157" s="7" t="s">
        <v>48</v>
      </c>
      <c r="Y157" s="51" t="s">
        <v>32</v>
      </c>
      <c r="Z157" s="15" t="s">
        <v>239</v>
      </c>
      <c r="AB157" s="93"/>
    </row>
    <row r="158" spans="1:28" s="52" customFormat="1" ht="89.25" outlineLevel="1" x14ac:dyDescent="0.3">
      <c r="A158" s="15" t="s">
        <v>270</v>
      </c>
      <c r="B158" s="16" t="s">
        <v>25</v>
      </c>
      <c r="C158" s="1" t="s">
        <v>110</v>
      </c>
      <c r="D158" s="1" t="s">
        <v>111</v>
      </c>
      <c r="E158" s="2" t="s">
        <v>112</v>
      </c>
      <c r="F158" s="3" t="s">
        <v>127</v>
      </c>
      <c r="G158" s="15" t="s">
        <v>238</v>
      </c>
      <c r="H158" s="4">
        <v>0.5</v>
      </c>
      <c r="I158" s="2" t="s">
        <v>281</v>
      </c>
      <c r="J158" s="1" t="s">
        <v>153</v>
      </c>
      <c r="K158" s="7" t="s">
        <v>45</v>
      </c>
      <c r="L158" s="7" t="s">
        <v>46</v>
      </c>
      <c r="M158" s="8" t="s">
        <v>128</v>
      </c>
      <c r="N158" s="50">
        <v>0</v>
      </c>
      <c r="O158" s="10">
        <f>787-393</f>
        <v>394</v>
      </c>
      <c r="P158" s="10">
        <v>787</v>
      </c>
      <c r="Q158" s="10">
        <v>787</v>
      </c>
      <c r="R158" s="10">
        <v>787</v>
      </c>
      <c r="S158" s="9">
        <v>0</v>
      </c>
      <c r="T158" s="9">
        <v>0</v>
      </c>
      <c r="U158" s="10">
        <v>264</v>
      </c>
      <c r="V158" s="9">
        <v>0</v>
      </c>
      <c r="W158" s="9">
        <f t="shared" si="103"/>
        <v>0</v>
      </c>
      <c r="X158" s="7" t="s">
        <v>48</v>
      </c>
      <c r="Y158" s="51" t="s">
        <v>32</v>
      </c>
      <c r="Z158" s="15" t="s">
        <v>209</v>
      </c>
      <c r="AB158" s="93"/>
    </row>
    <row r="159" spans="1:28" s="57" customFormat="1" ht="15.75" x14ac:dyDescent="0.3">
      <c r="A159" s="96" t="s">
        <v>173</v>
      </c>
      <c r="B159" s="54"/>
      <c r="C159" s="55"/>
      <c r="D159" s="8"/>
      <c r="E159" s="8"/>
      <c r="F159" s="15"/>
      <c r="G159" s="15"/>
      <c r="H159" s="15"/>
      <c r="I159" s="2"/>
      <c r="J159" s="15"/>
      <c r="K159" s="15"/>
      <c r="L159" s="15"/>
      <c r="M159" s="15"/>
      <c r="N159" s="85"/>
      <c r="O159" s="85"/>
      <c r="P159" s="85"/>
      <c r="Q159" s="85"/>
      <c r="R159" s="85" t="s">
        <v>174</v>
      </c>
      <c r="S159" s="85"/>
      <c r="T159" s="85" t="s">
        <v>174</v>
      </c>
      <c r="U159" s="85"/>
      <c r="V159" s="86">
        <f>SUM(V37:V158)</f>
        <v>107281338.5</v>
      </c>
      <c r="W159" s="90">
        <f>SUM(W37:W158)</f>
        <v>120155099.12000002</v>
      </c>
      <c r="X159" s="51"/>
      <c r="Y159" s="51"/>
      <c r="Z159" s="56"/>
      <c r="AB159" s="93"/>
    </row>
    <row r="160" spans="1:28" s="60" customFormat="1" ht="15.75" x14ac:dyDescent="0.3">
      <c r="A160" s="97" t="s">
        <v>340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58"/>
      <c r="Y160" s="59"/>
      <c r="Z160" s="59"/>
      <c r="AB160" s="93"/>
    </row>
    <row r="161" spans="1:28" s="65" customFormat="1" ht="51" outlineLevel="1" x14ac:dyDescent="0.3">
      <c r="A161" s="15" t="s">
        <v>343</v>
      </c>
      <c r="B161" s="14" t="s">
        <v>25</v>
      </c>
      <c r="C161" s="8" t="s">
        <v>344</v>
      </c>
      <c r="D161" s="8" t="s">
        <v>345</v>
      </c>
      <c r="E161" s="8" t="s">
        <v>345</v>
      </c>
      <c r="F161" s="8" t="s">
        <v>346</v>
      </c>
      <c r="G161" s="15" t="s">
        <v>42</v>
      </c>
      <c r="H161" s="4">
        <v>1</v>
      </c>
      <c r="I161" s="2" t="s">
        <v>287</v>
      </c>
      <c r="J161" s="1" t="s">
        <v>22</v>
      </c>
      <c r="K161" s="7"/>
      <c r="L161" s="7" t="s">
        <v>341</v>
      </c>
      <c r="M161" s="8" t="s">
        <v>342</v>
      </c>
      <c r="N161" s="50">
        <v>0</v>
      </c>
      <c r="O161" s="50">
        <v>0</v>
      </c>
      <c r="P161" s="50">
        <v>23187918</v>
      </c>
      <c r="Q161" s="50">
        <v>23187918</v>
      </c>
      <c r="R161" s="50">
        <v>23187918</v>
      </c>
      <c r="S161" s="50">
        <v>0</v>
      </c>
      <c r="T161" s="50">
        <v>0</v>
      </c>
      <c r="U161" s="50">
        <v>0</v>
      </c>
      <c r="V161" s="9">
        <v>0</v>
      </c>
      <c r="W161" s="61">
        <f t="shared" ref="W161:W168" si="104">V161*1.12</f>
        <v>0</v>
      </c>
      <c r="X161" s="7" t="s">
        <v>34</v>
      </c>
      <c r="Y161" s="51" t="s">
        <v>32</v>
      </c>
      <c r="Z161" s="8" t="s">
        <v>380</v>
      </c>
      <c r="AB161" s="93"/>
    </row>
    <row r="162" spans="1:28" s="65" customFormat="1" ht="51" outlineLevel="1" x14ac:dyDescent="0.2">
      <c r="A162" s="15" t="s">
        <v>381</v>
      </c>
      <c r="B162" s="14" t="s">
        <v>25</v>
      </c>
      <c r="C162" s="8" t="s">
        <v>344</v>
      </c>
      <c r="D162" s="8" t="s">
        <v>345</v>
      </c>
      <c r="E162" s="8" t="s">
        <v>345</v>
      </c>
      <c r="F162" s="8" t="s">
        <v>346</v>
      </c>
      <c r="G162" s="15" t="s">
        <v>42</v>
      </c>
      <c r="H162" s="4">
        <v>1</v>
      </c>
      <c r="I162" s="2" t="s">
        <v>382</v>
      </c>
      <c r="J162" s="1" t="s">
        <v>22</v>
      </c>
      <c r="K162" s="7"/>
      <c r="L162" s="7" t="s">
        <v>341</v>
      </c>
      <c r="M162" s="8" t="s">
        <v>342</v>
      </c>
      <c r="N162" s="88">
        <v>0</v>
      </c>
      <c r="O162" s="88">
        <v>0</v>
      </c>
      <c r="P162" s="88">
        <f>23187918+3450000</f>
        <v>26637918</v>
      </c>
      <c r="Q162" s="88">
        <v>23187918</v>
      </c>
      <c r="R162" s="88">
        <v>23187918</v>
      </c>
      <c r="S162" s="88">
        <v>0</v>
      </c>
      <c r="T162" s="50">
        <v>0</v>
      </c>
      <c r="U162" s="50">
        <v>0</v>
      </c>
      <c r="V162" s="89">
        <f>O162+P162+Q162+R162+T162</f>
        <v>73013754</v>
      </c>
      <c r="W162" s="89">
        <f t="shared" si="104"/>
        <v>81775404.480000004</v>
      </c>
      <c r="X162" s="7" t="s">
        <v>34</v>
      </c>
      <c r="Y162" s="51" t="s">
        <v>32</v>
      </c>
      <c r="Z162" s="49"/>
      <c r="AB162" s="93"/>
    </row>
    <row r="163" spans="1:28" s="65" customFormat="1" ht="51" outlineLevel="1" x14ac:dyDescent="0.3">
      <c r="A163" s="15" t="s">
        <v>347</v>
      </c>
      <c r="B163" s="14" t="s">
        <v>25</v>
      </c>
      <c r="C163" s="8" t="s">
        <v>344</v>
      </c>
      <c r="D163" s="8" t="s">
        <v>345</v>
      </c>
      <c r="E163" s="8" t="s">
        <v>345</v>
      </c>
      <c r="F163" s="8" t="s">
        <v>348</v>
      </c>
      <c r="G163" s="15" t="s">
        <v>42</v>
      </c>
      <c r="H163" s="4">
        <v>1</v>
      </c>
      <c r="I163" s="2" t="s">
        <v>287</v>
      </c>
      <c r="J163" s="1" t="s">
        <v>349</v>
      </c>
      <c r="K163" s="7"/>
      <c r="L163" s="7" t="s">
        <v>341</v>
      </c>
      <c r="M163" s="8" t="s">
        <v>342</v>
      </c>
      <c r="N163" s="50">
        <v>0</v>
      </c>
      <c r="O163" s="50">
        <v>0</v>
      </c>
      <c r="P163" s="50">
        <v>1996394</v>
      </c>
      <c r="Q163" s="50">
        <v>1996394</v>
      </c>
      <c r="R163" s="50">
        <v>1996394</v>
      </c>
      <c r="S163" s="50">
        <v>0</v>
      </c>
      <c r="T163" s="50">
        <v>0</v>
      </c>
      <c r="U163" s="50">
        <v>0</v>
      </c>
      <c r="V163" s="9">
        <v>0</v>
      </c>
      <c r="W163" s="61">
        <f t="shared" si="104"/>
        <v>0</v>
      </c>
      <c r="X163" s="7" t="s">
        <v>34</v>
      </c>
      <c r="Y163" s="51" t="s">
        <v>32</v>
      </c>
      <c r="Z163" s="8">
        <v>9</v>
      </c>
      <c r="AB163" s="93"/>
    </row>
    <row r="164" spans="1:28" s="65" customFormat="1" ht="51" outlineLevel="1" x14ac:dyDescent="0.3">
      <c r="A164" s="15" t="s">
        <v>383</v>
      </c>
      <c r="B164" s="14" t="s">
        <v>25</v>
      </c>
      <c r="C164" s="8" t="s">
        <v>344</v>
      </c>
      <c r="D164" s="8" t="s">
        <v>345</v>
      </c>
      <c r="E164" s="8" t="s">
        <v>345</v>
      </c>
      <c r="F164" s="8" t="s">
        <v>348</v>
      </c>
      <c r="G164" s="15" t="s">
        <v>42</v>
      </c>
      <c r="H164" s="4">
        <v>1</v>
      </c>
      <c r="I164" s="2" t="s">
        <v>384</v>
      </c>
      <c r="J164" s="1" t="s">
        <v>349</v>
      </c>
      <c r="K164" s="7"/>
      <c r="L164" s="7" t="s">
        <v>341</v>
      </c>
      <c r="M164" s="8" t="s">
        <v>342</v>
      </c>
      <c r="N164" s="88">
        <v>0</v>
      </c>
      <c r="O164" s="88">
        <v>0</v>
      </c>
      <c r="P164" s="88">
        <v>1996394</v>
      </c>
      <c r="Q164" s="88">
        <v>1996394</v>
      </c>
      <c r="R164" s="88">
        <v>1996394</v>
      </c>
      <c r="S164" s="88">
        <v>0</v>
      </c>
      <c r="T164" s="50">
        <v>0</v>
      </c>
      <c r="U164" s="50">
        <v>0</v>
      </c>
      <c r="V164" s="9">
        <v>0</v>
      </c>
      <c r="W164" s="61">
        <f t="shared" ref="W164" si="105">V164*1.12</f>
        <v>0</v>
      </c>
      <c r="X164" s="7" t="s">
        <v>34</v>
      </c>
      <c r="Y164" s="51" t="s">
        <v>32</v>
      </c>
      <c r="Z164" s="8" t="s">
        <v>228</v>
      </c>
      <c r="AB164" s="93"/>
    </row>
    <row r="165" spans="1:28" s="65" customFormat="1" ht="51" outlineLevel="1" x14ac:dyDescent="0.3">
      <c r="A165" s="103" t="s">
        <v>470</v>
      </c>
      <c r="B165" s="104" t="s">
        <v>25</v>
      </c>
      <c r="C165" s="105" t="s">
        <v>471</v>
      </c>
      <c r="D165" s="105" t="s">
        <v>472</v>
      </c>
      <c r="E165" s="105" t="s">
        <v>473</v>
      </c>
      <c r="F165" s="106" t="s">
        <v>348</v>
      </c>
      <c r="G165" s="103" t="s">
        <v>42</v>
      </c>
      <c r="H165" s="107">
        <v>1</v>
      </c>
      <c r="I165" s="108" t="s">
        <v>384</v>
      </c>
      <c r="J165" s="109" t="s">
        <v>349</v>
      </c>
      <c r="K165" s="110"/>
      <c r="L165" s="111" t="s">
        <v>341</v>
      </c>
      <c r="M165" s="106" t="s">
        <v>342</v>
      </c>
      <c r="N165" s="112"/>
      <c r="O165" s="112"/>
      <c r="P165" s="113">
        <v>1996394</v>
      </c>
      <c r="Q165" s="113">
        <v>1996394</v>
      </c>
      <c r="R165" s="113">
        <v>1996394</v>
      </c>
      <c r="S165" s="113">
        <v>702753.57</v>
      </c>
      <c r="T165" s="114"/>
      <c r="V165" s="113">
        <f>P165+Q165+R165+S165</f>
        <v>6691935.5700000003</v>
      </c>
      <c r="W165" s="113">
        <f t="shared" si="104"/>
        <v>7494967.8384000007</v>
      </c>
      <c r="X165" s="111" t="s">
        <v>34</v>
      </c>
      <c r="Y165" s="103" t="s">
        <v>32</v>
      </c>
      <c r="Z165" s="115"/>
      <c r="AB165" s="116"/>
    </row>
    <row r="166" spans="1:28" s="65" customFormat="1" ht="51" outlineLevel="1" x14ac:dyDescent="0.3">
      <c r="A166" s="15" t="s">
        <v>350</v>
      </c>
      <c r="B166" s="14" t="s">
        <v>25</v>
      </c>
      <c r="C166" s="8" t="s">
        <v>344</v>
      </c>
      <c r="D166" s="8" t="s">
        <v>345</v>
      </c>
      <c r="E166" s="8" t="s">
        <v>345</v>
      </c>
      <c r="F166" s="8" t="s">
        <v>351</v>
      </c>
      <c r="G166" s="15" t="s">
        <v>42</v>
      </c>
      <c r="H166" s="4">
        <v>1</v>
      </c>
      <c r="I166" s="2" t="s">
        <v>287</v>
      </c>
      <c r="J166" s="1" t="s">
        <v>153</v>
      </c>
      <c r="K166" s="7"/>
      <c r="L166" s="7" t="s">
        <v>341</v>
      </c>
      <c r="M166" s="8" t="s">
        <v>342</v>
      </c>
      <c r="N166" s="50">
        <v>0</v>
      </c>
      <c r="O166" s="50">
        <v>0</v>
      </c>
      <c r="P166" s="50">
        <v>816000</v>
      </c>
      <c r="Q166" s="50">
        <v>816000</v>
      </c>
      <c r="R166" s="50">
        <v>816000</v>
      </c>
      <c r="S166" s="50">
        <v>0</v>
      </c>
      <c r="T166" s="50">
        <v>0</v>
      </c>
      <c r="U166" s="50">
        <v>0</v>
      </c>
      <c r="V166" s="9">
        <v>0</v>
      </c>
      <c r="W166" s="61">
        <f t="shared" si="104"/>
        <v>0</v>
      </c>
      <c r="X166" s="7" t="s">
        <v>34</v>
      </c>
      <c r="Y166" s="51" t="s">
        <v>32</v>
      </c>
      <c r="Z166" s="8">
        <v>9</v>
      </c>
      <c r="AB166" s="93"/>
    </row>
    <row r="167" spans="1:28" s="65" customFormat="1" ht="51" outlineLevel="1" x14ac:dyDescent="0.2">
      <c r="A167" s="15" t="s">
        <v>385</v>
      </c>
      <c r="B167" s="14" t="s">
        <v>25</v>
      </c>
      <c r="C167" s="8" t="s">
        <v>344</v>
      </c>
      <c r="D167" s="8" t="s">
        <v>345</v>
      </c>
      <c r="E167" s="8" t="s">
        <v>345</v>
      </c>
      <c r="F167" s="8" t="s">
        <v>351</v>
      </c>
      <c r="G167" s="15" t="s">
        <v>42</v>
      </c>
      <c r="H167" s="4">
        <v>1</v>
      </c>
      <c r="I167" s="2" t="s">
        <v>384</v>
      </c>
      <c r="J167" s="1" t="s">
        <v>153</v>
      </c>
      <c r="K167" s="7"/>
      <c r="L167" s="7" t="s">
        <v>341</v>
      </c>
      <c r="M167" s="8" t="s">
        <v>342</v>
      </c>
      <c r="N167" s="88">
        <v>0</v>
      </c>
      <c r="O167" s="88">
        <v>0</v>
      </c>
      <c r="P167" s="88">
        <v>816000</v>
      </c>
      <c r="Q167" s="88">
        <v>816000</v>
      </c>
      <c r="R167" s="88">
        <v>816000</v>
      </c>
      <c r="S167" s="88">
        <v>0</v>
      </c>
      <c r="T167" s="50">
        <v>0</v>
      </c>
      <c r="U167" s="50">
        <v>0</v>
      </c>
      <c r="V167" s="89">
        <f>O167+P167+Q167+R167+T167</f>
        <v>2448000</v>
      </c>
      <c r="W167" s="89">
        <f t="shared" ref="W167" si="106">V167*1.12</f>
        <v>2741760.0000000005</v>
      </c>
      <c r="X167" s="7" t="s">
        <v>34</v>
      </c>
      <c r="Y167" s="51" t="s">
        <v>32</v>
      </c>
      <c r="Z167" s="49"/>
      <c r="AB167" s="93"/>
    </row>
    <row r="168" spans="1:28" s="65" customFormat="1" ht="153" outlineLevel="1" x14ac:dyDescent="0.2">
      <c r="A168" s="15" t="s">
        <v>441</v>
      </c>
      <c r="B168" s="14" t="s">
        <v>25</v>
      </c>
      <c r="C168" s="8" t="s">
        <v>442</v>
      </c>
      <c r="D168" s="8" t="s">
        <v>443</v>
      </c>
      <c r="E168" s="8" t="s">
        <v>444</v>
      </c>
      <c r="F168" s="8" t="s">
        <v>445</v>
      </c>
      <c r="G168" s="15" t="s">
        <v>42</v>
      </c>
      <c r="H168" s="4">
        <v>0.5</v>
      </c>
      <c r="I168" s="2" t="s">
        <v>447</v>
      </c>
      <c r="J168" s="1" t="s">
        <v>22</v>
      </c>
      <c r="K168" s="7"/>
      <c r="L168" s="1" t="s">
        <v>446</v>
      </c>
      <c r="M168" s="8" t="s">
        <v>342</v>
      </c>
      <c r="N168" s="88">
        <v>0</v>
      </c>
      <c r="O168" s="88">
        <v>109619871.42857142</v>
      </c>
      <c r="P168" s="88">
        <v>14826324358.031427</v>
      </c>
      <c r="Q168" s="88"/>
      <c r="R168" s="88"/>
      <c r="S168" s="88"/>
      <c r="T168" s="50">
        <v>0</v>
      </c>
      <c r="U168" s="50">
        <v>0</v>
      </c>
      <c r="V168" s="89">
        <f>O168+P168+Q168+R168+T168</f>
        <v>14935944229.459999</v>
      </c>
      <c r="W168" s="89">
        <f t="shared" si="104"/>
        <v>16728257536.995201</v>
      </c>
      <c r="X168" s="7"/>
      <c r="Y168" s="51" t="s">
        <v>35</v>
      </c>
      <c r="Z168" s="49" t="s">
        <v>448</v>
      </c>
      <c r="AB168" s="93"/>
    </row>
    <row r="169" spans="1:28" s="57" customFormat="1" ht="15.75" x14ac:dyDescent="0.3">
      <c r="A169" s="96" t="s">
        <v>177</v>
      </c>
      <c r="B169" s="54"/>
      <c r="C169" s="55"/>
      <c r="D169" s="8"/>
      <c r="E169" s="8"/>
      <c r="F169" s="15"/>
      <c r="G169" s="15"/>
      <c r="H169" s="15"/>
      <c r="I169" s="2"/>
      <c r="J169" s="15"/>
      <c r="K169" s="15"/>
      <c r="L169" s="15"/>
      <c r="M169" s="15"/>
      <c r="N169" s="85"/>
      <c r="O169" s="85"/>
      <c r="P169" s="85"/>
      <c r="Q169" s="85"/>
      <c r="R169" s="85" t="s">
        <v>174</v>
      </c>
      <c r="S169" s="85"/>
      <c r="T169" s="85" t="s">
        <v>174</v>
      </c>
      <c r="U169" s="85"/>
      <c r="V169" s="86">
        <f>SUM(V161:V168)</f>
        <v>15018097919.029999</v>
      </c>
      <c r="W169" s="90">
        <f>SUM(W161:W168)</f>
        <v>16820269669.313601</v>
      </c>
      <c r="X169" s="51"/>
      <c r="Y169" s="51"/>
      <c r="Z169" s="56"/>
      <c r="AB169" s="93"/>
    </row>
    <row r="170" spans="1:28" s="60" customFormat="1" ht="15.75" x14ac:dyDescent="0.3">
      <c r="A170" s="97" t="s">
        <v>178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58"/>
      <c r="Y170" s="59"/>
      <c r="Z170" s="59"/>
      <c r="AB170" s="93"/>
    </row>
    <row r="171" spans="1:28" s="52" customFormat="1" ht="51" outlineLevel="1" x14ac:dyDescent="0.3">
      <c r="A171" s="15" t="s">
        <v>21</v>
      </c>
      <c r="B171" s="16" t="s">
        <v>25</v>
      </c>
      <c r="C171" s="1" t="s">
        <v>26</v>
      </c>
      <c r="D171" s="1" t="s">
        <v>27</v>
      </c>
      <c r="E171" s="2" t="s">
        <v>28</v>
      </c>
      <c r="F171" s="3"/>
      <c r="G171" s="15" t="s">
        <v>20</v>
      </c>
      <c r="H171" s="4">
        <v>1</v>
      </c>
      <c r="I171" s="2" t="s">
        <v>29</v>
      </c>
      <c r="J171" s="1" t="s">
        <v>22</v>
      </c>
      <c r="K171" s="7"/>
      <c r="L171" s="7" t="s">
        <v>30</v>
      </c>
      <c r="M171" s="8" t="s">
        <v>24</v>
      </c>
      <c r="N171" s="88">
        <v>27857142.850000001</v>
      </c>
      <c r="O171" s="88">
        <v>27857142.850000001</v>
      </c>
      <c r="P171" s="88">
        <v>27857142.850000001</v>
      </c>
      <c r="Q171" s="88">
        <v>27857142.850000001</v>
      </c>
      <c r="R171" s="88">
        <v>27857142.850000001</v>
      </c>
      <c r="S171" s="88">
        <v>0</v>
      </c>
      <c r="T171" s="50">
        <v>0</v>
      </c>
      <c r="U171" s="50">
        <v>0</v>
      </c>
      <c r="V171" s="9">
        <v>0</v>
      </c>
      <c r="W171" s="61">
        <f t="shared" ref="W171:W177" si="107">V171*1.12</f>
        <v>0</v>
      </c>
      <c r="X171" s="7" t="s">
        <v>34</v>
      </c>
      <c r="Y171" s="51" t="s">
        <v>31</v>
      </c>
      <c r="Z171" s="8" t="s">
        <v>228</v>
      </c>
      <c r="AB171" s="93"/>
    </row>
    <row r="172" spans="1:28" s="52" customFormat="1" ht="51" outlineLevel="1" x14ac:dyDescent="0.2">
      <c r="A172" s="15" t="s">
        <v>227</v>
      </c>
      <c r="B172" s="16" t="s">
        <v>25</v>
      </c>
      <c r="C172" s="1" t="s">
        <v>26</v>
      </c>
      <c r="D172" s="1" t="s">
        <v>27</v>
      </c>
      <c r="E172" s="2" t="s">
        <v>28</v>
      </c>
      <c r="F172" s="3"/>
      <c r="G172" s="15" t="s">
        <v>20</v>
      </c>
      <c r="H172" s="4">
        <v>1</v>
      </c>
      <c r="I172" s="2" t="s">
        <v>29</v>
      </c>
      <c r="J172" s="1" t="s">
        <v>22</v>
      </c>
      <c r="K172" s="7"/>
      <c r="L172" s="7" t="s">
        <v>30</v>
      </c>
      <c r="M172" s="8" t="s">
        <v>24</v>
      </c>
      <c r="N172" s="88">
        <v>20532143</v>
      </c>
      <c r="O172" s="88">
        <v>12950000</v>
      </c>
      <c r="P172" s="88">
        <v>0</v>
      </c>
      <c r="Q172" s="88">
        <v>0</v>
      </c>
      <c r="R172" s="88">
        <v>0</v>
      </c>
      <c r="S172" s="88">
        <v>0</v>
      </c>
      <c r="T172" s="50">
        <v>0</v>
      </c>
      <c r="U172" s="50">
        <v>0</v>
      </c>
      <c r="V172" s="89">
        <f>N172+O172+P172+Q172+R172+T172</f>
        <v>33482143</v>
      </c>
      <c r="W172" s="89">
        <f t="shared" si="107"/>
        <v>37500000.160000004</v>
      </c>
      <c r="X172" s="7" t="s">
        <v>34</v>
      </c>
      <c r="Y172" s="51" t="s">
        <v>31</v>
      </c>
      <c r="Z172" s="49"/>
      <c r="AB172" s="93"/>
    </row>
    <row r="173" spans="1:28" s="52" customFormat="1" ht="51" outlineLevel="1" x14ac:dyDescent="0.2">
      <c r="A173" s="15" t="s">
        <v>221</v>
      </c>
      <c r="B173" s="16" t="s">
        <v>25</v>
      </c>
      <c r="C173" s="8" t="s">
        <v>222</v>
      </c>
      <c r="D173" s="8" t="s">
        <v>223</v>
      </c>
      <c r="E173" s="8" t="s">
        <v>224</v>
      </c>
      <c r="F173" s="8" t="s">
        <v>225</v>
      </c>
      <c r="G173" s="15" t="s">
        <v>20</v>
      </c>
      <c r="H173" s="4">
        <v>0.5</v>
      </c>
      <c r="I173" s="2" t="s">
        <v>226</v>
      </c>
      <c r="J173" s="1" t="s">
        <v>22</v>
      </c>
      <c r="K173" s="7"/>
      <c r="L173" s="7" t="s">
        <v>30</v>
      </c>
      <c r="M173" s="8" t="s">
        <v>24</v>
      </c>
      <c r="N173" s="88">
        <v>0</v>
      </c>
      <c r="O173" s="88">
        <v>25000000</v>
      </c>
      <c r="P173" s="88">
        <v>25000000</v>
      </c>
      <c r="Q173" s="88">
        <v>25000000</v>
      </c>
      <c r="R173" s="88">
        <v>0</v>
      </c>
      <c r="S173" s="88">
        <v>0</v>
      </c>
      <c r="T173" s="50">
        <v>0</v>
      </c>
      <c r="U173" s="50">
        <v>0</v>
      </c>
      <c r="V173" s="89">
        <f>N173+O173+P173+Q173+R173+T173</f>
        <v>75000000</v>
      </c>
      <c r="W173" s="89">
        <f t="shared" si="107"/>
        <v>84000000.000000015</v>
      </c>
      <c r="X173" s="7" t="s">
        <v>34</v>
      </c>
      <c r="Y173" s="51" t="s">
        <v>32</v>
      </c>
      <c r="Z173" s="49"/>
      <c r="AB173" s="93"/>
    </row>
    <row r="174" spans="1:28" s="52" customFormat="1" ht="51" outlineLevel="1" x14ac:dyDescent="0.3">
      <c r="A174" s="15" t="s">
        <v>229</v>
      </c>
      <c r="B174" s="16" t="s">
        <v>25</v>
      </c>
      <c r="C174" s="2" t="s">
        <v>230</v>
      </c>
      <c r="D174" s="2" t="s">
        <v>231</v>
      </c>
      <c r="E174" s="2" t="s">
        <v>231</v>
      </c>
      <c r="F174" s="8" t="s">
        <v>232</v>
      </c>
      <c r="G174" s="15" t="s">
        <v>20</v>
      </c>
      <c r="H174" s="4">
        <v>0.5</v>
      </c>
      <c r="I174" s="2" t="s">
        <v>226</v>
      </c>
      <c r="J174" s="1" t="s">
        <v>22</v>
      </c>
      <c r="K174" s="7"/>
      <c r="L174" s="7" t="s">
        <v>30</v>
      </c>
      <c r="M174" s="8" t="s">
        <v>24</v>
      </c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9">
        <f>N174+O174+P174+Q174+T174</f>
        <v>0</v>
      </c>
      <c r="W174" s="61">
        <f t="shared" si="107"/>
        <v>0</v>
      </c>
      <c r="X174" s="7" t="s">
        <v>34</v>
      </c>
      <c r="Y174" s="51" t="s">
        <v>32</v>
      </c>
      <c r="Z174" s="8" t="s">
        <v>209</v>
      </c>
      <c r="AB174" s="93"/>
    </row>
    <row r="175" spans="1:28" s="52" customFormat="1" ht="89.25" outlineLevel="1" x14ac:dyDescent="0.2">
      <c r="A175" s="15" t="s">
        <v>273</v>
      </c>
      <c r="B175" s="14" t="s">
        <v>25</v>
      </c>
      <c r="C175" s="16" t="s">
        <v>272</v>
      </c>
      <c r="D175" s="2" t="s">
        <v>274</v>
      </c>
      <c r="E175" s="2" t="s">
        <v>275</v>
      </c>
      <c r="F175" s="8" t="s">
        <v>278</v>
      </c>
      <c r="G175" s="15" t="s">
        <v>42</v>
      </c>
      <c r="H175" s="4">
        <v>0.5</v>
      </c>
      <c r="I175" s="2" t="s">
        <v>277</v>
      </c>
      <c r="J175" s="1" t="s">
        <v>22</v>
      </c>
      <c r="K175" s="7"/>
      <c r="L175" s="7" t="s">
        <v>30</v>
      </c>
      <c r="M175" s="8" t="s">
        <v>24</v>
      </c>
      <c r="N175" s="88"/>
      <c r="O175" s="88">
        <v>6500000</v>
      </c>
      <c r="P175" s="88">
        <v>15600000</v>
      </c>
      <c r="Q175" s="88">
        <v>15600000</v>
      </c>
      <c r="R175" s="88">
        <v>15600000</v>
      </c>
      <c r="S175" s="88">
        <v>0</v>
      </c>
      <c r="T175" s="50">
        <v>0</v>
      </c>
      <c r="U175" s="50">
        <v>0</v>
      </c>
      <c r="V175" s="89">
        <f t="shared" ref="V175:V190" si="108">N175+O175+P175+Q175+R175+T175</f>
        <v>53300000</v>
      </c>
      <c r="W175" s="89">
        <f t="shared" si="107"/>
        <v>59696000.000000007</v>
      </c>
      <c r="X175" s="7" t="s">
        <v>34</v>
      </c>
      <c r="Y175" s="51" t="s">
        <v>32</v>
      </c>
      <c r="Z175" s="49"/>
      <c r="AB175" s="93"/>
    </row>
    <row r="176" spans="1:28" s="52" customFormat="1" ht="89.25" outlineLevel="1" x14ac:dyDescent="0.2">
      <c r="A176" s="15" t="s">
        <v>279</v>
      </c>
      <c r="B176" s="14" t="s">
        <v>25</v>
      </c>
      <c r="C176" s="16" t="s">
        <v>272</v>
      </c>
      <c r="D176" s="2" t="s">
        <v>274</v>
      </c>
      <c r="E176" s="2" t="s">
        <v>275</v>
      </c>
      <c r="F176" s="8" t="s">
        <v>276</v>
      </c>
      <c r="G176" s="15" t="s">
        <v>42</v>
      </c>
      <c r="H176" s="4">
        <v>0.5</v>
      </c>
      <c r="I176" s="2" t="s">
        <v>277</v>
      </c>
      <c r="J176" s="1" t="s">
        <v>22</v>
      </c>
      <c r="K176" s="7"/>
      <c r="L176" s="7" t="s">
        <v>30</v>
      </c>
      <c r="M176" s="8" t="s">
        <v>24</v>
      </c>
      <c r="N176" s="88"/>
      <c r="O176" s="88">
        <v>2750000</v>
      </c>
      <c r="P176" s="88">
        <v>6600000</v>
      </c>
      <c r="Q176" s="88">
        <v>6600000</v>
      </c>
      <c r="R176" s="88">
        <v>6600000</v>
      </c>
      <c r="S176" s="88">
        <v>0</v>
      </c>
      <c r="T176" s="50">
        <v>0</v>
      </c>
      <c r="U176" s="50">
        <v>0</v>
      </c>
      <c r="V176" s="89">
        <f t="shared" si="108"/>
        <v>22550000</v>
      </c>
      <c r="W176" s="89">
        <f t="shared" si="107"/>
        <v>25256000.000000004</v>
      </c>
      <c r="X176" s="7" t="s">
        <v>34</v>
      </c>
      <c r="Y176" s="51" t="s">
        <v>32</v>
      </c>
      <c r="Z176" s="49"/>
      <c r="AB176" s="93"/>
    </row>
    <row r="177" spans="1:28" s="19" customFormat="1" ht="76.5" outlineLevel="1" x14ac:dyDescent="0.3">
      <c r="A177" s="39" t="s">
        <v>283</v>
      </c>
      <c r="B177" s="66" t="s">
        <v>25</v>
      </c>
      <c r="C177" s="5" t="s">
        <v>284</v>
      </c>
      <c r="D177" s="5" t="s">
        <v>285</v>
      </c>
      <c r="E177" s="5" t="s">
        <v>285</v>
      </c>
      <c r="F177" s="38" t="s">
        <v>286</v>
      </c>
      <c r="G177" s="39" t="s">
        <v>20</v>
      </c>
      <c r="H177" s="68">
        <v>1</v>
      </c>
      <c r="I177" s="5" t="s">
        <v>287</v>
      </c>
      <c r="J177" s="69" t="s">
        <v>22</v>
      </c>
      <c r="K177" s="6"/>
      <c r="L177" s="6" t="s">
        <v>30</v>
      </c>
      <c r="M177" s="38" t="s">
        <v>24</v>
      </c>
      <c r="N177" s="83">
        <v>0</v>
      </c>
      <c r="O177" s="83">
        <v>0</v>
      </c>
      <c r="P177" s="83">
        <f>67622000+29695000</f>
        <v>97317000</v>
      </c>
      <c r="Q177" s="83">
        <f>P177*1.07</f>
        <v>104129190</v>
      </c>
      <c r="R177" s="83">
        <f>Q177*1.06</f>
        <v>110376941.40000001</v>
      </c>
      <c r="S177" s="83">
        <v>0</v>
      </c>
      <c r="T177" s="18">
        <v>0</v>
      </c>
      <c r="U177" s="18">
        <v>0</v>
      </c>
      <c r="V177" s="11">
        <v>0</v>
      </c>
      <c r="W177" s="121">
        <f t="shared" si="107"/>
        <v>0</v>
      </c>
      <c r="X177" s="6" t="s">
        <v>34</v>
      </c>
      <c r="Y177" s="12" t="s">
        <v>32</v>
      </c>
      <c r="Z177" s="38" t="s">
        <v>476</v>
      </c>
      <c r="AB177" s="102"/>
    </row>
    <row r="178" spans="1:28" s="65" customFormat="1" ht="63.75" outlineLevel="1" x14ac:dyDescent="0.3">
      <c r="A178" s="103" t="s">
        <v>474</v>
      </c>
      <c r="B178" s="104" t="s">
        <v>25</v>
      </c>
      <c r="C178" s="108" t="s">
        <v>284</v>
      </c>
      <c r="D178" s="108" t="s">
        <v>285</v>
      </c>
      <c r="E178" s="108" t="s">
        <v>285</v>
      </c>
      <c r="F178" s="106" t="s">
        <v>475</v>
      </c>
      <c r="G178" s="103" t="s">
        <v>20</v>
      </c>
      <c r="H178" s="107">
        <v>1</v>
      </c>
      <c r="I178" s="108" t="s">
        <v>287</v>
      </c>
      <c r="J178" s="109" t="s">
        <v>22</v>
      </c>
      <c r="K178" s="111"/>
      <c r="L178" s="111" t="s">
        <v>30</v>
      </c>
      <c r="M178" s="106" t="s">
        <v>24</v>
      </c>
      <c r="N178" s="117">
        <v>0</v>
      </c>
      <c r="O178" s="117">
        <v>0</v>
      </c>
      <c r="P178" s="117">
        <f>67622000+29695000</f>
        <v>97317000</v>
      </c>
      <c r="Q178" s="117">
        <f>P178*1.07</f>
        <v>104129190</v>
      </c>
      <c r="R178" s="117">
        <f>Q178*1.06</f>
        <v>110376941.40000001</v>
      </c>
      <c r="S178" s="117">
        <v>54000000</v>
      </c>
      <c r="T178" s="117"/>
      <c r="U178" s="113"/>
      <c r="V178" s="113">
        <f>P178+Q178+R178+S178</f>
        <v>365823131.39999998</v>
      </c>
      <c r="W178" s="113">
        <f t="shared" ref="W178" si="109">V178*1.12</f>
        <v>409721907.16799998</v>
      </c>
      <c r="X178" s="106" t="s">
        <v>34</v>
      </c>
      <c r="Y178" s="103" t="s">
        <v>32</v>
      </c>
      <c r="Z178" s="115"/>
      <c r="AB178" s="116"/>
    </row>
    <row r="179" spans="1:28" s="65" customFormat="1" ht="63.75" outlineLevel="1" x14ac:dyDescent="0.3">
      <c r="A179" s="39" t="s">
        <v>288</v>
      </c>
      <c r="B179" s="66" t="s">
        <v>25</v>
      </c>
      <c r="C179" s="5" t="s">
        <v>284</v>
      </c>
      <c r="D179" s="5" t="s">
        <v>285</v>
      </c>
      <c r="E179" s="5" t="s">
        <v>285</v>
      </c>
      <c r="F179" s="38" t="s">
        <v>477</v>
      </c>
      <c r="G179" s="39" t="s">
        <v>20</v>
      </c>
      <c r="H179" s="68">
        <v>1</v>
      </c>
      <c r="I179" s="5" t="s">
        <v>287</v>
      </c>
      <c r="J179" s="69" t="s">
        <v>153</v>
      </c>
      <c r="K179" s="6"/>
      <c r="L179" s="6" t="s">
        <v>30</v>
      </c>
      <c r="M179" s="38" t="s">
        <v>24</v>
      </c>
      <c r="N179" s="83">
        <v>0</v>
      </c>
      <c r="O179" s="83">
        <v>0</v>
      </c>
      <c r="P179" s="83">
        <v>2129359</v>
      </c>
      <c r="Q179" s="83">
        <f t="shared" ref="Q179:Q180" si="110">P179*1.07</f>
        <v>2278414.1300000004</v>
      </c>
      <c r="R179" s="83">
        <f>Q179*1.06</f>
        <v>2415118.9778000005</v>
      </c>
      <c r="S179" s="83">
        <v>0</v>
      </c>
      <c r="T179" s="18" t="s">
        <v>478</v>
      </c>
      <c r="U179" s="18" t="s">
        <v>478</v>
      </c>
      <c r="V179" s="84" t="s">
        <v>478</v>
      </c>
      <c r="W179" s="84" t="s">
        <v>478</v>
      </c>
      <c r="X179" s="6" t="s">
        <v>34</v>
      </c>
      <c r="Y179" s="12" t="s">
        <v>32</v>
      </c>
      <c r="Z179" s="38" t="s">
        <v>476</v>
      </c>
      <c r="AB179" s="93"/>
    </row>
    <row r="180" spans="1:28" s="65" customFormat="1" ht="89.25" outlineLevel="1" x14ac:dyDescent="0.2">
      <c r="A180" s="103" t="s">
        <v>479</v>
      </c>
      <c r="B180" s="104" t="s">
        <v>25</v>
      </c>
      <c r="C180" s="122" t="s">
        <v>480</v>
      </c>
      <c r="D180" s="122" t="s">
        <v>481</v>
      </c>
      <c r="E180" s="122" t="s">
        <v>482</v>
      </c>
      <c r="F180" s="106" t="s">
        <v>483</v>
      </c>
      <c r="G180" s="103" t="s">
        <v>20</v>
      </c>
      <c r="H180" s="107">
        <v>1</v>
      </c>
      <c r="I180" s="108" t="s">
        <v>287</v>
      </c>
      <c r="J180" s="104" t="s">
        <v>153</v>
      </c>
      <c r="K180" s="111"/>
      <c r="L180" s="111" t="s">
        <v>484</v>
      </c>
      <c r="M180" s="106" t="s">
        <v>24</v>
      </c>
      <c r="N180" s="117"/>
      <c r="O180" s="117"/>
      <c r="P180" s="117">
        <v>2129359</v>
      </c>
      <c r="Q180" s="117">
        <f t="shared" si="110"/>
        <v>2278414.1300000004</v>
      </c>
      <c r="R180" s="117">
        <f>Q180*1.06</f>
        <v>2415118.9778000005</v>
      </c>
      <c r="S180" s="123">
        <v>1315790.25</v>
      </c>
      <c r="T180" s="123"/>
      <c r="U180" s="118"/>
      <c r="V180" s="113">
        <f>P180+Q180+R180+S180</f>
        <v>8138682.3578000013</v>
      </c>
      <c r="W180" s="113">
        <f t="shared" ref="W180" si="111">V180*1.12</f>
        <v>9115324.2407360021</v>
      </c>
      <c r="X180" s="111" t="s">
        <v>34</v>
      </c>
      <c r="Y180" s="119" t="s">
        <v>32</v>
      </c>
      <c r="Z180" s="120"/>
      <c r="AB180" s="116"/>
    </row>
    <row r="181" spans="1:28" s="65" customFormat="1" ht="102" outlineLevel="1" x14ac:dyDescent="0.3">
      <c r="A181" s="39" t="s">
        <v>289</v>
      </c>
      <c r="B181" s="66" t="s">
        <v>25</v>
      </c>
      <c r="C181" s="5" t="s">
        <v>290</v>
      </c>
      <c r="D181" s="5" t="s">
        <v>291</v>
      </c>
      <c r="E181" s="5" t="s">
        <v>292</v>
      </c>
      <c r="F181" s="38" t="s">
        <v>485</v>
      </c>
      <c r="G181" s="39" t="s">
        <v>20</v>
      </c>
      <c r="H181" s="68">
        <v>1</v>
      </c>
      <c r="I181" s="5" t="s">
        <v>287</v>
      </c>
      <c r="J181" s="69" t="s">
        <v>22</v>
      </c>
      <c r="K181" s="6"/>
      <c r="L181" s="6" t="s">
        <v>30</v>
      </c>
      <c r="M181" s="38" t="s">
        <v>24</v>
      </c>
      <c r="N181" s="83">
        <v>0</v>
      </c>
      <c r="O181" s="83">
        <v>0</v>
      </c>
      <c r="P181" s="83">
        <v>132750000</v>
      </c>
      <c r="Q181" s="83">
        <v>142042500</v>
      </c>
      <c r="R181" s="83">
        <v>150565050</v>
      </c>
      <c r="S181" s="83">
        <v>0</v>
      </c>
      <c r="T181" s="18" t="s">
        <v>478</v>
      </c>
      <c r="U181" s="18" t="s">
        <v>478</v>
      </c>
      <c r="V181" s="84" t="s">
        <v>478</v>
      </c>
      <c r="W181" s="84" t="s">
        <v>478</v>
      </c>
      <c r="X181" s="6" t="s">
        <v>34</v>
      </c>
      <c r="Y181" s="12" t="s">
        <v>32</v>
      </c>
      <c r="Z181" s="38" t="s">
        <v>476</v>
      </c>
      <c r="AB181" s="93"/>
    </row>
    <row r="182" spans="1:28" s="65" customFormat="1" ht="102" outlineLevel="1" x14ac:dyDescent="0.3">
      <c r="A182" s="103" t="s">
        <v>486</v>
      </c>
      <c r="B182" s="104" t="s">
        <v>25</v>
      </c>
      <c r="C182" s="108" t="s">
        <v>290</v>
      </c>
      <c r="D182" s="108" t="s">
        <v>291</v>
      </c>
      <c r="E182" s="108" t="s">
        <v>292</v>
      </c>
      <c r="F182" s="106" t="s">
        <v>487</v>
      </c>
      <c r="G182" s="103" t="s">
        <v>20</v>
      </c>
      <c r="H182" s="107">
        <v>1</v>
      </c>
      <c r="I182" s="108" t="s">
        <v>287</v>
      </c>
      <c r="J182" s="109" t="s">
        <v>22</v>
      </c>
      <c r="K182" s="111"/>
      <c r="L182" s="111" t="s">
        <v>30</v>
      </c>
      <c r="M182" s="106" t="s">
        <v>24</v>
      </c>
      <c r="N182" s="117">
        <v>0</v>
      </c>
      <c r="O182" s="117">
        <v>0</v>
      </c>
      <c r="P182" s="117">
        <v>132750000</v>
      </c>
      <c r="Q182" s="117">
        <f t="shared" ref="Q182" si="112">P182*1.07</f>
        <v>142042500</v>
      </c>
      <c r="R182" s="117">
        <f>Q182*1.06</f>
        <v>150565050</v>
      </c>
      <c r="S182" s="124">
        <v>127326200</v>
      </c>
      <c r="T182" s="118"/>
      <c r="U182" s="118"/>
      <c r="V182" s="113">
        <f>P182+Q182+R182+S182</f>
        <v>552683750</v>
      </c>
      <c r="W182" s="113">
        <f t="shared" ref="W182" si="113">V182*1.12</f>
        <v>619005800</v>
      </c>
      <c r="X182" s="111" t="s">
        <v>34</v>
      </c>
      <c r="Y182" s="119" t="s">
        <v>32</v>
      </c>
      <c r="Z182" s="115"/>
      <c r="AB182" s="116"/>
    </row>
    <row r="183" spans="1:28" s="65" customFormat="1" ht="114.75" outlineLevel="1" x14ac:dyDescent="0.3">
      <c r="A183" s="15" t="s">
        <v>293</v>
      </c>
      <c r="B183" s="14" t="s">
        <v>25</v>
      </c>
      <c r="C183" s="2" t="s">
        <v>290</v>
      </c>
      <c r="D183" s="2" t="s">
        <v>291</v>
      </c>
      <c r="E183" s="2" t="s">
        <v>292</v>
      </c>
      <c r="F183" s="8" t="s">
        <v>294</v>
      </c>
      <c r="G183" s="15" t="s">
        <v>20</v>
      </c>
      <c r="H183" s="4">
        <v>1</v>
      </c>
      <c r="I183" s="2" t="s">
        <v>287</v>
      </c>
      <c r="J183" s="1" t="s">
        <v>153</v>
      </c>
      <c r="K183" s="7"/>
      <c r="L183" s="7" t="s">
        <v>30</v>
      </c>
      <c r="M183" s="8" t="s">
        <v>24</v>
      </c>
      <c r="N183" s="50">
        <v>0</v>
      </c>
      <c r="O183" s="50">
        <v>0</v>
      </c>
      <c r="P183" s="50">
        <v>15687583</v>
      </c>
      <c r="Q183" s="50">
        <f t="shared" ref="Q183" si="114">P183*1.07</f>
        <v>16785713.810000002</v>
      </c>
      <c r="R183" s="50">
        <f>P183*1.06</f>
        <v>16628837.98</v>
      </c>
      <c r="S183" s="50">
        <v>0</v>
      </c>
      <c r="T183" s="50">
        <v>0</v>
      </c>
      <c r="U183" s="50">
        <v>0</v>
      </c>
      <c r="V183" s="9">
        <v>0</v>
      </c>
      <c r="W183" s="61">
        <f>V183*1.12</f>
        <v>0</v>
      </c>
      <c r="X183" s="7" t="s">
        <v>34</v>
      </c>
      <c r="Y183" s="51" t="s">
        <v>32</v>
      </c>
      <c r="Z183" s="8" t="s">
        <v>365</v>
      </c>
      <c r="AB183" s="93"/>
    </row>
    <row r="184" spans="1:28" s="65" customFormat="1" ht="89.25" outlineLevel="1" x14ac:dyDescent="0.3">
      <c r="A184" s="39" t="s">
        <v>364</v>
      </c>
      <c r="B184" s="66" t="s">
        <v>25</v>
      </c>
      <c r="C184" s="5" t="s">
        <v>290</v>
      </c>
      <c r="D184" s="5" t="s">
        <v>291</v>
      </c>
      <c r="E184" s="5" t="s">
        <v>292</v>
      </c>
      <c r="F184" s="38" t="s">
        <v>488</v>
      </c>
      <c r="G184" s="39" t="s">
        <v>20</v>
      </c>
      <c r="H184" s="68">
        <v>1</v>
      </c>
      <c r="I184" s="5" t="s">
        <v>287</v>
      </c>
      <c r="J184" s="69" t="s">
        <v>153</v>
      </c>
      <c r="K184" s="6"/>
      <c r="L184" s="6" t="s">
        <v>30</v>
      </c>
      <c r="M184" s="38" t="s">
        <v>24</v>
      </c>
      <c r="N184" s="83">
        <v>0</v>
      </c>
      <c r="O184" s="83">
        <v>0</v>
      </c>
      <c r="P184" s="83">
        <v>15730562.880000001</v>
      </c>
      <c r="Q184" s="83">
        <v>16785561.600000001</v>
      </c>
      <c r="R184" s="83">
        <v>17792611.199999999</v>
      </c>
      <c r="S184" s="83">
        <v>0</v>
      </c>
      <c r="T184" s="18" t="s">
        <v>478</v>
      </c>
      <c r="U184" s="18" t="s">
        <v>478</v>
      </c>
      <c r="V184" s="84" t="s">
        <v>478</v>
      </c>
      <c r="W184" s="84" t="s">
        <v>478</v>
      </c>
      <c r="X184" s="6" t="s">
        <v>34</v>
      </c>
      <c r="Y184" s="12" t="s">
        <v>32</v>
      </c>
      <c r="Z184" s="38" t="s">
        <v>476</v>
      </c>
      <c r="AB184" s="93"/>
    </row>
    <row r="185" spans="1:28" s="65" customFormat="1" ht="140.25" outlineLevel="1" x14ac:dyDescent="0.2">
      <c r="A185" s="103" t="s">
        <v>489</v>
      </c>
      <c r="B185" s="104" t="s">
        <v>25</v>
      </c>
      <c r="C185" s="122" t="s">
        <v>490</v>
      </c>
      <c r="D185" s="122" t="s">
        <v>291</v>
      </c>
      <c r="E185" s="122" t="s">
        <v>491</v>
      </c>
      <c r="F185" s="106" t="s">
        <v>492</v>
      </c>
      <c r="G185" s="103" t="s">
        <v>20</v>
      </c>
      <c r="H185" s="107">
        <v>1</v>
      </c>
      <c r="I185" s="108" t="s">
        <v>287</v>
      </c>
      <c r="J185" s="104" t="s">
        <v>153</v>
      </c>
      <c r="K185" s="111"/>
      <c r="L185" s="111" t="s">
        <v>484</v>
      </c>
      <c r="M185" s="106" t="s">
        <v>24</v>
      </c>
      <c r="N185" s="117"/>
      <c r="O185" s="117"/>
      <c r="P185" s="117">
        <v>15730562.880000001</v>
      </c>
      <c r="Q185" s="117">
        <v>16785561.600000001</v>
      </c>
      <c r="R185" s="117">
        <v>17792611.199999999</v>
      </c>
      <c r="S185" s="123">
        <v>10126059.6</v>
      </c>
      <c r="T185" s="123"/>
      <c r="U185" s="118"/>
      <c r="V185" s="113">
        <f>P185+Q185+R185+S185</f>
        <v>60434795.280000009</v>
      </c>
      <c r="W185" s="113">
        <f>V185*1.12</f>
        <v>67686970.71360001</v>
      </c>
      <c r="X185" s="111" t="s">
        <v>34</v>
      </c>
      <c r="Y185" s="119" t="s">
        <v>32</v>
      </c>
      <c r="Z185" s="120"/>
      <c r="AB185" s="116"/>
    </row>
    <row r="186" spans="1:28" s="65" customFormat="1" ht="114.75" outlineLevel="1" x14ac:dyDescent="0.3">
      <c r="A186" s="39" t="s">
        <v>295</v>
      </c>
      <c r="B186" s="66" t="s">
        <v>25</v>
      </c>
      <c r="C186" s="38" t="s">
        <v>296</v>
      </c>
      <c r="D186" s="38" t="s">
        <v>297</v>
      </c>
      <c r="E186" s="38" t="s">
        <v>297</v>
      </c>
      <c r="F186" s="38" t="s">
        <v>493</v>
      </c>
      <c r="G186" s="39" t="s">
        <v>42</v>
      </c>
      <c r="H186" s="68">
        <v>1</v>
      </c>
      <c r="I186" s="5" t="s">
        <v>287</v>
      </c>
      <c r="J186" s="69" t="s">
        <v>22</v>
      </c>
      <c r="K186" s="6"/>
      <c r="L186" s="6" t="s">
        <v>30</v>
      </c>
      <c r="M186" s="38" t="s">
        <v>24</v>
      </c>
      <c r="N186" s="83">
        <v>0</v>
      </c>
      <c r="O186" s="83">
        <v>0</v>
      </c>
      <c r="P186" s="83">
        <v>35587400</v>
      </c>
      <c r="Q186" s="83">
        <v>35587400</v>
      </c>
      <c r="R186" s="83">
        <v>35587400</v>
      </c>
      <c r="S186" s="83">
        <v>0</v>
      </c>
      <c r="T186" s="18" t="s">
        <v>478</v>
      </c>
      <c r="U186" s="18" t="s">
        <v>478</v>
      </c>
      <c r="V186" s="84" t="s">
        <v>478</v>
      </c>
      <c r="W186" s="84" t="s">
        <v>478</v>
      </c>
      <c r="X186" s="6" t="s">
        <v>34</v>
      </c>
      <c r="Y186" s="12" t="s">
        <v>32</v>
      </c>
      <c r="Z186" s="38" t="s">
        <v>476</v>
      </c>
      <c r="AB186" s="93"/>
    </row>
    <row r="187" spans="1:28" s="65" customFormat="1" ht="89.25" outlineLevel="1" x14ac:dyDescent="0.3">
      <c r="A187" s="103" t="s">
        <v>494</v>
      </c>
      <c r="B187" s="104" t="s">
        <v>25</v>
      </c>
      <c r="C187" s="106" t="s">
        <v>296</v>
      </c>
      <c r="D187" s="106" t="s">
        <v>297</v>
      </c>
      <c r="E187" s="106" t="s">
        <v>297</v>
      </c>
      <c r="F187" s="106" t="s">
        <v>495</v>
      </c>
      <c r="G187" s="103" t="s">
        <v>42</v>
      </c>
      <c r="H187" s="107">
        <v>1</v>
      </c>
      <c r="I187" s="108" t="s">
        <v>287</v>
      </c>
      <c r="J187" s="109" t="s">
        <v>22</v>
      </c>
      <c r="K187" s="111"/>
      <c r="L187" s="111" t="s">
        <v>30</v>
      </c>
      <c r="M187" s="106" t="s">
        <v>24</v>
      </c>
      <c r="N187" s="117">
        <v>0</v>
      </c>
      <c r="O187" s="117">
        <v>0</v>
      </c>
      <c r="P187" s="117">
        <v>35587400</v>
      </c>
      <c r="Q187" s="117">
        <v>35587400</v>
      </c>
      <c r="R187" s="117">
        <v>35587400</v>
      </c>
      <c r="S187" s="124">
        <v>18049267.850000001</v>
      </c>
      <c r="T187" s="118"/>
      <c r="U187" s="118"/>
      <c r="V187" s="113">
        <f t="shared" ref="V187" si="115">P187+Q187+R187+S187</f>
        <v>124811467.84999999</v>
      </c>
      <c r="W187" s="113">
        <f t="shared" ref="W187" si="116">V187*1.12</f>
        <v>139788843.99200001</v>
      </c>
      <c r="X187" s="111" t="s">
        <v>34</v>
      </c>
      <c r="Y187" s="119" t="s">
        <v>32</v>
      </c>
      <c r="Z187" s="115"/>
      <c r="AB187" s="116"/>
    </row>
    <row r="188" spans="1:28" s="65" customFormat="1" ht="76.5" outlineLevel="1" x14ac:dyDescent="0.3">
      <c r="A188" s="39" t="s">
        <v>298</v>
      </c>
      <c r="B188" s="66" t="s">
        <v>25</v>
      </c>
      <c r="C188" s="38" t="s">
        <v>296</v>
      </c>
      <c r="D188" s="38" t="s">
        <v>297</v>
      </c>
      <c r="E188" s="38" t="s">
        <v>297</v>
      </c>
      <c r="F188" s="38" t="s">
        <v>496</v>
      </c>
      <c r="G188" s="39" t="s">
        <v>42</v>
      </c>
      <c r="H188" s="68">
        <v>1</v>
      </c>
      <c r="I188" s="5" t="s">
        <v>287</v>
      </c>
      <c r="J188" s="69" t="s">
        <v>153</v>
      </c>
      <c r="K188" s="6"/>
      <c r="L188" s="6" t="s">
        <v>30</v>
      </c>
      <c r="M188" s="38" t="s">
        <v>24</v>
      </c>
      <c r="N188" s="83">
        <v>0</v>
      </c>
      <c r="O188" s="83">
        <v>0</v>
      </c>
      <c r="P188" s="83">
        <v>919764</v>
      </c>
      <c r="Q188" s="83">
        <v>919764</v>
      </c>
      <c r="R188" s="83">
        <v>919764</v>
      </c>
      <c r="S188" s="83">
        <v>0</v>
      </c>
      <c r="T188" s="18" t="s">
        <v>478</v>
      </c>
      <c r="U188" s="18" t="s">
        <v>478</v>
      </c>
      <c r="V188" s="84" t="s">
        <v>478</v>
      </c>
      <c r="W188" s="84" t="s">
        <v>478</v>
      </c>
      <c r="X188" s="6" t="s">
        <v>34</v>
      </c>
      <c r="Y188" s="12" t="s">
        <v>32</v>
      </c>
      <c r="Z188" s="38" t="s">
        <v>228</v>
      </c>
      <c r="AB188" s="93"/>
    </row>
    <row r="189" spans="1:28" s="65" customFormat="1" ht="76.5" outlineLevel="1" x14ac:dyDescent="0.2">
      <c r="A189" s="103" t="s">
        <v>497</v>
      </c>
      <c r="B189" s="104" t="s">
        <v>25</v>
      </c>
      <c r="C189" s="122" t="s">
        <v>498</v>
      </c>
      <c r="D189" s="122" t="s">
        <v>297</v>
      </c>
      <c r="E189" s="122" t="s">
        <v>297</v>
      </c>
      <c r="F189" s="106" t="s">
        <v>496</v>
      </c>
      <c r="G189" s="103" t="s">
        <v>42</v>
      </c>
      <c r="H189" s="107">
        <v>1</v>
      </c>
      <c r="I189" s="108" t="s">
        <v>287</v>
      </c>
      <c r="J189" s="104" t="s">
        <v>153</v>
      </c>
      <c r="K189" s="111"/>
      <c r="L189" s="111" t="s">
        <v>484</v>
      </c>
      <c r="M189" s="106" t="s">
        <v>24</v>
      </c>
      <c r="N189" s="117"/>
      <c r="O189" s="117"/>
      <c r="P189" s="117">
        <v>919764</v>
      </c>
      <c r="Q189" s="117">
        <v>919764</v>
      </c>
      <c r="R189" s="117">
        <v>919764</v>
      </c>
      <c r="S189" s="123">
        <v>472500</v>
      </c>
      <c r="T189" s="118"/>
      <c r="U189" s="118"/>
      <c r="V189" s="113">
        <f>P189+Q189+R189+S189</f>
        <v>3231792</v>
      </c>
      <c r="W189" s="113">
        <f>V189*1.12</f>
        <v>3619607.0400000005</v>
      </c>
      <c r="X189" s="111" t="s">
        <v>34</v>
      </c>
      <c r="Y189" s="119" t="s">
        <v>32</v>
      </c>
      <c r="Z189" s="120"/>
      <c r="AB189" s="116"/>
    </row>
    <row r="190" spans="1:28" s="65" customFormat="1" ht="178.5" outlineLevel="1" x14ac:dyDescent="0.2">
      <c r="A190" s="15" t="s">
        <v>299</v>
      </c>
      <c r="B190" s="14" t="s">
        <v>25</v>
      </c>
      <c r="C190" s="8" t="s">
        <v>300</v>
      </c>
      <c r="D190" s="8" t="s">
        <v>301</v>
      </c>
      <c r="E190" s="8" t="s">
        <v>301</v>
      </c>
      <c r="F190" s="8" t="s">
        <v>302</v>
      </c>
      <c r="G190" s="15" t="s">
        <v>42</v>
      </c>
      <c r="H190" s="4">
        <v>1</v>
      </c>
      <c r="I190" s="2" t="s">
        <v>287</v>
      </c>
      <c r="J190" s="1" t="s">
        <v>22</v>
      </c>
      <c r="K190" s="7"/>
      <c r="L190" s="7" t="s">
        <v>30</v>
      </c>
      <c r="M190" s="8" t="s">
        <v>24</v>
      </c>
      <c r="N190" s="88">
        <v>0</v>
      </c>
      <c r="O190" s="88">
        <v>0</v>
      </c>
      <c r="P190" s="88">
        <v>13922321</v>
      </c>
      <c r="Q190" s="88">
        <v>13922321</v>
      </c>
      <c r="R190" s="88">
        <v>13922321</v>
      </c>
      <c r="S190" s="88">
        <v>0</v>
      </c>
      <c r="T190" s="50">
        <v>0</v>
      </c>
      <c r="U190" s="50">
        <v>0</v>
      </c>
      <c r="V190" s="89">
        <f t="shared" si="108"/>
        <v>41766963</v>
      </c>
      <c r="W190" s="89">
        <f t="shared" ref="W190:W192" si="117">V190*1.12</f>
        <v>46778998.560000002</v>
      </c>
      <c r="X190" s="7" t="s">
        <v>34</v>
      </c>
      <c r="Y190" s="51" t="s">
        <v>32</v>
      </c>
      <c r="Z190" s="49"/>
      <c r="AB190" s="93"/>
    </row>
    <row r="191" spans="1:28" s="65" customFormat="1" ht="76.5" outlineLevel="1" x14ac:dyDescent="0.3">
      <c r="A191" s="15" t="s">
        <v>303</v>
      </c>
      <c r="B191" s="14" t="s">
        <v>25</v>
      </c>
      <c r="C191" s="8" t="s">
        <v>300</v>
      </c>
      <c r="D191" s="8" t="s">
        <v>301</v>
      </c>
      <c r="E191" s="8" t="s">
        <v>301</v>
      </c>
      <c r="F191" s="8" t="s">
        <v>304</v>
      </c>
      <c r="G191" s="15" t="s">
        <v>42</v>
      </c>
      <c r="H191" s="4">
        <v>1</v>
      </c>
      <c r="I191" s="2" t="s">
        <v>287</v>
      </c>
      <c r="J191" s="1" t="s">
        <v>153</v>
      </c>
      <c r="K191" s="7"/>
      <c r="L191" s="7" t="s">
        <v>30</v>
      </c>
      <c r="M191" s="8" t="s">
        <v>24</v>
      </c>
      <c r="N191" s="50">
        <v>0</v>
      </c>
      <c r="O191" s="50">
        <v>0</v>
      </c>
      <c r="P191" s="50">
        <v>701595</v>
      </c>
      <c r="Q191" s="50">
        <v>701595</v>
      </c>
      <c r="R191" s="50">
        <v>701595</v>
      </c>
      <c r="S191" s="50">
        <v>0</v>
      </c>
      <c r="T191" s="50">
        <v>0</v>
      </c>
      <c r="U191" s="50">
        <v>0</v>
      </c>
      <c r="V191" s="9">
        <v>0</v>
      </c>
      <c r="W191" s="61">
        <f t="shared" si="117"/>
        <v>0</v>
      </c>
      <c r="X191" s="7" t="s">
        <v>34</v>
      </c>
      <c r="Y191" s="51" t="s">
        <v>32</v>
      </c>
      <c r="Z191" s="8">
        <v>9</v>
      </c>
      <c r="AB191" s="93"/>
    </row>
    <row r="192" spans="1:28" s="65" customFormat="1" ht="76.5" outlineLevel="1" x14ac:dyDescent="0.3">
      <c r="A192" s="15" t="s">
        <v>386</v>
      </c>
      <c r="B192" s="14" t="s">
        <v>25</v>
      </c>
      <c r="C192" s="8" t="s">
        <v>300</v>
      </c>
      <c r="D192" s="8" t="s">
        <v>301</v>
      </c>
      <c r="E192" s="8" t="s">
        <v>301</v>
      </c>
      <c r="F192" s="8" t="s">
        <v>304</v>
      </c>
      <c r="G192" s="15" t="s">
        <v>42</v>
      </c>
      <c r="H192" s="4">
        <v>1</v>
      </c>
      <c r="I192" s="2" t="s">
        <v>384</v>
      </c>
      <c r="J192" s="1" t="s">
        <v>153</v>
      </c>
      <c r="K192" s="7"/>
      <c r="L192" s="7" t="s">
        <v>30</v>
      </c>
      <c r="M192" s="8" t="s">
        <v>24</v>
      </c>
      <c r="N192" s="50">
        <v>0</v>
      </c>
      <c r="O192" s="50">
        <v>0</v>
      </c>
      <c r="P192" s="50">
        <v>701595</v>
      </c>
      <c r="Q192" s="50">
        <v>701595</v>
      </c>
      <c r="R192" s="50">
        <v>701595</v>
      </c>
      <c r="S192" s="50">
        <v>0</v>
      </c>
      <c r="T192" s="50">
        <v>0</v>
      </c>
      <c r="U192" s="50">
        <v>0</v>
      </c>
      <c r="V192" s="9">
        <v>0</v>
      </c>
      <c r="W192" s="61">
        <f t="shared" si="117"/>
        <v>0</v>
      </c>
      <c r="X192" s="7" t="s">
        <v>34</v>
      </c>
      <c r="Y192" s="51" t="s">
        <v>32</v>
      </c>
      <c r="Z192" s="8" t="s">
        <v>209</v>
      </c>
      <c r="AB192" s="93"/>
    </row>
    <row r="193" spans="1:28" s="65" customFormat="1" ht="114.75" outlineLevel="1" x14ac:dyDescent="0.3">
      <c r="A193" s="39" t="s">
        <v>305</v>
      </c>
      <c r="B193" s="66" t="s">
        <v>25</v>
      </c>
      <c r="C193" s="38" t="s">
        <v>306</v>
      </c>
      <c r="D193" s="38" t="s">
        <v>307</v>
      </c>
      <c r="E193" s="38" t="s">
        <v>307</v>
      </c>
      <c r="F193" s="38" t="s">
        <v>499</v>
      </c>
      <c r="G193" s="39" t="s">
        <v>42</v>
      </c>
      <c r="H193" s="68">
        <v>1</v>
      </c>
      <c r="I193" s="5" t="s">
        <v>287</v>
      </c>
      <c r="J193" s="69" t="s">
        <v>22</v>
      </c>
      <c r="K193" s="6"/>
      <c r="L193" s="6" t="s">
        <v>30</v>
      </c>
      <c r="M193" s="38" t="s">
        <v>24</v>
      </c>
      <c r="N193" s="83">
        <v>0</v>
      </c>
      <c r="O193" s="83">
        <v>0</v>
      </c>
      <c r="P193" s="83">
        <v>51998000</v>
      </c>
      <c r="Q193" s="83">
        <v>51998000</v>
      </c>
      <c r="R193" s="83">
        <v>51998000</v>
      </c>
      <c r="S193" s="83">
        <v>0</v>
      </c>
      <c r="T193" s="18" t="s">
        <v>478</v>
      </c>
      <c r="U193" s="18" t="s">
        <v>478</v>
      </c>
      <c r="V193" s="84" t="s">
        <v>478</v>
      </c>
      <c r="W193" s="84" t="s">
        <v>478</v>
      </c>
      <c r="X193" s="6" t="s">
        <v>34</v>
      </c>
      <c r="Y193" s="12" t="s">
        <v>32</v>
      </c>
      <c r="Z193" s="38" t="s">
        <v>228</v>
      </c>
      <c r="AB193" s="93"/>
    </row>
    <row r="194" spans="1:28" s="65" customFormat="1" ht="102" outlineLevel="1" x14ac:dyDescent="0.3">
      <c r="A194" s="103" t="s">
        <v>500</v>
      </c>
      <c r="B194" s="104" t="s">
        <v>25</v>
      </c>
      <c r="C194" s="106" t="s">
        <v>306</v>
      </c>
      <c r="D194" s="106" t="s">
        <v>307</v>
      </c>
      <c r="E194" s="106" t="s">
        <v>307</v>
      </c>
      <c r="F194" s="106" t="s">
        <v>501</v>
      </c>
      <c r="G194" s="103" t="s">
        <v>42</v>
      </c>
      <c r="H194" s="107">
        <v>1</v>
      </c>
      <c r="I194" s="108" t="s">
        <v>287</v>
      </c>
      <c r="J194" s="109" t="s">
        <v>22</v>
      </c>
      <c r="K194" s="111"/>
      <c r="L194" s="111" t="s">
        <v>30</v>
      </c>
      <c r="M194" s="106" t="s">
        <v>24</v>
      </c>
      <c r="N194" s="117">
        <v>0</v>
      </c>
      <c r="O194" s="117">
        <v>0</v>
      </c>
      <c r="P194" s="117">
        <v>51998000</v>
      </c>
      <c r="Q194" s="117">
        <v>51998000</v>
      </c>
      <c r="R194" s="117">
        <v>51998000</v>
      </c>
      <c r="S194" s="117">
        <v>46606714</v>
      </c>
      <c r="T194" s="118"/>
      <c r="U194" s="118"/>
      <c r="V194" s="113">
        <f t="shared" ref="V194" si="118">P194+Q194+R194+S194</f>
        <v>202600714</v>
      </c>
      <c r="W194" s="113">
        <f t="shared" ref="W194" si="119">V194*1.12</f>
        <v>226912799.68000001</v>
      </c>
      <c r="X194" s="111" t="s">
        <v>34</v>
      </c>
      <c r="Y194" s="119" t="s">
        <v>32</v>
      </c>
      <c r="Z194" s="115"/>
      <c r="AB194" s="116"/>
    </row>
    <row r="195" spans="1:28" s="65" customFormat="1" ht="102" outlineLevel="1" x14ac:dyDescent="0.3">
      <c r="A195" s="39" t="s">
        <v>308</v>
      </c>
      <c r="B195" s="66" t="s">
        <v>25</v>
      </c>
      <c r="C195" s="38" t="s">
        <v>306</v>
      </c>
      <c r="D195" s="38" t="s">
        <v>307</v>
      </c>
      <c r="E195" s="38" t="s">
        <v>307</v>
      </c>
      <c r="F195" s="38" t="s">
        <v>502</v>
      </c>
      <c r="G195" s="39" t="s">
        <v>42</v>
      </c>
      <c r="H195" s="68">
        <v>1</v>
      </c>
      <c r="I195" s="5" t="s">
        <v>287</v>
      </c>
      <c r="J195" s="69" t="s">
        <v>153</v>
      </c>
      <c r="K195" s="6"/>
      <c r="L195" s="6" t="s">
        <v>30</v>
      </c>
      <c r="M195" s="38" t="s">
        <v>24</v>
      </c>
      <c r="N195" s="83">
        <v>0</v>
      </c>
      <c r="O195" s="83">
        <v>0</v>
      </c>
      <c r="P195" s="83">
        <v>592000</v>
      </c>
      <c r="Q195" s="83">
        <v>592000</v>
      </c>
      <c r="R195" s="83">
        <v>592000</v>
      </c>
      <c r="S195" s="83">
        <v>0</v>
      </c>
      <c r="T195" s="18" t="s">
        <v>478</v>
      </c>
      <c r="U195" s="18" t="s">
        <v>478</v>
      </c>
      <c r="V195" s="84" t="s">
        <v>478</v>
      </c>
      <c r="W195" s="84" t="s">
        <v>478</v>
      </c>
      <c r="X195" s="6" t="s">
        <v>34</v>
      </c>
      <c r="Y195" s="12" t="s">
        <v>32</v>
      </c>
      <c r="Z195" s="38" t="s">
        <v>228</v>
      </c>
      <c r="AB195" s="93"/>
    </row>
    <row r="196" spans="1:28" s="65" customFormat="1" ht="102" outlineLevel="1" x14ac:dyDescent="0.2">
      <c r="A196" s="103" t="s">
        <v>503</v>
      </c>
      <c r="B196" s="104" t="s">
        <v>25</v>
      </c>
      <c r="C196" s="122" t="s">
        <v>504</v>
      </c>
      <c r="D196" s="122" t="s">
        <v>307</v>
      </c>
      <c r="E196" s="122" t="s">
        <v>307</v>
      </c>
      <c r="F196" s="125" t="s">
        <v>505</v>
      </c>
      <c r="G196" s="103" t="s">
        <v>42</v>
      </c>
      <c r="H196" s="107">
        <v>1</v>
      </c>
      <c r="I196" s="108" t="s">
        <v>287</v>
      </c>
      <c r="J196" s="104" t="s">
        <v>153</v>
      </c>
      <c r="K196" s="111"/>
      <c r="L196" s="111" t="s">
        <v>506</v>
      </c>
      <c r="M196" s="106" t="s">
        <v>24</v>
      </c>
      <c r="N196" s="117"/>
      <c r="O196" s="117"/>
      <c r="P196" s="117">
        <v>592000</v>
      </c>
      <c r="Q196" s="117">
        <v>592000</v>
      </c>
      <c r="R196" s="117">
        <v>592000</v>
      </c>
      <c r="S196" s="126">
        <v>581347</v>
      </c>
      <c r="T196" s="127"/>
      <c r="U196" s="127"/>
      <c r="V196" s="113">
        <f>P196+Q196+R196+S196</f>
        <v>2357347</v>
      </c>
      <c r="W196" s="113">
        <f t="shared" ref="W196" si="120">V196*1.12</f>
        <v>2640228.64</v>
      </c>
      <c r="X196" s="111" t="s">
        <v>34</v>
      </c>
      <c r="Y196" s="119" t="s">
        <v>32</v>
      </c>
      <c r="Z196" s="120"/>
      <c r="AB196" s="116"/>
    </row>
    <row r="197" spans="1:28" s="65" customFormat="1" ht="191.25" outlineLevel="1" x14ac:dyDescent="0.3">
      <c r="A197" s="15" t="s">
        <v>309</v>
      </c>
      <c r="B197" s="14" t="s">
        <v>25</v>
      </c>
      <c r="C197" s="8" t="s">
        <v>310</v>
      </c>
      <c r="D197" s="8" t="s">
        <v>311</v>
      </c>
      <c r="E197" s="8" t="s">
        <v>311</v>
      </c>
      <c r="F197" s="8" t="s">
        <v>312</v>
      </c>
      <c r="G197" s="15" t="s">
        <v>42</v>
      </c>
      <c r="H197" s="4">
        <v>1</v>
      </c>
      <c r="I197" s="2" t="s">
        <v>287</v>
      </c>
      <c r="J197" s="1" t="s">
        <v>22</v>
      </c>
      <c r="K197" s="7"/>
      <c r="L197" s="7" t="s">
        <v>30</v>
      </c>
      <c r="M197" s="8" t="s">
        <v>24</v>
      </c>
      <c r="N197" s="50">
        <v>0</v>
      </c>
      <c r="O197" s="50">
        <v>0</v>
      </c>
      <c r="P197" s="50">
        <v>7194134</v>
      </c>
      <c r="Q197" s="50">
        <v>7194134</v>
      </c>
      <c r="R197" s="50">
        <v>7194134</v>
      </c>
      <c r="S197" s="50">
        <v>0</v>
      </c>
      <c r="T197" s="50">
        <v>0</v>
      </c>
      <c r="U197" s="50">
        <v>0</v>
      </c>
      <c r="V197" s="9">
        <v>0</v>
      </c>
      <c r="W197" s="61">
        <f t="shared" ref="W197:W198" si="121">V197*1.12</f>
        <v>0</v>
      </c>
      <c r="X197" s="7" t="s">
        <v>34</v>
      </c>
      <c r="Y197" s="51" t="s">
        <v>32</v>
      </c>
      <c r="Z197" s="8">
        <v>6</v>
      </c>
      <c r="AB197" s="93"/>
    </row>
    <row r="198" spans="1:28" s="65" customFormat="1" ht="204" outlineLevel="1" x14ac:dyDescent="0.2">
      <c r="A198" s="15" t="s">
        <v>366</v>
      </c>
      <c r="B198" s="14" t="s">
        <v>25</v>
      </c>
      <c r="C198" s="8" t="s">
        <v>310</v>
      </c>
      <c r="D198" s="8" t="s">
        <v>311</v>
      </c>
      <c r="E198" s="8" t="s">
        <v>311</v>
      </c>
      <c r="F198" s="8" t="s">
        <v>367</v>
      </c>
      <c r="G198" s="15" t="s">
        <v>42</v>
      </c>
      <c r="H198" s="4">
        <v>1</v>
      </c>
      <c r="I198" s="2" t="s">
        <v>287</v>
      </c>
      <c r="J198" s="1" t="s">
        <v>22</v>
      </c>
      <c r="K198" s="7"/>
      <c r="L198" s="7" t="s">
        <v>30</v>
      </c>
      <c r="M198" s="8" t="s">
        <v>24</v>
      </c>
      <c r="N198" s="88">
        <v>0</v>
      </c>
      <c r="O198" s="88">
        <v>0</v>
      </c>
      <c r="P198" s="88">
        <v>7194134</v>
      </c>
      <c r="Q198" s="88">
        <v>7194134</v>
      </c>
      <c r="R198" s="88">
        <v>7194134</v>
      </c>
      <c r="S198" s="88">
        <v>0</v>
      </c>
      <c r="T198" s="50">
        <v>0</v>
      </c>
      <c r="U198" s="50">
        <v>0</v>
      </c>
      <c r="V198" s="89">
        <f t="shared" ref="V198:V209" si="122">N198+O198+P198+Q198+R198+T198</f>
        <v>21582402</v>
      </c>
      <c r="W198" s="89">
        <f t="shared" si="121"/>
        <v>24172290.240000002</v>
      </c>
      <c r="X198" s="7" t="s">
        <v>34</v>
      </c>
      <c r="Y198" s="51" t="s">
        <v>32</v>
      </c>
      <c r="Z198" s="49"/>
      <c r="AB198" s="93"/>
    </row>
    <row r="199" spans="1:28" s="65" customFormat="1" ht="51" outlineLevel="1" x14ac:dyDescent="0.3">
      <c r="A199" s="39" t="s">
        <v>313</v>
      </c>
      <c r="B199" s="66" t="s">
        <v>25</v>
      </c>
      <c r="C199" s="38" t="s">
        <v>314</v>
      </c>
      <c r="D199" s="38" t="s">
        <v>315</v>
      </c>
      <c r="E199" s="38" t="s">
        <v>315</v>
      </c>
      <c r="F199" s="38" t="s">
        <v>316</v>
      </c>
      <c r="G199" s="39" t="s">
        <v>42</v>
      </c>
      <c r="H199" s="68">
        <v>1</v>
      </c>
      <c r="I199" s="5" t="s">
        <v>287</v>
      </c>
      <c r="J199" s="69" t="s">
        <v>22</v>
      </c>
      <c r="K199" s="6"/>
      <c r="L199" s="6" t="s">
        <v>30</v>
      </c>
      <c r="M199" s="38" t="s">
        <v>24</v>
      </c>
      <c r="N199" s="83">
        <v>0</v>
      </c>
      <c r="O199" s="83">
        <v>0</v>
      </c>
      <c r="P199" s="83">
        <v>20232848</v>
      </c>
      <c r="Q199" s="83">
        <v>20232848</v>
      </c>
      <c r="R199" s="83">
        <v>20232848</v>
      </c>
      <c r="S199" s="83">
        <v>0</v>
      </c>
      <c r="T199" s="18" t="s">
        <v>478</v>
      </c>
      <c r="U199" s="18" t="s">
        <v>478</v>
      </c>
      <c r="V199" s="84" t="s">
        <v>478</v>
      </c>
      <c r="W199" s="84" t="s">
        <v>478</v>
      </c>
      <c r="X199" s="6" t="s">
        <v>34</v>
      </c>
      <c r="Y199" s="12" t="s">
        <v>32</v>
      </c>
      <c r="Z199" s="38" t="s">
        <v>228</v>
      </c>
      <c r="AB199" s="93"/>
    </row>
    <row r="200" spans="1:28" s="65" customFormat="1" ht="51" outlineLevel="1" x14ac:dyDescent="0.3">
      <c r="A200" s="103" t="s">
        <v>507</v>
      </c>
      <c r="B200" s="104" t="s">
        <v>25</v>
      </c>
      <c r="C200" s="106" t="s">
        <v>314</v>
      </c>
      <c r="D200" s="106" t="s">
        <v>315</v>
      </c>
      <c r="E200" s="106" t="s">
        <v>315</v>
      </c>
      <c r="F200" s="106" t="s">
        <v>316</v>
      </c>
      <c r="G200" s="103" t="s">
        <v>42</v>
      </c>
      <c r="H200" s="107">
        <v>1</v>
      </c>
      <c r="I200" s="108" t="s">
        <v>287</v>
      </c>
      <c r="J200" s="109" t="s">
        <v>22</v>
      </c>
      <c r="K200" s="111"/>
      <c r="L200" s="111" t="s">
        <v>30</v>
      </c>
      <c r="M200" s="106" t="s">
        <v>24</v>
      </c>
      <c r="N200" s="117">
        <v>0</v>
      </c>
      <c r="O200" s="117">
        <v>0</v>
      </c>
      <c r="P200" s="117">
        <v>20232848</v>
      </c>
      <c r="Q200" s="117">
        <v>20232848</v>
      </c>
      <c r="R200" s="117">
        <v>20232848</v>
      </c>
      <c r="S200" s="123">
        <v>1486605</v>
      </c>
      <c r="T200" s="113"/>
      <c r="U200" s="128"/>
      <c r="V200" s="113">
        <f>P200+Q200+R200+S200</f>
        <v>62185149</v>
      </c>
      <c r="W200" s="113">
        <f t="shared" ref="W200" si="123">V200*1.12</f>
        <v>69647366.88000001</v>
      </c>
      <c r="X200" s="111" t="s">
        <v>34</v>
      </c>
      <c r="Y200" s="119" t="s">
        <v>32</v>
      </c>
      <c r="Z200" s="115"/>
      <c r="AB200" s="116"/>
    </row>
    <row r="201" spans="1:28" s="52" customFormat="1" ht="89.25" outlineLevel="1" x14ac:dyDescent="0.3">
      <c r="A201" s="15" t="s">
        <v>317</v>
      </c>
      <c r="B201" s="14" t="s">
        <v>25</v>
      </c>
      <c r="C201" s="8" t="s">
        <v>318</v>
      </c>
      <c r="D201" s="8" t="s">
        <v>319</v>
      </c>
      <c r="E201" s="8" t="s">
        <v>319</v>
      </c>
      <c r="F201" s="8" t="s">
        <v>320</v>
      </c>
      <c r="G201" s="15" t="s">
        <v>42</v>
      </c>
      <c r="H201" s="4">
        <v>1</v>
      </c>
      <c r="I201" s="2" t="s">
        <v>287</v>
      </c>
      <c r="J201" s="1" t="s">
        <v>22</v>
      </c>
      <c r="K201" s="7"/>
      <c r="L201" s="7" t="s">
        <v>30</v>
      </c>
      <c r="M201" s="8" t="s">
        <v>24</v>
      </c>
      <c r="N201" s="50">
        <v>0</v>
      </c>
      <c r="O201" s="50">
        <v>0</v>
      </c>
      <c r="P201" s="50">
        <v>3495000</v>
      </c>
      <c r="Q201" s="50">
        <v>3495000</v>
      </c>
      <c r="R201" s="50">
        <v>3495000</v>
      </c>
      <c r="S201" s="50">
        <v>0</v>
      </c>
      <c r="T201" s="50">
        <v>0</v>
      </c>
      <c r="U201" s="50">
        <v>0</v>
      </c>
      <c r="V201" s="9">
        <v>0</v>
      </c>
      <c r="W201" s="61">
        <f t="shared" ref="W201:W202" si="124">V201*1.12</f>
        <v>0</v>
      </c>
      <c r="X201" s="7" t="s">
        <v>34</v>
      </c>
      <c r="Y201" s="51" t="s">
        <v>32</v>
      </c>
      <c r="Z201" s="8" t="s">
        <v>380</v>
      </c>
      <c r="AB201" s="93"/>
    </row>
    <row r="202" spans="1:28" s="52" customFormat="1" ht="89.25" outlineLevel="1" x14ac:dyDescent="0.2">
      <c r="A202" s="15" t="s">
        <v>387</v>
      </c>
      <c r="B202" s="14" t="s">
        <v>25</v>
      </c>
      <c r="C202" s="8" t="s">
        <v>318</v>
      </c>
      <c r="D202" s="8" t="s">
        <v>319</v>
      </c>
      <c r="E202" s="8" t="s">
        <v>319</v>
      </c>
      <c r="F202" s="8" t="s">
        <v>320</v>
      </c>
      <c r="G202" s="15" t="s">
        <v>42</v>
      </c>
      <c r="H202" s="4">
        <v>1</v>
      </c>
      <c r="I202" s="2" t="s">
        <v>384</v>
      </c>
      <c r="J202" s="1" t="s">
        <v>22</v>
      </c>
      <c r="K202" s="7"/>
      <c r="L202" s="7" t="s">
        <v>30</v>
      </c>
      <c r="M202" s="8" t="s">
        <v>24</v>
      </c>
      <c r="N202" s="88">
        <v>0</v>
      </c>
      <c r="O202" s="88">
        <v>0</v>
      </c>
      <c r="P202" s="88">
        <f>3495000+2455000</f>
        <v>5950000</v>
      </c>
      <c r="Q202" s="88">
        <f>3495000+2455000</f>
        <v>5950000</v>
      </c>
      <c r="R202" s="88">
        <f>3495000+2455000</f>
        <v>5950000</v>
      </c>
      <c r="S202" s="88">
        <v>0</v>
      </c>
      <c r="T202" s="50">
        <v>0</v>
      </c>
      <c r="U202" s="50">
        <v>0</v>
      </c>
      <c r="V202" s="89">
        <f t="shared" si="122"/>
        <v>17850000</v>
      </c>
      <c r="W202" s="89">
        <f t="shared" si="124"/>
        <v>19992000.000000004</v>
      </c>
      <c r="X202" s="7" t="s">
        <v>34</v>
      </c>
      <c r="Y202" s="51" t="s">
        <v>32</v>
      </c>
      <c r="Z202" s="49"/>
      <c r="AB202" s="93"/>
    </row>
    <row r="203" spans="1:28" s="52" customFormat="1" ht="114.75" outlineLevel="1" x14ac:dyDescent="0.3">
      <c r="A203" s="15" t="s">
        <v>321</v>
      </c>
      <c r="B203" s="14" t="s">
        <v>25</v>
      </c>
      <c r="C203" s="8" t="s">
        <v>322</v>
      </c>
      <c r="D203" s="8" t="s">
        <v>323</v>
      </c>
      <c r="E203" s="8" t="s">
        <v>323</v>
      </c>
      <c r="F203" s="8" t="s">
        <v>324</v>
      </c>
      <c r="G203" s="15" t="s">
        <v>42</v>
      </c>
      <c r="H203" s="4">
        <v>1</v>
      </c>
      <c r="I203" s="2" t="s">
        <v>287</v>
      </c>
      <c r="J203" s="1" t="s">
        <v>22</v>
      </c>
      <c r="K203" s="7"/>
      <c r="L203" s="7" t="s">
        <v>30</v>
      </c>
      <c r="M203" s="8" t="s">
        <v>24</v>
      </c>
      <c r="N203" s="50">
        <v>0</v>
      </c>
      <c r="O203" s="50">
        <v>0</v>
      </c>
      <c r="P203" s="50">
        <v>7347000</v>
      </c>
      <c r="Q203" s="50">
        <v>7347000</v>
      </c>
      <c r="R203" s="50">
        <v>7347000</v>
      </c>
      <c r="S203" s="50">
        <v>0</v>
      </c>
      <c r="T203" s="50">
        <v>0</v>
      </c>
      <c r="U203" s="50">
        <v>0</v>
      </c>
      <c r="V203" s="9">
        <v>0</v>
      </c>
      <c r="W203" s="61">
        <f t="shared" ref="W203" si="125">V203*1.12</f>
        <v>0</v>
      </c>
      <c r="X203" s="7" t="s">
        <v>34</v>
      </c>
      <c r="Y203" s="51" t="s">
        <v>32</v>
      </c>
      <c r="Z203" s="8">
        <v>9.19</v>
      </c>
      <c r="AB203" s="93"/>
    </row>
    <row r="204" spans="1:28" s="52" customFormat="1" ht="114.75" outlineLevel="1" x14ac:dyDescent="0.2">
      <c r="A204" s="15" t="s">
        <v>392</v>
      </c>
      <c r="B204" s="14" t="s">
        <v>25</v>
      </c>
      <c r="C204" s="8" t="s">
        <v>322</v>
      </c>
      <c r="D204" s="8" t="s">
        <v>323</v>
      </c>
      <c r="E204" s="8" t="s">
        <v>323</v>
      </c>
      <c r="F204" s="8" t="s">
        <v>324</v>
      </c>
      <c r="G204" s="15" t="s">
        <v>42</v>
      </c>
      <c r="H204" s="4">
        <v>1</v>
      </c>
      <c r="I204" s="2" t="s">
        <v>393</v>
      </c>
      <c r="J204" s="1" t="s">
        <v>22</v>
      </c>
      <c r="K204" s="7"/>
      <c r="L204" s="7" t="s">
        <v>30</v>
      </c>
      <c r="M204" s="8" t="s">
        <v>24</v>
      </c>
      <c r="N204" s="88">
        <v>0</v>
      </c>
      <c r="O204" s="88">
        <v>0</v>
      </c>
      <c r="P204" s="88">
        <v>7347000</v>
      </c>
      <c r="Q204" s="88">
        <v>7347000</v>
      </c>
      <c r="R204" s="88">
        <v>7347000</v>
      </c>
      <c r="S204" s="88">
        <v>0</v>
      </c>
      <c r="T204" s="50">
        <v>0</v>
      </c>
      <c r="U204" s="50">
        <v>0</v>
      </c>
      <c r="V204" s="89">
        <f t="shared" si="122"/>
        <v>22041000</v>
      </c>
      <c r="W204" s="89">
        <f t="shared" ref="W204" si="126">V204*1.12</f>
        <v>24685920.000000004</v>
      </c>
      <c r="X204" s="7" t="s">
        <v>34</v>
      </c>
      <c r="Y204" s="51" t="s">
        <v>33</v>
      </c>
      <c r="Z204" s="49"/>
      <c r="AB204" s="93"/>
    </row>
    <row r="205" spans="1:28" s="65" customFormat="1" ht="127.5" outlineLevel="1" x14ac:dyDescent="0.2">
      <c r="A205" s="15" t="s">
        <v>325</v>
      </c>
      <c r="B205" s="14" t="s">
        <v>25</v>
      </c>
      <c r="C205" s="8" t="s">
        <v>326</v>
      </c>
      <c r="D205" s="8" t="s">
        <v>327</v>
      </c>
      <c r="E205" s="8" t="s">
        <v>327</v>
      </c>
      <c r="F205" s="8" t="s">
        <v>328</v>
      </c>
      <c r="G205" s="15" t="s">
        <v>42</v>
      </c>
      <c r="H205" s="4">
        <v>1</v>
      </c>
      <c r="I205" s="2" t="s">
        <v>287</v>
      </c>
      <c r="J205" s="1" t="s">
        <v>22</v>
      </c>
      <c r="K205" s="7"/>
      <c r="L205" s="7" t="s">
        <v>30</v>
      </c>
      <c r="M205" s="8" t="s">
        <v>24</v>
      </c>
      <c r="N205" s="88">
        <v>0</v>
      </c>
      <c r="O205" s="88">
        <v>0</v>
      </c>
      <c r="P205" s="88">
        <v>6075000</v>
      </c>
      <c r="Q205" s="88">
        <v>6075000</v>
      </c>
      <c r="R205" s="88">
        <v>6075000</v>
      </c>
      <c r="S205" s="88">
        <v>0</v>
      </c>
      <c r="T205" s="50">
        <v>0</v>
      </c>
      <c r="U205" s="50">
        <v>0</v>
      </c>
      <c r="V205" s="89">
        <f t="shared" si="122"/>
        <v>18225000</v>
      </c>
      <c r="W205" s="89">
        <f t="shared" ref="W205" si="127">V205*1.12</f>
        <v>20412000.000000004</v>
      </c>
      <c r="X205" s="7" t="s">
        <v>34</v>
      </c>
      <c r="Y205" s="51" t="s">
        <v>32</v>
      </c>
      <c r="Z205" s="49"/>
      <c r="AB205" s="93"/>
    </row>
    <row r="206" spans="1:28" s="52" customFormat="1" ht="165.75" outlineLevel="1" x14ac:dyDescent="0.2">
      <c r="A206" s="15" t="s">
        <v>329</v>
      </c>
      <c r="B206" s="14" t="s">
        <v>25</v>
      </c>
      <c r="C206" s="8" t="s">
        <v>330</v>
      </c>
      <c r="D206" s="8" t="s">
        <v>331</v>
      </c>
      <c r="E206" s="8" t="s">
        <v>331</v>
      </c>
      <c r="F206" s="8" t="s">
        <v>332</v>
      </c>
      <c r="G206" s="15" t="s">
        <v>42</v>
      </c>
      <c r="H206" s="4">
        <v>1</v>
      </c>
      <c r="I206" s="2" t="s">
        <v>287</v>
      </c>
      <c r="J206" s="1" t="s">
        <v>22</v>
      </c>
      <c r="K206" s="7"/>
      <c r="L206" s="7" t="s">
        <v>30</v>
      </c>
      <c r="M206" s="8" t="s">
        <v>24</v>
      </c>
      <c r="N206" s="88">
        <v>0</v>
      </c>
      <c r="O206" s="88">
        <v>0</v>
      </c>
      <c r="P206" s="88">
        <v>6664280</v>
      </c>
      <c r="Q206" s="88">
        <v>6664280</v>
      </c>
      <c r="R206" s="88">
        <v>6664280</v>
      </c>
      <c r="S206" s="88">
        <v>0</v>
      </c>
      <c r="T206" s="50">
        <v>0</v>
      </c>
      <c r="U206" s="50">
        <v>0</v>
      </c>
      <c r="V206" s="89">
        <f t="shared" si="122"/>
        <v>19992840</v>
      </c>
      <c r="W206" s="89">
        <f t="shared" ref="W206" si="128">V206*1.12</f>
        <v>22391980.800000001</v>
      </c>
      <c r="X206" s="7" t="s">
        <v>34</v>
      </c>
      <c r="Y206" s="51" t="s">
        <v>32</v>
      </c>
      <c r="Z206" s="49"/>
      <c r="AB206" s="93"/>
    </row>
    <row r="207" spans="1:28" s="52" customFormat="1" ht="63.75" outlineLevel="1" x14ac:dyDescent="0.2">
      <c r="A207" s="15" t="s">
        <v>333</v>
      </c>
      <c r="B207" s="14" t="s">
        <v>25</v>
      </c>
      <c r="C207" s="8" t="s">
        <v>330</v>
      </c>
      <c r="D207" s="8" t="s">
        <v>331</v>
      </c>
      <c r="E207" s="8" t="s">
        <v>331</v>
      </c>
      <c r="F207" s="8" t="s">
        <v>334</v>
      </c>
      <c r="G207" s="15" t="s">
        <v>42</v>
      </c>
      <c r="H207" s="4">
        <v>1</v>
      </c>
      <c r="I207" s="2" t="s">
        <v>287</v>
      </c>
      <c r="J207" s="1" t="s">
        <v>153</v>
      </c>
      <c r="K207" s="7"/>
      <c r="L207" s="7" t="s">
        <v>30</v>
      </c>
      <c r="M207" s="8" t="s">
        <v>24</v>
      </c>
      <c r="N207" s="88">
        <v>0</v>
      </c>
      <c r="O207" s="88">
        <v>0</v>
      </c>
      <c r="P207" s="88">
        <v>816932</v>
      </c>
      <c r="Q207" s="88">
        <v>816932</v>
      </c>
      <c r="R207" s="88">
        <v>816932</v>
      </c>
      <c r="S207" s="88">
        <v>0</v>
      </c>
      <c r="T207" s="50">
        <v>0</v>
      </c>
      <c r="U207" s="50">
        <v>0</v>
      </c>
      <c r="V207" s="89">
        <f t="shared" si="122"/>
        <v>2450796</v>
      </c>
      <c r="W207" s="89">
        <f t="shared" ref="W207" si="129">V207*1.12</f>
        <v>2744891.5200000005</v>
      </c>
      <c r="X207" s="7" t="s">
        <v>34</v>
      </c>
      <c r="Y207" s="51" t="s">
        <v>32</v>
      </c>
      <c r="Z207" s="49"/>
      <c r="AB207" s="93"/>
    </row>
    <row r="208" spans="1:28" s="65" customFormat="1" ht="76.5" outlineLevel="1" x14ac:dyDescent="0.3">
      <c r="A208" s="15" t="s">
        <v>335</v>
      </c>
      <c r="B208" s="14" t="s">
        <v>25</v>
      </c>
      <c r="C208" s="8" t="s">
        <v>336</v>
      </c>
      <c r="D208" s="8" t="s">
        <v>337</v>
      </c>
      <c r="E208" s="8" t="s">
        <v>337</v>
      </c>
      <c r="F208" s="8" t="s">
        <v>338</v>
      </c>
      <c r="G208" s="15" t="s">
        <v>42</v>
      </c>
      <c r="H208" s="4">
        <v>1</v>
      </c>
      <c r="I208" s="2" t="s">
        <v>287</v>
      </c>
      <c r="J208" s="1" t="s">
        <v>22</v>
      </c>
      <c r="K208" s="7"/>
      <c r="L208" s="7" t="s">
        <v>30</v>
      </c>
      <c r="M208" s="8" t="s">
        <v>24</v>
      </c>
      <c r="N208" s="50">
        <v>0</v>
      </c>
      <c r="O208" s="50">
        <v>0</v>
      </c>
      <c r="P208" s="50">
        <v>43056000</v>
      </c>
      <c r="Q208" s="50">
        <v>43056000</v>
      </c>
      <c r="R208" s="50">
        <v>43056000</v>
      </c>
      <c r="S208" s="50">
        <v>0</v>
      </c>
      <c r="T208" s="50">
        <v>0</v>
      </c>
      <c r="U208" s="50">
        <v>0</v>
      </c>
      <c r="V208" s="9">
        <v>0</v>
      </c>
      <c r="W208" s="61">
        <f t="shared" ref="W208" si="130">V208*1.12</f>
        <v>0</v>
      </c>
      <c r="X208" s="7" t="s">
        <v>34</v>
      </c>
      <c r="Y208" s="51" t="s">
        <v>32</v>
      </c>
      <c r="Z208" s="8" t="s">
        <v>209</v>
      </c>
      <c r="AB208" s="93"/>
    </row>
    <row r="209" spans="1:28" s="65" customFormat="1" ht="114.75" outlineLevel="1" x14ac:dyDescent="0.2">
      <c r="A209" s="15" t="s">
        <v>339</v>
      </c>
      <c r="B209" s="14" t="s">
        <v>25</v>
      </c>
      <c r="C209" s="8" t="s">
        <v>352</v>
      </c>
      <c r="D209" s="8" t="s">
        <v>353</v>
      </c>
      <c r="E209" s="8" t="s">
        <v>353</v>
      </c>
      <c r="F209" s="8" t="s">
        <v>354</v>
      </c>
      <c r="G209" s="15" t="s">
        <v>42</v>
      </c>
      <c r="H209" s="4">
        <v>1</v>
      </c>
      <c r="I209" s="2" t="s">
        <v>287</v>
      </c>
      <c r="J209" s="1" t="s">
        <v>22</v>
      </c>
      <c r="K209" s="7"/>
      <c r="L209" s="7" t="s">
        <v>30</v>
      </c>
      <c r="M209" s="8" t="s">
        <v>24</v>
      </c>
      <c r="N209" s="88">
        <v>0</v>
      </c>
      <c r="O209" s="88">
        <v>0</v>
      </c>
      <c r="P209" s="88">
        <v>5720000</v>
      </c>
      <c r="Q209" s="88">
        <v>5720000</v>
      </c>
      <c r="R209" s="88">
        <v>5720000</v>
      </c>
      <c r="S209" s="88">
        <v>0</v>
      </c>
      <c r="T209" s="50">
        <v>0</v>
      </c>
      <c r="U209" s="50">
        <v>0</v>
      </c>
      <c r="V209" s="89">
        <f t="shared" si="122"/>
        <v>17160000</v>
      </c>
      <c r="W209" s="89">
        <f t="shared" ref="W209" si="131">V209*1.12</f>
        <v>19219200</v>
      </c>
      <c r="X209" s="7" t="s">
        <v>34</v>
      </c>
      <c r="Y209" s="51" t="s">
        <v>32</v>
      </c>
      <c r="Z209" s="49"/>
      <c r="AB209" s="93"/>
    </row>
    <row r="210" spans="1:28" s="65" customFormat="1" ht="51" outlineLevel="1" x14ac:dyDescent="0.3">
      <c r="A210" s="39" t="s">
        <v>355</v>
      </c>
      <c r="B210" s="66" t="s">
        <v>25</v>
      </c>
      <c r="C210" s="38" t="s">
        <v>356</v>
      </c>
      <c r="D210" s="38" t="s">
        <v>357</v>
      </c>
      <c r="E210" s="38" t="s">
        <v>357</v>
      </c>
      <c r="F210" s="38" t="s">
        <v>358</v>
      </c>
      <c r="G210" s="39" t="s">
        <v>20</v>
      </c>
      <c r="H210" s="68">
        <v>1</v>
      </c>
      <c r="I210" s="5" t="s">
        <v>287</v>
      </c>
      <c r="J210" s="69" t="s">
        <v>22</v>
      </c>
      <c r="K210" s="6"/>
      <c r="L210" s="6" t="s">
        <v>30</v>
      </c>
      <c r="M210" s="38" t="s">
        <v>24</v>
      </c>
      <c r="N210" s="83">
        <v>0</v>
      </c>
      <c r="O210" s="83">
        <v>0</v>
      </c>
      <c r="P210" s="83">
        <v>1318240</v>
      </c>
      <c r="Q210" s="83">
        <f>P210*1.07</f>
        <v>1410516.8</v>
      </c>
      <c r="R210" s="83">
        <f>P210*1.06</f>
        <v>1397334.4000000001</v>
      </c>
      <c r="S210" s="83">
        <v>0</v>
      </c>
      <c r="T210" s="18" t="s">
        <v>478</v>
      </c>
      <c r="U210" s="18" t="s">
        <v>478</v>
      </c>
      <c r="V210" s="84" t="s">
        <v>478</v>
      </c>
      <c r="W210" s="84" t="s">
        <v>478</v>
      </c>
      <c r="X210" s="6" t="s">
        <v>34</v>
      </c>
      <c r="Y210" s="39" t="s">
        <v>32</v>
      </c>
      <c r="Z210" s="38" t="s">
        <v>228</v>
      </c>
      <c r="AB210" s="93"/>
    </row>
    <row r="211" spans="1:28" s="65" customFormat="1" ht="51" outlineLevel="1" x14ac:dyDescent="0.3">
      <c r="A211" s="103" t="s">
        <v>508</v>
      </c>
      <c r="B211" s="104" t="s">
        <v>25</v>
      </c>
      <c r="C211" s="106" t="s">
        <v>356</v>
      </c>
      <c r="D211" s="106" t="s">
        <v>357</v>
      </c>
      <c r="E211" s="106" t="s">
        <v>357</v>
      </c>
      <c r="F211" s="106" t="s">
        <v>358</v>
      </c>
      <c r="G211" s="103" t="s">
        <v>20</v>
      </c>
      <c r="H211" s="107">
        <v>1</v>
      </c>
      <c r="I211" s="108" t="s">
        <v>287</v>
      </c>
      <c r="J211" s="109" t="s">
        <v>22</v>
      </c>
      <c r="K211" s="111"/>
      <c r="L211" s="111" t="s">
        <v>30</v>
      </c>
      <c r="M211" s="106" t="s">
        <v>24</v>
      </c>
      <c r="N211" s="117">
        <v>0</v>
      </c>
      <c r="O211" s="117">
        <v>0</v>
      </c>
      <c r="P211" s="117">
        <v>1318240</v>
      </c>
      <c r="Q211" s="117">
        <f>P211*1.07</f>
        <v>1410516.8</v>
      </c>
      <c r="R211" s="117">
        <f>P211*1.06</f>
        <v>1397334.4000000001</v>
      </c>
      <c r="S211" s="117">
        <v>1377212.59</v>
      </c>
      <c r="T211" s="118"/>
      <c r="U211" s="117"/>
      <c r="V211" s="113">
        <f>P211+Q211+R211+S211</f>
        <v>5503303.79</v>
      </c>
      <c r="W211" s="113">
        <f>V211*1.12</f>
        <v>6163700.2448000005</v>
      </c>
      <c r="X211" s="111" t="s">
        <v>34</v>
      </c>
      <c r="Y211" s="103" t="s">
        <v>32</v>
      </c>
      <c r="Z211" s="119"/>
      <c r="AB211" s="116"/>
    </row>
    <row r="212" spans="1:28" s="52" customFormat="1" ht="63.75" outlineLevel="1" x14ac:dyDescent="0.3">
      <c r="A212" s="15" t="s">
        <v>360</v>
      </c>
      <c r="B212" s="14" t="s">
        <v>25</v>
      </c>
      <c r="C212" s="8" t="s">
        <v>361</v>
      </c>
      <c r="D212" s="8" t="s">
        <v>362</v>
      </c>
      <c r="E212" s="8" t="s">
        <v>362</v>
      </c>
      <c r="F212" s="8"/>
      <c r="G212" s="15" t="s">
        <v>42</v>
      </c>
      <c r="H212" s="4">
        <v>1</v>
      </c>
      <c r="I212" s="2" t="s">
        <v>287</v>
      </c>
      <c r="J212" s="1" t="s">
        <v>22</v>
      </c>
      <c r="K212" s="7"/>
      <c r="L212" s="7" t="s">
        <v>30</v>
      </c>
      <c r="M212" s="8" t="s">
        <v>24</v>
      </c>
      <c r="N212" s="50">
        <v>0</v>
      </c>
      <c r="O212" s="50">
        <v>0</v>
      </c>
      <c r="P212" s="50">
        <v>2835000</v>
      </c>
      <c r="Q212" s="50">
        <v>4095000</v>
      </c>
      <c r="R212" s="50">
        <v>4095000</v>
      </c>
      <c r="S212" s="50">
        <v>0</v>
      </c>
      <c r="T212" s="50">
        <v>0</v>
      </c>
      <c r="U212" s="50">
        <v>0</v>
      </c>
      <c r="V212" s="9">
        <v>0</v>
      </c>
      <c r="W212" s="61">
        <f t="shared" ref="W212:W213" si="132">V212*1.12</f>
        <v>0</v>
      </c>
      <c r="X212" s="7" t="s">
        <v>34</v>
      </c>
      <c r="Y212" s="51" t="s">
        <v>32</v>
      </c>
      <c r="Z212" s="8">
        <v>6</v>
      </c>
      <c r="AB212" s="93"/>
    </row>
    <row r="213" spans="1:28" s="52" customFormat="1" ht="63.75" outlineLevel="1" x14ac:dyDescent="0.3">
      <c r="A213" s="15" t="s">
        <v>368</v>
      </c>
      <c r="B213" s="14" t="s">
        <v>25</v>
      </c>
      <c r="C213" s="8" t="s">
        <v>361</v>
      </c>
      <c r="D213" s="8" t="s">
        <v>362</v>
      </c>
      <c r="E213" s="8" t="s">
        <v>362</v>
      </c>
      <c r="F213" s="8" t="s">
        <v>369</v>
      </c>
      <c r="G213" s="15" t="s">
        <v>42</v>
      </c>
      <c r="H213" s="4">
        <v>1</v>
      </c>
      <c r="I213" s="2" t="s">
        <v>287</v>
      </c>
      <c r="J213" s="1" t="s">
        <v>22</v>
      </c>
      <c r="K213" s="7"/>
      <c r="L213" s="7" t="s">
        <v>30</v>
      </c>
      <c r="M213" s="8" t="s">
        <v>24</v>
      </c>
      <c r="N213" s="50">
        <v>0</v>
      </c>
      <c r="O213" s="50">
        <v>0</v>
      </c>
      <c r="P213" s="50">
        <v>2835000</v>
      </c>
      <c r="Q213" s="50">
        <v>4095000</v>
      </c>
      <c r="R213" s="50">
        <v>4095000</v>
      </c>
      <c r="S213" s="50">
        <v>0</v>
      </c>
      <c r="T213" s="50">
        <v>0</v>
      </c>
      <c r="U213" s="50">
        <v>0</v>
      </c>
      <c r="V213" s="9">
        <v>0</v>
      </c>
      <c r="W213" s="61">
        <f t="shared" si="132"/>
        <v>0</v>
      </c>
      <c r="X213" s="7" t="s">
        <v>34</v>
      </c>
      <c r="Y213" s="51" t="s">
        <v>32</v>
      </c>
      <c r="Z213" s="8" t="s">
        <v>396</v>
      </c>
      <c r="AB213" s="93"/>
    </row>
    <row r="214" spans="1:28" s="52" customFormat="1" ht="63.75" outlineLevel="1" x14ac:dyDescent="0.3">
      <c r="A214" s="15" t="s">
        <v>395</v>
      </c>
      <c r="B214" s="14" t="s">
        <v>25</v>
      </c>
      <c r="C214" s="8" t="s">
        <v>361</v>
      </c>
      <c r="D214" s="8" t="s">
        <v>362</v>
      </c>
      <c r="E214" s="8" t="s">
        <v>362</v>
      </c>
      <c r="F214" s="8" t="s">
        <v>369</v>
      </c>
      <c r="G214" s="15" t="s">
        <v>42</v>
      </c>
      <c r="H214" s="4">
        <v>1</v>
      </c>
      <c r="I214" s="2" t="s">
        <v>397</v>
      </c>
      <c r="J214" s="1" t="s">
        <v>22</v>
      </c>
      <c r="K214" s="7"/>
      <c r="L214" s="7" t="s">
        <v>30</v>
      </c>
      <c r="M214" s="8" t="s">
        <v>24</v>
      </c>
      <c r="N214" s="88">
        <v>0</v>
      </c>
      <c r="O214" s="88">
        <v>0</v>
      </c>
      <c r="P214" s="88">
        <f>2835000+577970</f>
        <v>3412970</v>
      </c>
      <c r="Q214" s="88">
        <f>4095000-4680</f>
        <v>4090320</v>
      </c>
      <c r="R214" s="88">
        <f>4095000-4680</f>
        <v>4090320</v>
      </c>
      <c r="S214" s="88">
        <v>0</v>
      </c>
      <c r="T214" s="50">
        <v>0</v>
      </c>
      <c r="U214" s="50">
        <v>0</v>
      </c>
      <c r="V214" s="89">
        <f t="shared" ref="V214" si="133">N214+O214+P214+Q214+R214+T214</f>
        <v>11593610</v>
      </c>
      <c r="W214" s="89">
        <f t="shared" ref="W214" si="134">V214*1.12</f>
        <v>12984843.200000001</v>
      </c>
      <c r="X214" s="7" t="s">
        <v>34</v>
      </c>
      <c r="Y214" s="51" t="s">
        <v>33</v>
      </c>
      <c r="Z214" s="8"/>
      <c r="AB214" s="93"/>
    </row>
    <row r="215" spans="1:28" s="65" customFormat="1" ht="51" outlineLevel="1" x14ac:dyDescent="0.3">
      <c r="A215" s="39" t="s">
        <v>370</v>
      </c>
      <c r="B215" s="66" t="s">
        <v>25</v>
      </c>
      <c r="C215" s="38" t="s">
        <v>371</v>
      </c>
      <c r="D215" s="38" t="s">
        <v>372</v>
      </c>
      <c r="E215" s="38" t="s">
        <v>373</v>
      </c>
      <c r="F215" s="38"/>
      <c r="G215" s="39" t="s">
        <v>20</v>
      </c>
      <c r="H215" s="68">
        <v>1</v>
      </c>
      <c r="I215" s="5" t="s">
        <v>287</v>
      </c>
      <c r="J215" s="69" t="s">
        <v>22</v>
      </c>
      <c r="K215" s="6"/>
      <c r="L215" s="6" t="s">
        <v>30</v>
      </c>
      <c r="M215" s="38" t="s">
        <v>24</v>
      </c>
      <c r="N215" s="83">
        <v>0</v>
      </c>
      <c r="O215" s="83">
        <v>0</v>
      </c>
      <c r="P215" s="83">
        <v>3352885.71</v>
      </c>
      <c r="Q215" s="83">
        <v>3352885.71</v>
      </c>
      <c r="R215" s="83">
        <v>3352885.71</v>
      </c>
      <c r="S215" s="83">
        <v>0</v>
      </c>
      <c r="T215" s="18" t="s">
        <v>478</v>
      </c>
      <c r="U215" s="18" t="s">
        <v>478</v>
      </c>
      <c r="V215" s="84" t="s">
        <v>478</v>
      </c>
      <c r="W215" s="84" t="s">
        <v>478</v>
      </c>
      <c r="X215" s="6" t="s">
        <v>34</v>
      </c>
      <c r="Y215" s="12" t="s">
        <v>32</v>
      </c>
      <c r="Z215" s="38" t="s">
        <v>228</v>
      </c>
      <c r="AB215" s="93"/>
    </row>
    <row r="216" spans="1:28" s="65" customFormat="1" ht="51" outlineLevel="1" x14ac:dyDescent="0.3">
      <c r="A216" s="103" t="s">
        <v>509</v>
      </c>
      <c r="B216" s="104" t="s">
        <v>25</v>
      </c>
      <c r="C216" s="106" t="s">
        <v>371</v>
      </c>
      <c r="D216" s="106" t="s">
        <v>372</v>
      </c>
      <c r="E216" s="106" t="s">
        <v>373</v>
      </c>
      <c r="F216" s="106"/>
      <c r="G216" s="103" t="s">
        <v>20</v>
      </c>
      <c r="H216" s="107">
        <v>1</v>
      </c>
      <c r="I216" s="108" t="s">
        <v>287</v>
      </c>
      <c r="J216" s="109" t="s">
        <v>22</v>
      </c>
      <c r="K216" s="111"/>
      <c r="L216" s="111" t="s">
        <v>30</v>
      </c>
      <c r="M216" s="106" t="s">
        <v>24</v>
      </c>
      <c r="N216" s="117">
        <v>0</v>
      </c>
      <c r="O216" s="117">
        <v>0</v>
      </c>
      <c r="P216" s="117">
        <v>3352885.71</v>
      </c>
      <c r="Q216" s="117">
        <v>3352885.71</v>
      </c>
      <c r="R216" s="117">
        <v>3352885.71</v>
      </c>
      <c r="S216" s="123">
        <v>2965800</v>
      </c>
      <c r="T216" s="127"/>
      <c r="U216" s="113"/>
      <c r="V216" s="113">
        <f>P216+Q216+R216+S216</f>
        <v>13024457.129999999</v>
      </c>
      <c r="W216" s="113">
        <f>V216*1.12</f>
        <v>14587391.9856</v>
      </c>
      <c r="X216" s="111" t="s">
        <v>34</v>
      </c>
      <c r="Y216" s="103" t="s">
        <v>32</v>
      </c>
      <c r="Z216" s="115"/>
      <c r="AB216" s="116"/>
    </row>
    <row r="217" spans="1:28" s="52" customFormat="1" ht="63.75" outlineLevel="1" x14ac:dyDescent="0.3">
      <c r="A217" s="15" t="s">
        <v>374</v>
      </c>
      <c r="B217" s="14" t="s">
        <v>25</v>
      </c>
      <c r="C217" s="8" t="s">
        <v>375</v>
      </c>
      <c r="D217" s="8" t="s">
        <v>376</v>
      </c>
      <c r="E217" s="8" t="s">
        <v>377</v>
      </c>
      <c r="F217" s="8"/>
      <c r="G217" s="15" t="s">
        <v>20</v>
      </c>
      <c r="H217" s="4">
        <v>1</v>
      </c>
      <c r="I217" s="2" t="s">
        <v>287</v>
      </c>
      <c r="J217" s="1" t="s">
        <v>22</v>
      </c>
      <c r="K217" s="7"/>
      <c r="L217" s="7" t="s">
        <v>30</v>
      </c>
      <c r="M217" s="8" t="s">
        <v>24</v>
      </c>
      <c r="N217" s="50">
        <v>0</v>
      </c>
      <c r="O217" s="50">
        <v>0</v>
      </c>
      <c r="P217" s="50">
        <v>4936520</v>
      </c>
      <c r="Q217" s="50">
        <v>4936520</v>
      </c>
      <c r="R217" s="50">
        <v>4936520</v>
      </c>
      <c r="S217" s="50">
        <v>0</v>
      </c>
      <c r="T217" s="50">
        <v>0</v>
      </c>
      <c r="U217" s="50">
        <v>0</v>
      </c>
      <c r="V217" s="9">
        <v>0</v>
      </c>
      <c r="W217" s="9">
        <f t="shared" ref="W217:W221" si="135">V217*1.12</f>
        <v>0</v>
      </c>
      <c r="X217" s="7" t="s">
        <v>34</v>
      </c>
      <c r="Y217" s="51" t="s">
        <v>32</v>
      </c>
      <c r="Z217" s="8" t="s">
        <v>390</v>
      </c>
      <c r="AB217" s="93"/>
    </row>
    <row r="218" spans="1:28" s="52" customFormat="1" ht="63.75" outlineLevel="1" x14ac:dyDescent="0.3">
      <c r="A218" s="39" t="s">
        <v>388</v>
      </c>
      <c r="B218" s="66" t="s">
        <v>25</v>
      </c>
      <c r="C218" s="38" t="s">
        <v>375</v>
      </c>
      <c r="D218" s="38" t="s">
        <v>376</v>
      </c>
      <c r="E218" s="38" t="s">
        <v>377</v>
      </c>
      <c r="F218" s="38"/>
      <c r="G218" s="39" t="s">
        <v>20</v>
      </c>
      <c r="H218" s="68">
        <v>1</v>
      </c>
      <c r="I218" s="5" t="s">
        <v>389</v>
      </c>
      <c r="J218" s="69" t="s">
        <v>22</v>
      </c>
      <c r="K218" s="6"/>
      <c r="L218" s="6" t="s">
        <v>30</v>
      </c>
      <c r="M218" s="38" t="s">
        <v>24</v>
      </c>
      <c r="N218" s="83">
        <v>0</v>
      </c>
      <c r="O218" s="83">
        <v>0</v>
      </c>
      <c r="P218" s="83">
        <v>6796901.4299999997</v>
      </c>
      <c r="Q218" s="83">
        <v>7290492</v>
      </c>
      <c r="R218" s="83">
        <v>7290492</v>
      </c>
      <c r="S218" s="83">
        <v>0</v>
      </c>
      <c r="T218" s="18" t="s">
        <v>478</v>
      </c>
      <c r="U218" s="18" t="s">
        <v>478</v>
      </c>
      <c r="V218" s="84" t="s">
        <v>478</v>
      </c>
      <c r="W218" s="84" t="s">
        <v>478</v>
      </c>
      <c r="X218" s="6" t="s">
        <v>34</v>
      </c>
      <c r="Y218" s="12" t="s">
        <v>32</v>
      </c>
      <c r="Z218" s="38" t="s">
        <v>228</v>
      </c>
      <c r="AB218" s="93"/>
    </row>
    <row r="219" spans="1:28" s="65" customFormat="1" ht="63.75" outlineLevel="1" x14ac:dyDescent="0.3">
      <c r="A219" s="103" t="s">
        <v>510</v>
      </c>
      <c r="B219" s="104" t="s">
        <v>25</v>
      </c>
      <c r="C219" s="106" t="s">
        <v>375</v>
      </c>
      <c r="D219" s="106" t="s">
        <v>376</v>
      </c>
      <c r="E219" s="106" t="s">
        <v>377</v>
      </c>
      <c r="F219" s="106"/>
      <c r="G219" s="103" t="s">
        <v>20</v>
      </c>
      <c r="H219" s="107">
        <v>1</v>
      </c>
      <c r="I219" s="108" t="s">
        <v>389</v>
      </c>
      <c r="J219" s="109" t="s">
        <v>22</v>
      </c>
      <c r="K219" s="111"/>
      <c r="L219" s="111" t="s">
        <v>30</v>
      </c>
      <c r="M219" s="106" t="s">
        <v>24</v>
      </c>
      <c r="N219" s="117">
        <v>0</v>
      </c>
      <c r="O219" s="117">
        <v>0</v>
      </c>
      <c r="P219" s="117">
        <v>6796901.4299999997</v>
      </c>
      <c r="Q219" s="117">
        <v>7290492</v>
      </c>
      <c r="R219" s="117">
        <v>7290492</v>
      </c>
      <c r="S219" s="129">
        <v>6148392</v>
      </c>
      <c r="T219" s="113"/>
      <c r="U219" s="113"/>
      <c r="V219" s="113">
        <f>P219+Q219+R219+S219</f>
        <v>27526277.43</v>
      </c>
      <c r="W219" s="113">
        <f>V219*1.12</f>
        <v>30829430.721600004</v>
      </c>
      <c r="X219" s="111" t="s">
        <v>34</v>
      </c>
      <c r="Y219" s="103" t="s">
        <v>32</v>
      </c>
      <c r="Z219" s="115"/>
      <c r="AB219" s="116"/>
    </row>
    <row r="220" spans="1:28" s="52" customFormat="1" ht="76.5" outlineLevel="1" x14ac:dyDescent="0.2">
      <c r="A220" s="15" t="s">
        <v>399</v>
      </c>
      <c r="B220" s="14" t="s">
        <v>25</v>
      </c>
      <c r="C220" s="8" t="s">
        <v>400</v>
      </c>
      <c r="D220" s="8" t="s">
        <v>401</v>
      </c>
      <c r="E220" s="8" t="s">
        <v>402</v>
      </c>
      <c r="F220" s="8"/>
      <c r="G220" s="15" t="s">
        <v>20</v>
      </c>
      <c r="H220" s="4">
        <v>1</v>
      </c>
      <c r="I220" s="2" t="s">
        <v>418</v>
      </c>
      <c r="J220" s="1" t="s">
        <v>22</v>
      </c>
      <c r="K220" s="7"/>
      <c r="L220" s="7" t="s">
        <v>30</v>
      </c>
      <c r="M220" s="8" t="s">
        <v>24</v>
      </c>
      <c r="N220" s="88">
        <v>0</v>
      </c>
      <c r="O220" s="88">
        <v>0</v>
      </c>
      <c r="P220" s="88">
        <v>446428.57</v>
      </c>
      <c r="Q220" s="88">
        <v>446428.57</v>
      </c>
      <c r="R220" s="88">
        <v>446428.57</v>
      </c>
      <c r="S220" s="88">
        <v>0</v>
      </c>
      <c r="T220" s="50">
        <v>0</v>
      </c>
      <c r="U220" s="50">
        <v>0</v>
      </c>
      <c r="V220" s="89">
        <f t="shared" ref="V220" si="136">N220+O220+P220+Q220+R220+T220</f>
        <v>1339285.71</v>
      </c>
      <c r="W220" s="89">
        <f t="shared" si="135"/>
        <v>1499999.9952</v>
      </c>
      <c r="X220" s="7" t="s">
        <v>34</v>
      </c>
      <c r="Y220" s="51" t="s">
        <v>33</v>
      </c>
      <c r="Z220" s="49"/>
      <c r="AB220" s="93"/>
    </row>
    <row r="221" spans="1:28" s="52" customFormat="1" ht="51" outlineLevel="1" x14ac:dyDescent="0.3">
      <c r="A221" s="15" t="s">
        <v>414</v>
      </c>
      <c r="B221" s="14" t="s">
        <v>25</v>
      </c>
      <c r="C221" s="8" t="s">
        <v>415</v>
      </c>
      <c r="D221" s="8" t="s">
        <v>416</v>
      </c>
      <c r="E221" s="8" t="s">
        <v>416</v>
      </c>
      <c r="F221" s="8" t="s">
        <v>421</v>
      </c>
      <c r="G221" s="15" t="s">
        <v>42</v>
      </c>
      <c r="H221" s="4">
        <v>0.5</v>
      </c>
      <c r="I221" s="2" t="s">
        <v>419</v>
      </c>
      <c r="J221" s="1" t="s">
        <v>22</v>
      </c>
      <c r="K221" s="7"/>
      <c r="L221" s="7" t="s">
        <v>30</v>
      </c>
      <c r="M221" s="8" t="s">
        <v>24</v>
      </c>
      <c r="N221" s="88">
        <v>0</v>
      </c>
      <c r="O221" s="88">
        <v>0</v>
      </c>
      <c r="P221" s="88">
        <v>0</v>
      </c>
      <c r="Q221" s="88">
        <v>520000000</v>
      </c>
      <c r="R221" s="88">
        <v>520000000</v>
      </c>
      <c r="S221" s="88">
        <v>520000000</v>
      </c>
      <c r="T221" s="50">
        <v>0</v>
      </c>
      <c r="U221" s="50">
        <v>0</v>
      </c>
      <c r="V221" s="89">
        <v>0</v>
      </c>
      <c r="W221" s="89">
        <f t="shared" si="135"/>
        <v>0</v>
      </c>
      <c r="X221" s="7"/>
      <c r="Y221" s="51" t="s">
        <v>33</v>
      </c>
      <c r="Z221" s="8" t="s">
        <v>228</v>
      </c>
      <c r="AB221" s="93"/>
    </row>
    <row r="222" spans="1:28" s="52" customFormat="1" ht="51" outlineLevel="1" x14ac:dyDescent="0.3">
      <c r="A222" s="15" t="s">
        <v>428</v>
      </c>
      <c r="B222" s="14" t="s">
        <v>25</v>
      </c>
      <c r="C222" s="8" t="s">
        <v>415</v>
      </c>
      <c r="D222" s="8" t="s">
        <v>416</v>
      </c>
      <c r="E222" s="8" t="s">
        <v>416</v>
      </c>
      <c r="F222" s="8" t="s">
        <v>421</v>
      </c>
      <c r="G222" s="15" t="s">
        <v>42</v>
      </c>
      <c r="H222" s="4">
        <v>0.5</v>
      </c>
      <c r="I222" s="2" t="s">
        <v>419</v>
      </c>
      <c r="J222" s="1" t="s">
        <v>22</v>
      </c>
      <c r="K222" s="7"/>
      <c r="L222" s="7" t="s">
        <v>30</v>
      </c>
      <c r="M222" s="8" t="s">
        <v>24</v>
      </c>
      <c r="N222" s="88">
        <v>0</v>
      </c>
      <c r="O222" s="88">
        <v>0</v>
      </c>
      <c r="P222" s="88">
        <v>0</v>
      </c>
      <c r="Q222" s="88">
        <v>476666666.67000002</v>
      </c>
      <c r="R222" s="88">
        <v>520000000</v>
      </c>
      <c r="S222" s="88">
        <v>520000000</v>
      </c>
      <c r="T222" s="50">
        <v>0</v>
      </c>
      <c r="U222" s="50">
        <v>0</v>
      </c>
      <c r="V222" s="89">
        <v>0</v>
      </c>
      <c r="W222" s="89">
        <f t="shared" ref="W222:W223" si="137">V222*1.12</f>
        <v>0</v>
      </c>
      <c r="X222" s="7"/>
      <c r="Y222" s="51" t="s">
        <v>33</v>
      </c>
      <c r="Z222" s="8" t="s">
        <v>434</v>
      </c>
      <c r="AB222" s="93"/>
    </row>
    <row r="223" spans="1:28" s="52" customFormat="1" ht="76.5" outlineLevel="1" x14ac:dyDescent="0.3">
      <c r="A223" s="15" t="s">
        <v>431</v>
      </c>
      <c r="B223" s="14" t="s">
        <v>25</v>
      </c>
      <c r="C223" s="8" t="s">
        <v>415</v>
      </c>
      <c r="D223" s="8" t="s">
        <v>416</v>
      </c>
      <c r="E223" s="8" t="s">
        <v>416</v>
      </c>
      <c r="F223" s="8" t="s">
        <v>432</v>
      </c>
      <c r="G223" s="15" t="s">
        <v>42</v>
      </c>
      <c r="H223" s="4">
        <v>0.5</v>
      </c>
      <c r="I223" s="2" t="s">
        <v>433</v>
      </c>
      <c r="J223" s="1" t="s">
        <v>22</v>
      </c>
      <c r="K223" s="7"/>
      <c r="L223" s="7" t="s">
        <v>30</v>
      </c>
      <c r="M223" s="8" t="s">
        <v>24</v>
      </c>
      <c r="N223" s="88">
        <v>0</v>
      </c>
      <c r="O223" s="88">
        <v>0</v>
      </c>
      <c r="P223" s="88">
        <v>0</v>
      </c>
      <c r="Q223" s="88">
        <v>346666666.67000002</v>
      </c>
      <c r="R223" s="88">
        <v>520000000</v>
      </c>
      <c r="S223" s="88">
        <v>520000000</v>
      </c>
      <c r="T223" s="50">
        <v>0</v>
      </c>
      <c r="U223" s="50">
        <v>0</v>
      </c>
      <c r="V223" s="89">
        <f>N223+O223+P223+Q223+R223+S223+T223</f>
        <v>1386666666.6700001</v>
      </c>
      <c r="W223" s="89">
        <f t="shared" si="137"/>
        <v>1553066666.6704001</v>
      </c>
      <c r="X223" s="7"/>
      <c r="Y223" s="51" t="s">
        <v>35</v>
      </c>
      <c r="Z223" s="8"/>
      <c r="AB223" s="93"/>
    </row>
    <row r="224" spans="1:28" s="52" customFormat="1" ht="51" outlineLevel="1" x14ac:dyDescent="0.2">
      <c r="A224" s="15" t="s">
        <v>423</v>
      </c>
      <c r="B224" s="14" t="s">
        <v>25</v>
      </c>
      <c r="C224" s="8" t="s">
        <v>424</v>
      </c>
      <c r="D224" s="8" t="s">
        <v>425</v>
      </c>
      <c r="E224" s="8" t="s">
        <v>425</v>
      </c>
      <c r="F224" s="67" t="s">
        <v>426</v>
      </c>
      <c r="G224" s="15" t="s">
        <v>20</v>
      </c>
      <c r="H224" s="4">
        <v>0</v>
      </c>
      <c r="I224" s="2" t="s">
        <v>419</v>
      </c>
      <c r="J224" s="1" t="s">
        <v>22</v>
      </c>
      <c r="K224" s="7"/>
      <c r="L224" s="7" t="s">
        <v>30</v>
      </c>
      <c r="M224" s="8" t="s">
        <v>24</v>
      </c>
      <c r="N224" s="88">
        <v>0</v>
      </c>
      <c r="O224" s="88">
        <v>0</v>
      </c>
      <c r="P224" s="88">
        <v>0</v>
      </c>
      <c r="Q224" s="88">
        <v>707533928.57000005</v>
      </c>
      <c r="R224" s="88">
        <v>0</v>
      </c>
      <c r="S224" s="88">
        <v>0</v>
      </c>
      <c r="T224" s="88">
        <v>0</v>
      </c>
      <c r="U224" s="83">
        <v>0</v>
      </c>
      <c r="V224" s="89">
        <f>N224+O224+P224+Q224+R224+T224</f>
        <v>707533928.57000005</v>
      </c>
      <c r="W224" s="89">
        <f t="shared" ref="W224:W226" si="138">V224*1.12</f>
        <v>792437999.99840009</v>
      </c>
      <c r="X224" s="7"/>
      <c r="Y224" s="51" t="s">
        <v>33</v>
      </c>
      <c r="Z224" s="49"/>
      <c r="AB224" s="93"/>
    </row>
    <row r="225" spans="1:29" s="52" customFormat="1" ht="51" outlineLevel="1" x14ac:dyDescent="0.2">
      <c r="A225" s="15" t="s">
        <v>435</v>
      </c>
      <c r="B225" s="14" t="s">
        <v>25</v>
      </c>
      <c r="C225" s="8" t="s">
        <v>437</v>
      </c>
      <c r="D225" s="8" t="s">
        <v>438</v>
      </c>
      <c r="E225" s="8" t="s">
        <v>438</v>
      </c>
      <c r="F225" s="67" t="s">
        <v>439</v>
      </c>
      <c r="G225" s="15" t="s">
        <v>20</v>
      </c>
      <c r="H225" s="4">
        <v>0</v>
      </c>
      <c r="I225" s="2" t="s">
        <v>440</v>
      </c>
      <c r="J225" s="1" t="s">
        <v>22</v>
      </c>
      <c r="K225" s="7"/>
      <c r="L225" s="7" t="s">
        <v>30</v>
      </c>
      <c r="M225" s="8" t="s">
        <v>24</v>
      </c>
      <c r="N225" s="88">
        <v>0</v>
      </c>
      <c r="O225" s="88">
        <v>0</v>
      </c>
      <c r="P225" s="88">
        <v>0</v>
      </c>
      <c r="Q225" s="88">
        <v>0</v>
      </c>
      <c r="R225" s="88">
        <v>22260000</v>
      </c>
      <c r="S225" s="88">
        <v>23373000</v>
      </c>
      <c r="T225" s="88">
        <v>24191000</v>
      </c>
      <c r="U225" s="83">
        <v>0</v>
      </c>
      <c r="V225" s="89">
        <f>N225+O225+P225+Q225+R225+S225+T225</f>
        <v>69824000</v>
      </c>
      <c r="W225" s="89">
        <f t="shared" si="138"/>
        <v>78202880</v>
      </c>
      <c r="X225" s="7"/>
      <c r="Y225" s="51" t="s">
        <v>35</v>
      </c>
      <c r="Z225" s="49"/>
      <c r="AB225" s="93"/>
    </row>
    <row r="226" spans="1:29" s="52" customFormat="1" ht="51" outlineLevel="1" x14ac:dyDescent="0.2">
      <c r="A226" s="15" t="s">
        <v>452</v>
      </c>
      <c r="B226" s="14" t="s">
        <v>25</v>
      </c>
      <c r="C226" s="8" t="s">
        <v>453</v>
      </c>
      <c r="D226" s="8" t="s">
        <v>454</v>
      </c>
      <c r="E226" s="8" t="s">
        <v>455</v>
      </c>
      <c r="F226" s="67" t="s">
        <v>456</v>
      </c>
      <c r="G226" s="15" t="s">
        <v>20</v>
      </c>
      <c r="H226" s="4">
        <v>1</v>
      </c>
      <c r="I226" s="2" t="s">
        <v>457</v>
      </c>
      <c r="J226" s="1" t="s">
        <v>22</v>
      </c>
      <c r="K226" s="7"/>
      <c r="L226" s="7" t="s">
        <v>458</v>
      </c>
      <c r="M226" s="8" t="s">
        <v>24</v>
      </c>
      <c r="N226" s="88">
        <v>0</v>
      </c>
      <c r="O226" s="88">
        <v>0</v>
      </c>
      <c r="P226" s="88"/>
      <c r="Q226" s="88">
        <v>1887500</v>
      </c>
      <c r="R226" s="88">
        <v>1887500</v>
      </c>
      <c r="S226" s="88">
        <v>0</v>
      </c>
      <c r="T226" s="88">
        <v>0</v>
      </c>
      <c r="U226" s="83">
        <v>0</v>
      </c>
      <c r="V226" s="89">
        <f>N226+O226+P226+Q226+R226+S226+T226</f>
        <v>3775000</v>
      </c>
      <c r="W226" s="89">
        <f t="shared" si="138"/>
        <v>4228000</v>
      </c>
      <c r="X226" s="7"/>
      <c r="Y226" s="7" t="s">
        <v>35</v>
      </c>
      <c r="Z226" s="49"/>
      <c r="AB226" s="93"/>
    </row>
    <row r="227" spans="1:29" s="57" customFormat="1" ht="15.75" x14ac:dyDescent="0.3">
      <c r="A227" s="96" t="s">
        <v>175</v>
      </c>
      <c r="B227" s="54"/>
      <c r="C227" s="55"/>
      <c r="D227" s="8"/>
      <c r="E227" s="8"/>
      <c r="F227" s="15"/>
      <c r="G227" s="15"/>
      <c r="H227" s="15"/>
      <c r="I227" s="2"/>
      <c r="J227" s="15"/>
      <c r="K227" s="15"/>
      <c r="L227" s="15"/>
      <c r="M227" s="15"/>
      <c r="N227" s="85"/>
      <c r="O227" s="85"/>
      <c r="P227" s="85"/>
      <c r="Q227" s="85"/>
      <c r="R227" s="85" t="s">
        <v>174</v>
      </c>
      <c r="S227" s="85"/>
      <c r="T227" s="85" t="s">
        <v>174</v>
      </c>
      <c r="U227" s="85"/>
      <c r="V227" s="90">
        <f>SUM(V171:V226)</f>
        <v>3954454502.1878004</v>
      </c>
      <c r="W227" s="90">
        <f>SUM(W171:W226)</f>
        <v>4428989042.4503365</v>
      </c>
      <c r="X227" s="51"/>
      <c r="Y227" s="51"/>
      <c r="Z227" s="56"/>
      <c r="AA227" s="52"/>
      <c r="AB227" s="93"/>
      <c r="AC227" s="94"/>
    </row>
    <row r="228" spans="1:29" s="64" customFormat="1" ht="15.75" x14ac:dyDescent="0.3">
      <c r="A228" s="99" t="s">
        <v>23</v>
      </c>
      <c r="B228" s="62"/>
      <c r="C228" s="58"/>
      <c r="D228" s="58"/>
      <c r="E228" s="58"/>
      <c r="F228" s="58"/>
      <c r="G228" s="62"/>
      <c r="H228" s="62"/>
      <c r="I228" s="62"/>
      <c r="J228" s="62"/>
      <c r="K228" s="62"/>
      <c r="L228" s="62"/>
      <c r="M228" s="62"/>
      <c r="N228" s="91"/>
      <c r="O228" s="91"/>
      <c r="P228" s="91"/>
      <c r="Q228" s="91"/>
      <c r="R228" s="91"/>
      <c r="S228" s="91"/>
      <c r="T228" s="91"/>
      <c r="U228" s="91"/>
      <c r="V228" s="90">
        <f>V227+V169+V159</f>
        <v>19079833759.7178</v>
      </c>
      <c r="W228" s="90">
        <f>W227+W169+W159</f>
        <v>21369413810.883938</v>
      </c>
      <c r="X228" s="62"/>
      <c r="Y228" s="63"/>
      <c r="Z228" s="63"/>
      <c r="AA228" s="57"/>
      <c r="AB228" s="57"/>
    </row>
    <row r="230" spans="1:29" ht="15.75" x14ac:dyDescent="0.25">
      <c r="A230" s="43"/>
      <c r="B230" s="95" t="s">
        <v>520</v>
      </c>
      <c r="C230" s="44"/>
      <c r="D230" s="44"/>
      <c r="E230" s="44"/>
      <c r="F230" s="44"/>
      <c r="G230" s="44"/>
      <c r="H230" s="45"/>
      <c r="I230" s="44"/>
      <c r="J230" s="45"/>
      <c r="K230" s="45"/>
      <c r="L230" s="45"/>
      <c r="M230" s="45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45"/>
      <c r="Y230" s="45"/>
      <c r="Z230" s="45"/>
      <c r="AA230" s="43"/>
      <c r="AB230" s="43"/>
      <c r="AC230" s="43"/>
    </row>
  </sheetData>
  <autoFilter ref="A35:AP228">
    <filterColumn colId="13" showButton="0"/>
    <filterColumn colId="14" showButton="0"/>
    <filterColumn colId="15" showButton="0"/>
    <filterColumn colId="16" showButton="0"/>
    <filterColumn colId="17" showButton="0"/>
    <filterColumn colId="18" hiddenButton="1" showButton="0"/>
  </autoFilter>
  <mergeCells count="43">
    <mergeCell ref="N32:T33"/>
    <mergeCell ref="Q19:Z19"/>
    <mergeCell ref="Q22:Z22"/>
    <mergeCell ref="Q15:Z15"/>
    <mergeCell ref="K32:K34"/>
    <mergeCell ref="Q21:Z21"/>
    <mergeCell ref="Q26:Z26"/>
    <mergeCell ref="Q23:Z23"/>
    <mergeCell ref="Q24:Z24"/>
    <mergeCell ref="Q25:Z25"/>
    <mergeCell ref="Q27:Z27"/>
    <mergeCell ref="N35:T35"/>
    <mergeCell ref="A29:Z29"/>
    <mergeCell ref="Q17:Z17"/>
    <mergeCell ref="W2:Z2"/>
    <mergeCell ref="A32:A34"/>
    <mergeCell ref="B32:B34"/>
    <mergeCell ref="C32:C34"/>
    <mergeCell ref="L32:L34"/>
    <mergeCell ref="M32:M34"/>
    <mergeCell ref="G32:G34"/>
    <mergeCell ref="H32:H34"/>
    <mergeCell ref="I32:I34"/>
    <mergeCell ref="J32:J34"/>
    <mergeCell ref="V3:Z3"/>
    <mergeCell ref="F32:F34"/>
    <mergeCell ref="Q20:Z20"/>
    <mergeCell ref="Q1:Z1"/>
    <mergeCell ref="Q4:Z4"/>
    <mergeCell ref="D32:D34"/>
    <mergeCell ref="E32:E34"/>
    <mergeCell ref="Q5:Z5"/>
    <mergeCell ref="Q6:Z6"/>
    <mergeCell ref="Q7:Z7"/>
    <mergeCell ref="Q8:Z8"/>
    <mergeCell ref="Q9:Z9"/>
    <mergeCell ref="Q10:Z10"/>
    <mergeCell ref="Q11:Z11"/>
    <mergeCell ref="Q12:Z12"/>
    <mergeCell ref="Q13:Z13"/>
    <mergeCell ref="Q14:Z14"/>
    <mergeCell ref="Q16:Z16"/>
    <mergeCell ref="Q18:Z18"/>
  </mergeCells>
  <dataValidations count="1">
    <dataValidation type="custom" allowBlank="1" showInputMessage="1" showErrorMessage="1" sqref="S200">
      <formula1>Q200*R200</formula1>
    </dataValidation>
  </dataValidations>
  <pageMargins left="0" right="0" top="0.59055118110236227" bottom="0.59055118110236227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="70" zoomScaleNormal="70" workbookViewId="0">
      <selection activeCell="E19" sqref="E19"/>
    </sheetView>
  </sheetViews>
  <sheetFormatPr defaultRowHeight="18.75" x14ac:dyDescent="0.3"/>
  <cols>
    <col min="1" max="1" width="4.09765625" customWidth="1"/>
    <col min="3" max="3" width="6.09765625" customWidth="1"/>
    <col min="6" max="6" width="19.69921875" customWidth="1"/>
    <col min="16" max="18" width="10.796875" bestFit="1" customWidth="1"/>
    <col min="19" max="19" width="11.5" bestFit="1" customWidth="1"/>
    <col min="22" max="23" width="11.796875" bestFit="1" customWidth="1"/>
  </cols>
  <sheetData>
    <row r="1" spans="1:26" x14ac:dyDescent="0.3">
      <c r="A1" s="40"/>
      <c r="B1" s="40"/>
      <c r="C1" s="42"/>
      <c r="D1" s="46"/>
      <c r="E1" s="46"/>
      <c r="F1" s="46"/>
      <c r="G1" s="46"/>
      <c r="H1" s="46"/>
      <c r="I1" s="46"/>
      <c r="J1" s="46"/>
      <c r="K1" s="46"/>
      <c r="L1" s="46"/>
      <c r="M1" s="46"/>
      <c r="N1" s="75"/>
      <c r="O1" s="75"/>
      <c r="P1" s="75"/>
      <c r="Q1" s="157"/>
      <c r="R1" s="157"/>
      <c r="S1" s="157"/>
      <c r="T1" s="157"/>
      <c r="U1" s="157"/>
      <c r="V1" s="157"/>
      <c r="W1" s="157"/>
      <c r="X1" s="158"/>
      <c r="Y1" s="158"/>
      <c r="Z1" s="159" t="s">
        <v>512</v>
      </c>
    </row>
    <row r="2" spans="1:26" x14ac:dyDescent="0.3">
      <c r="A2" s="40"/>
      <c r="B2" s="40"/>
      <c r="C2" s="42"/>
      <c r="D2" s="46"/>
      <c r="E2" s="46"/>
      <c r="F2" s="46"/>
      <c r="G2" s="46"/>
      <c r="H2" s="46"/>
      <c r="I2" s="46"/>
      <c r="J2" s="46"/>
      <c r="K2" s="46"/>
      <c r="L2" s="46"/>
      <c r="M2" s="46"/>
      <c r="N2" s="75"/>
      <c r="O2" s="75"/>
      <c r="P2" s="75"/>
      <c r="Q2" s="160"/>
      <c r="R2" s="160"/>
      <c r="S2" s="160"/>
      <c r="T2" s="160"/>
      <c r="U2" s="160"/>
      <c r="V2" s="160"/>
      <c r="W2" s="160"/>
      <c r="X2" s="161"/>
      <c r="Y2" s="161"/>
      <c r="Z2" s="159" t="s">
        <v>513</v>
      </c>
    </row>
    <row r="3" spans="1:26" x14ac:dyDescent="0.3">
      <c r="A3" s="40"/>
      <c r="B3" s="40"/>
      <c r="C3" s="42"/>
      <c r="D3" s="46"/>
      <c r="E3" s="46"/>
      <c r="F3" s="46"/>
      <c r="G3" s="46"/>
      <c r="H3" s="46"/>
      <c r="I3" s="46"/>
      <c r="J3" s="46"/>
      <c r="K3" s="46"/>
      <c r="L3" s="46"/>
      <c r="M3" s="46"/>
      <c r="N3" s="75"/>
      <c r="O3" s="75"/>
      <c r="P3" s="75"/>
      <c r="Q3" s="160"/>
      <c r="R3" s="160"/>
      <c r="S3" s="160"/>
      <c r="T3" s="160"/>
      <c r="U3" s="160"/>
      <c r="V3" s="160"/>
      <c r="W3" s="160"/>
      <c r="X3" s="161"/>
      <c r="Y3" s="161"/>
      <c r="Z3" s="159" t="s">
        <v>514</v>
      </c>
    </row>
    <row r="4" spans="1:26" x14ac:dyDescent="0.3">
      <c r="A4" s="20"/>
      <c r="B4" s="21"/>
      <c r="C4" s="22"/>
      <c r="D4" s="23"/>
      <c r="E4" s="21"/>
      <c r="F4" s="21"/>
      <c r="G4" s="21"/>
      <c r="H4" s="21"/>
      <c r="I4" s="21"/>
      <c r="J4" s="21"/>
      <c r="K4" s="21"/>
      <c r="L4" s="21"/>
      <c r="M4" s="21"/>
      <c r="N4" s="76"/>
      <c r="O4" s="76"/>
      <c r="P4" s="76"/>
      <c r="Q4" s="162"/>
      <c r="R4" s="162"/>
      <c r="S4" s="162"/>
      <c r="T4" s="162"/>
      <c r="U4" s="162"/>
      <c r="V4" s="162"/>
      <c r="W4" s="162"/>
      <c r="X4" s="163"/>
      <c r="Y4" s="163"/>
      <c r="Z4" s="164" t="s">
        <v>515</v>
      </c>
    </row>
    <row r="5" spans="1:26" x14ac:dyDescent="0.3">
      <c r="A5" s="20"/>
      <c r="B5" s="21"/>
      <c r="C5" s="22"/>
      <c r="D5" s="23"/>
      <c r="E5" s="21"/>
      <c r="F5" s="21"/>
      <c r="G5" s="21"/>
      <c r="H5" s="21"/>
      <c r="I5" s="21"/>
      <c r="J5" s="21"/>
      <c r="K5" s="21"/>
      <c r="L5" s="21"/>
      <c r="M5" s="21"/>
      <c r="N5" s="76"/>
      <c r="O5" s="76"/>
      <c r="P5" s="76"/>
      <c r="Q5" s="77"/>
      <c r="R5" s="77"/>
      <c r="S5" s="77"/>
      <c r="T5" s="77"/>
      <c r="U5" s="77"/>
      <c r="V5" s="77"/>
      <c r="W5" s="77"/>
      <c r="X5" s="74"/>
      <c r="Y5" s="74"/>
      <c r="Z5" s="74"/>
    </row>
    <row r="6" spans="1:26" x14ac:dyDescent="0.3">
      <c r="A6" s="144" t="s">
        <v>420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4"/>
      <c r="Y6" s="144"/>
      <c r="Z6" s="144"/>
    </row>
    <row r="7" spans="1:26" x14ac:dyDescent="0.3">
      <c r="A7" s="20"/>
      <c r="B7" s="21"/>
      <c r="C7" s="22"/>
      <c r="D7" s="23"/>
      <c r="E7" s="21"/>
      <c r="F7" s="21"/>
      <c r="G7" s="21"/>
      <c r="H7" s="21"/>
      <c r="I7" s="21"/>
      <c r="J7" s="21"/>
      <c r="K7" s="21"/>
      <c r="L7" s="21"/>
      <c r="M7" s="21"/>
      <c r="N7" s="76"/>
      <c r="O7" s="76"/>
      <c r="P7" s="76"/>
      <c r="Q7" s="76"/>
      <c r="R7" s="76"/>
      <c r="S7" s="76"/>
      <c r="T7" s="76"/>
      <c r="U7" s="76"/>
      <c r="V7" s="76"/>
      <c r="W7" s="78"/>
      <c r="X7" s="101"/>
      <c r="Y7" s="101"/>
      <c r="Z7" s="101"/>
    </row>
    <row r="8" spans="1:26" x14ac:dyDescent="0.3">
      <c r="A8" s="25"/>
      <c r="B8" s="26"/>
      <c r="C8" s="27"/>
      <c r="D8" s="23"/>
      <c r="E8" s="21"/>
      <c r="F8" s="21"/>
      <c r="G8" s="26"/>
      <c r="H8" s="26"/>
      <c r="I8" s="26"/>
      <c r="J8" s="26"/>
      <c r="K8" s="26"/>
      <c r="L8" s="26"/>
      <c r="M8" s="26"/>
      <c r="N8" s="28"/>
      <c r="O8" s="28"/>
      <c r="P8" s="28"/>
      <c r="Q8" s="28"/>
      <c r="R8" s="28"/>
      <c r="S8" s="28"/>
      <c r="T8" s="28"/>
      <c r="U8" s="28"/>
      <c r="V8" s="28"/>
      <c r="W8" s="28"/>
      <c r="X8" s="26"/>
      <c r="Y8" s="26"/>
      <c r="Z8" s="26"/>
    </row>
    <row r="9" spans="1:26" ht="63.75" x14ac:dyDescent="0.3">
      <c r="A9" s="138" t="s">
        <v>0</v>
      </c>
      <c r="B9" s="138" t="s">
        <v>1</v>
      </c>
      <c r="C9" s="138" t="s">
        <v>2</v>
      </c>
      <c r="D9" s="138" t="s">
        <v>16</v>
      </c>
      <c r="E9" s="138" t="s">
        <v>17</v>
      </c>
      <c r="F9" s="138" t="s">
        <v>18</v>
      </c>
      <c r="G9" s="138" t="s">
        <v>3</v>
      </c>
      <c r="H9" s="138" t="s">
        <v>4</v>
      </c>
      <c r="I9" s="138" t="s">
        <v>5</v>
      </c>
      <c r="J9" s="138" t="s">
        <v>6</v>
      </c>
      <c r="K9" s="156" t="s">
        <v>7</v>
      </c>
      <c r="L9" s="138" t="s">
        <v>8</v>
      </c>
      <c r="M9" s="138" t="s">
        <v>9</v>
      </c>
      <c r="N9" s="150" t="s">
        <v>10</v>
      </c>
      <c r="O9" s="151"/>
      <c r="P9" s="151"/>
      <c r="Q9" s="151"/>
      <c r="R9" s="151"/>
      <c r="S9" s="151"/>
      <c r="T9" s="152"/>
      <c r="U9" s="79" t="s">
        <v>11</v>
      </c>
      <c r="V9" s="79" t="s">
        <v>12</v>
      </c>
      <c r="W9" s="79" t="s">
        <v>13</v>
      </c>
      <c r="X9" s="72" t="s">
        <v>14</v>
      </c>
      <c r="Y9" s="72" t="s">
        <v>15</v>
      </c>
      <c r="Z9" s="72" t="s">
        <v>234</v>
      </c>
    </row>
    <row r="10" spans="1:26" x14ac:dyDescent="0.3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56"/>
      <c r="L10" s="139"/>
      <c r="M10" s="139"/>
      <c r="N10" s="153"/>
      <c r="O10" s="154"/>
      <c r="P10" s="154"/>
      <c r="Q10" s="154"/>
      <c r="R10" s="154"/>
      <c r="S10" s="154"/>
      <c r="T10" s="155"/>
      <c r="U10" s="80"/>
      <c r="V10" s="80"/>
      <c r="W10" s="80"/>
      <c r="X10" s="100"/>
      <c r="Y10" s="100"/>
      <c r="Z10" s="100"/>
    </row>
    <row r="11" spans="1:26" x14ac:dyDescent="0.3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56"/>
      <c r="L11" s="140"/>
      <c r="M11" s="140"/>
      <c r="N11" s="80" t="s">
        <v>31</v>
      </c>
      <c r="O11" s="80" t="s">
        <v>32</v>
      </c>
      <c r="P11" s="80" t="s">
        <v>33</v>
      </c>
      <c r="Q11" s="80" t="s">
        <v>35</v>
      </c>
      <c r="R11" s="80" t="s">
        <v>36</v>
      </c>
      <c r="S11" s="80" t="s">
        <v>417</v>
      </c>
      <c r="T11" s="80" t="s">
        <v>436</v>
      </c>
      <c r="U11" s="81"/>
      <c r="V11" s="81"/>
      <c r="W11" s="81"/>
      <c r="X11" s="30"/>
      <c r="Y11" s="30"/>
      <c r="Z11" s="30"/>
    </row>
    <row r="12" spans="1:26" x14ac:dyDescent="0.3">
      <c r="A12" s="31">
        <v>1</v>
      </c>
      <c r="B12" s="100">
        <v>2</v>
      </c>
      <c r="C12" s="100">
        <v>3</v>
      </c>
      <c r="D12" s="100">
        <v>4</v>
      </c>
      <c r="E12" s="100">
        <v>5</v>
      </c>
      <c r="F12" s="100" t="s">
        <v>19</v>
      </c>
      <c r="G12" s="100">
        <v>7</v>
      </c>
      <c r="H12" s="100">
        <v>8</v>
      </c>
      <c r="I12" s="100">
        <v>9</v>
      </c>
      <c r="J12" s="100">
        <v>10</v>
      </c>
      <c r="K12" s="100">
        <v>11</v>
      </c>
      <c r="L12" s="100">
        <v>12</v>
      </c>
      <c r="M12" s="100">
        <v>13</v>
      </c>
      <c r="N12" s="141">
        <v>14</v>
      </c>
      <c r="O12" s="142"/>
      <c r="P12" s="142"/>
      <c r="Q12" s="142"/>
      <c r="R12" s="142"/>
      <c r="S12" s="142"/>
      <c r="T12" s="143"/>
      <c r="U12" s="100">
        <v>15</v>
      </c>
      <c r="V12" s="100">
        <v>16</v>
      </c>
      <c r="W12" s="100">
        <v>17</v>
      </c>
      <c r="X12" s="100">
        <v>18</v>
      </c>
      <c r="Y12" s="100">
        <v>19</v>
      </c>
      <c r="Z12" s="100">
        <v>20</v>
      </c>
    </row>
    <row r="13" spans="1:26" x14ac:dyDescent="0.3">
      <c r="A13" s="97" t="s">
        <v>340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58"/>
      <c r="Y13" s="59"/>
      <c r="Z13" s="59"/>
    </row>
    <row r="14" spans="1:26" ht="76.5" x14ac:dyDescent="0.3">
      <c r="A14" s="39" t="s">
        <v>383</v>
      </c>
      <c r="B14" s="66" t="s">
        <v>25</v>
      </c>
      <c r="C14" s="38" t="s">
        <v>344</v>
      </c>
      <c r="D14" s="38" t="s">
        <v>345</v>
      </c>
      <c r="E14" s="38" t="s">
        <v>345</v>
      </c>
      <c r="F14" s="38" t="s">
        <v>348</v>
      </c>
      <c r="G14" s="39" t="s">
        <v>42</v>
      </c>
      <c r="H14" s="68">
        <v>1</v>
      </c>
      <c r="I14" s="5" t="s">
        <v>384</v>
      </c>
      <c r="J14" s="69" t="s">
        <v>349</v>
      </c>
      <c r="K14" s="6"/>
      <c r="L14" s="6" t="s">
        <v>341</v>
      </c>
      <c r="M14" s="38" t="s">
        <v>342</v>
      </c>
      <c r="N14" s="83">
        <v>0</v>
      </c>
      <c r="O14" s="83">
        <v>0</v>
      </c>
      <c r="P14" s="83">
        <v>1996394</v>
      </c>
      <c r="Q14" s="83">
        <v>1996394</v>
      </c>
      <c r="R14" s="83">
        <v>1996394</v>
      </c>
      <c r="S14" s="83">
        <v>0</v>
      </c>
      <c r="T14" s="18">
        <v>0</v>
      </c>
      <c r="U14" s="18">
        <v>0</v>
      </c>
      <c r="V14" s="84" t="s">
        <v>478</v>
      </c>
      <c r="W14" s="84" t="s">
        <v>478</v>
      </c>
      <c r="X14" s="6" t="s">
        <v>34</v>
      </c>
      <c r="Y14" s="12" t="s">
        <v>32</v>
      </c>
      <c r="Z14" s="37" t="s">
        <v>516</v>
      </c>
    </row>
    <row r="15" spans="1:26" ht="89.25" x14ac:dyDescent="0.3">
      <c r="A15" s="39" t="s">
        <v>470</v>
      </c>
      <c r="B15" s="66" t="s">
        <v>25</v>
      </c>
      <c r="C15" s="165" t="s">
        <v>471</v>
      </c>
      <c r="D15" s="165" t="s">
        <v>472</v>
      </c>
      <c r="E15" s="165" t="s">
        <v>473</v>
      </c>
      <c r="F15" s="38" t="s">
        <v>348</v>
      </c>
      <c r="G15" s="39" t="s">
        <v>42</v>
      </c>
      <c r="H15" s="68">
        <v>1</v>
      </c>
      <c r="I15" s="5" t="s">
        <v>384</v>
      </c>
      <c r="J15" s="69" t="s">
        <v>349</v>
      </c>
      <c r="K15" s="36"/>
      <c r="L15" s="6" t="s">
        <v>341</v>
      </c>
      <c r="M15" s="38" t="s">
        <v>342</v>
      </c>
      <c r="N15" s="166"/>
      <c r="O15" s="166"/>
      <c r="P15" s="84">
        <v>1996394</v>
      </c>
      <c r="Q15" s="84">
        <v>1996394</v>
      </c>
      <c r="R15" s="84">
        <v>1996394</v>
      </c>
      <c r="S15" s="84">
        <v>702753.57</v>
      </c>
      <c r="T15" s="167"/>
      <c r="U15" s="19"/>
      <c r="V15" s="84">
        <f>P15+Q15+R15+S15</f>
        <v>6691935.5700000003</v>
      </c>
      <c r="W15" s="84">
        <f t="shared" ref="W15" si="0">V15*1.12</f>
        <v>7494967.8384000007</v>
      </c>
      <c r="X15" s="6" t="s">
        <v>34</v>
      </c>
      <c r="Y15" s="39" t="s">
        <v>32</v>
      </c>
      <c r="Z15" s="37"/>
    </row>
    <row r="16" spans="1:26" x14ac:dyDescent="0.3">
      <c r="A16" s="96" t="s">
        <v>177</v>
      </c>
      <c r="B16" s="54"/>
      <c r="C16" s="55"/>
      <c r="D16" s="8"/>
      <c r="E16" s="8"/>
      <c r="F16" s="15"/>
      <c r="G16" s="15"/>
      <c r="H16" s="15"/>
      <c r="I16" s="2"/>
      <c r="J16" s="15"/>
      <c r="K16" s="15"/>
      <c r="L16" s="15"/>
      <c r="M16" s="15"/>
      <c r="N16" s="85"/>
      <c r="O16" s="85"/>
      <c r="P16" s="85"/>
      <c r="Q16" s="85"/>
      <c r="R16" s="85" t="s">
        <v>174</v>
      </c>
      <c r="S16" s="85"/>
      <c r="T16" s="85" t="s">
        <v>174</v>
      </c>
      <c r="U16" s="85"/>
      <c r="V16" s="86">
        <f>SUM(V15)</f>
        <v>6691935.5700000003</v>
      </c>
      <c r="W16" s="86">
        <f>SUM(W15)</f>
        <v>7494967.8384000007</v>
      </c>
      <c r="X16" s="51"/>
      <c r="Y16" s="51"/>
      <c r="Z16" s="56"/>
    </row>
    <row r="17" spans="1:26" x14ac:dyDescent="0.3">
      <c r="A17" s="97" t="s">
        <v>178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58"/>
      <c r="Y17" s="59"/>
      <c r="Z17" s="59"/>
    </row>
    <row r="18" spans="1:26" ht="216.75" x14ac:dyDescent="0.3">
      <c r="A18" s="39" t="s">
        <v>283</v>
      </c>
      <c r="B18" s="66" t="s">
        <v>25</v>
      </c>
      <c r="C18" s="5" t="s">
        <v>284</v>
      </c>
      <c r="D18" s="5" t="s">
        <v>285</v>
      </c>
      <c r="E18" s="5" t="s">
        <v>285</v>
      </c>
      <c r="F18" s="38" t="s">
        <v>286</v>
      </c>
      <c r="G18" s="39" t="s">
        <v>20</v>
      </c>
      <c r="H18" s="68">
        <v>1</v>
      </c>
      <c r="I18" s="5" t="s">
        <v>287</v>
      </c>
      <c r="J18" s="69" t="s">
        <v>22</v>
      </c>
      <c r="K18" s="6"/>
      <c r="L18" s="6" t="s">
        <v>30</v>
      </c>
      <c r="M18" s="38" t="s">
        <v>24</v>
      </c>
      <c r="N18" s="83">
        <v>0</v>
      </c>
      <c r="O18" s="83">
        <v>0</v>
      </c>
      <c r="P18" s="83">
        <v>97317000</v>
      </c>
      <c r="Q18" s="83">
        <v>104129190</v>
      </c>
      <c r="R18" s="83">
        <v>110376941.40000001</v>
      </c>
      <c r="S18" s="83" t="s">
        <v>478</v>
      </c>
      <c r="T18" s="18" t="s">
        <v>478</v>
      </c>
      <c r="U18" s="18" t="s">
        <v>478</v>
      </c>
      <c r="V18" s="84" t="s">
        <v>478</v>
      </c>
      <c r="W18" s="84" t="s">
        <v>478</v>
      </c>
      <c r="X18" s="6" t="s">
        <v>34</v>
      </c>
      <c r="Y18" s="12" t="s">
        <v>32</v>
      </c>
      <c r="Z18" s="37" t="s">
        <v>517</v>
      </c>
    </row>
    <row r="19" spans="1:26" ht="191.25" x14ac:dyDescent="0.3">
      <c r="A19" s="39" t="s">
        <v>474</v>
      </c>
      <c r="B19" s="66" t="s">
        <v>25</v>
      </c>
      <c r="C19" s="5" t="s">
        <v>284</v>
      </c>
      <c r="D19" s="5" t="s">
        <v>285</v>
      </c>
      <c r="E19" s="5" t="s">
        <v>285</v>
      </c>
      <c r="F19" s="38" t="s">
        <v>475</v>
      </c>
      <c r="G19" s="39" t="s">
        <v>20</v>
      </c>
      <c r="H19" s="68">
        <v>1</v>
      </c>
      <c r="I19" s="5" t="s">
        <v>287</v>
      </c>
      <c r="J19" s="69" t="s">
        <v>22</v>
      </c>
      <c r="K19" s="6"/>
      <c r="L19" s="6" t="s">
        <v>30</v>
      </c>
      <c r="M19" s="38" t="s">
        <v>24</v>
      </c>
      <c r="N19" s="83">
        <v>0</v>
      </c>
      <c r="O19" s="83">
        <v>0</v>
      </c>
      <c r="P19" s="83">
        <f>67622000+29695000</f>
        <v>97317000</v>
      </c>
      <c r="Q19" s="83">
        <f>P19*1.07</f>
        <v>104129190</v>
      </c>
      <c r="R19" s="83">
        <f>Q19*1.06</f>
        <v>110376941.40000001</v>
      </c>
      <c r="S19" s="83">
        <v>54000000</v>
      </c>
      <c r="T19" s="83"/>
      <c r="U19" s="84"/>
      <c r="V19" s="84">
        <f>P19+Q19+R19+S19</f>
        <v>365823131.39999998</v>
      </c>
      <c r="W19" s="84">
        <f t="shared" ref="W19:W23" si="1">V19*1.12</f>
        <v>409721907.16799998</v>
      </c>
      <c r="X19" s="38" t="s">
        <v>34</v>
      </c>
      <c r="Y19" s="39" t="s">
        <v>32</v>
      </c>
      <c r="Z19" s="37"/>
    </row>
    <row r="20" spans="1:26" ht="216.75" x14ac:dyDescent="0.3">
      <c r="A20" s="39" t="s">
        <v>288</v>
      </c>
      <c r="B20" s="66" t="s">
        <v>25</v>
      </c>
      <c r="C20" s="5" t="s">
        <v>284</v>
      </c>
      <c r="D20" s="5" t="s">
        <v>285</v>
      </c>
      <c r="E20" s="5" t="s">
        <v>285</v>
      </c>
      <c r="F20" s="38" t="s">
        <v>477</v>
      </c>
      <c r="G20" s="39" t="s">
        <v>20</v>
      </c>
      <c r="H20" s="68">
        <v>1</v>
      </c>
      <c r="I20" s="5" t="s">
        <v>287</v>
      </c>
      <c r="J20" s="69" t="s">
        <v>153</v>
      </c>
      <c r="K20" s="6"/>
      <c r="L20" s="6" t="s">
        <v>30</v>
      </c>
      <c r="M20" s="38" t="s">
        <v>24</v>
      </c>
      <c r="N20" s="83">
        <v>0</v>
      </c>
      <c r="O20" s="83">
        <v>0</v>
      </c>
      <c r="P20" s="83">
        <v>2129359</v>
      </c>
      <c r="Q20" s="83">
        <f t="shared" ref="Q20:Q21" si="2">P20*1.07</f>
        <v>2278414.1300000004</v>
      </c>
      <c r="R20" s="83">
        <f>Q20*1.06</f>
        <v>2415118.9778000005</v>
      </c>
      <c r="S20" s="83">
        <v>0</v>
      </c>
      <c r="T20" s="18" t="s">
        <v>478</v>
      </c>
      <c r="U20" s="18" t="s">
        <v>478</v>
      </c>
      <c r="V20" s="84" t="s">
        <v>478</v>
      </c>
      <c r="W20" s="84" t="s">
        <v>478</v>
      </c>
      <c r="X20" s="6" t="s">
        <v>34</v>
      </c>
      <c r="Y20" s="12" t="s">
        <v>32</v>
      </c>
      <c r="Z20" s="37" t="s">
        <v>517</v>
      </c>
    </row>
    <row r="21" spans="1:26" ht="191.25" x14ac:dyDescent="0.3">
      <c r="A21" s="39" t="s">
        <v>479</v>
      </c>
      <c r="B21" s="66" t="s">
        <v>25</v>
      </c>
      <c r="C21" s="168" t="s">
        <v>480</v>
      </c>
      <c r="D21" s="168" t="s">
        <v>481</v>
      </c>
      <c r="E21" s="168" t="s">
        <v>482</v>
      </c>
      <c r="F21" s="38" t="s">
        <v>483</v>
      </c>
      <c r="G21" s="39" t="s">
        <v>20</v>
      </c>
      <c r="H21" s="68">
        <v>1</v>
      </c>
      <c r="I21" s="5" t="s">
        <v>287</v>
      </c>
      <c r="J21" s="66" t="s">
        <v>153</v>
      </c>
      <c r="K21" s="6"/>
      <c r="L21" s="6" t="s">
        <v>484</v>
      </c>
      <c r="M21" s="38" t="s">
        <v>24</v>
      </c>
      <c r="N21" s="83"/>
      <c r="O21" s="83"/>
      <c r="P21" s="83">
        <v>2129359</v>
      </c>
      <c r="Q21" s="83">
        <f t="shared" si="2"/>
        <v>2278414.1300000004</v>
      </c>
      <c r="R21" s="83">
        <f>Q21*1.06</f>
        <v>2415118.9778000005</v>
      </c>
      <c r="S21" s="169">
        <v>1315790.25</v>
      </c>
      <c r="T21" s="169"/>
      <c r="U21" s="18"/>
      <c r="V21" s="84">
        <f>P21+Q21+R21+S21</f>
        <v>8138682.3578000013</v>
      </c>
      <c r="W21" s="84">
        <f t="shared" si="1"/>
        <v>9115324.2407360021</v>
      </c>
      <c r="X21" s="6" t="s">
        <v>34</v>
      </c>
      <c r="Y21" s="12" t="s">
        <v>32</v>
      </c>
      <c r="Z21" s="170"/>
    </row>
    <row r="22" spans="1:26" ht="318.75" x14ac:dyDescent="0.3">
      <c r="A22" s="39" t="s">
        <v>289</v>
      </c>
      <c r="B22" s="66" t="s">
        <v>25</v>
      </c>
      <c r="C22" s="5" t="s">
        <v>290</v>
      </c>
      <c r="D22" s="5" t="s">
        <v>291</v>
      </c>
      <c r="E22" s="5" t="s">
        <v>292</v>
      </c>
      <c r="F22" s="38" t="s">
        <v>485</v>
      </c>
      <c r="G22" s="39" t="s">
        <v>20</v>
      </c>
      <c r="H22" s="68">
        <v>1</v>
      </c>
      <c r="I22" s="5" t="s">
        <v>287</v>
      </c>
      <c r="J22" s="69" t="s">
        <v>22</v>
      </c>
      <c r="K22" s="6"/>
      <c r="L22" s="6" t="s">
        <v>30</v>
      </c>
      <c r="M22" s="38" t="s">
        <v>24</v>
      </c>
      <c r="N22" s="83">
        <v>0</v>
      </c>
      <c r="O22" s="83">
        <v>0</v>
      </c>
      <c r="P22" s="83">
        <v>132750000</v>
      </c>
      <c r="Q22" s="83">
        <v>142042500</v>
      </c>
      <c r="R22" s="83">
        <v>150565050</v>
      </c>
      <c r="S22" s="83">
        <v>0</v>
      </c>
      <c r="T22" s="18" t="s">
        <v>478</v>
      </c>
      <c r="U22" s="18" t="s">
        <v>478</v>
      </c>
      <c r="V22" s="84" t="s">
        <v>478</v>
      </c>
      <c r="W22" s="84" t="s">
        <v>478</v>
      </c>
      <c r="X22" s="6" t="s">
        <v>34</v>
      </c>
      <c r="Y22" s="12" t="s">
        <v>32</v>
      </c>
      <c r="Z22" s="37" t="s">
        <v>517</v>
      </c>
    </row>
    <row r="23" spans="1:26" ht="306" x14ac:dyDescent="0.3">
      <c r="A23" s="39" t="s">
        <v>486</v>
      </c>
      <c r="B23" s="66" t="s">
        <v>25</v>
      </c>
      <c r="C23" s="5" t="s">
        <v>290</v>
      </c>
      <c r="D23" s="5" t="s">
        <v>291</v>
      </c>
      <c r="E23" s="5" t="s">
        <v>292</v>
      </c>
      <c r="F23" s="38" t="s">
        <v>487</v>
      </c>
      <c r="G23" s="39" t="s">
        <v>20</v>
      </c>
      <c r="H23" s="68">
        <v>1</v>
      </c>
      <c r="I23" s="5" t="s">
        <v>287</v>
      </c>
      <c r="J23" s="69" t="s">
        <v>22</v>
      </c>
      <c r="K23" s="6"/>
      <c r="L23" s="6" t="s">
        <v>30</v>
      </c>
      <c r="M23" s="38" t="s">
        <v>24</v>
      </c>
      <c r="N23" s="83">
        <v>0</v>
      </c>
      <c r="O23" s="83">
        <v>0</v>
      </c>
      <c r="P23" s="83">
        <v>132750000</v>
      </c>
      <c r="Q23" s="83">
        <f t="shared" ref="Q23" si="3">P23*1.07</f>
        <v>142042500</v>
      </c>
      <c r="R23" s="83">
        <f>Q23*1.06</f>
        <v>150565050</v>
      </c>
      <c r="S23" s="171">
        <v>127326200</v>
      </c>
      <c r="T23" s="18"/>
      <c r="U23" s="18"/>
      <c r="V23" s="84">
        <f>P23+Q23+R23+S23</f>
        <v>552683750</v>
      </c>
      <c r="W23" s="84">
        <f t="shared" si="1"/>
        <v>619005800</v>
      </c>
      <c r="X23" s="6" t="s">
        <v>34</v>
      </c>
      <c r="Y23" s="12" t="s">
        <v>32</v>
      </c>
      <c r="Z23" s="37"/>
    </row>
    <row r="24" spans="1:26" ht="306" x14ac:dyDescent="0.3">
      <c r="A24" s="39" t="s">
        <v>364</v>
      </c>
      <c r="B24" s="66" t="s">
        <v>25</v>
      </c>
      <c r="C24" s="5" t="s">
        <v>290</v>
      </c>
      <c r="D24" s="5" t="s">
        <v>291</v>
      </c>
      <c r="E24" s="5" t="s">
        <v>292</v>
      </c>
      <c r="F24" s="38" t="s">
        <v>488</v>
      </c>
      <c r="G24" s="39" t="s">
        <v>20</v>
      </c>
      <c r="H24" s="68">
        <v>1</v>
      </c>
      <c r="I24" s="5" t="s">
        <v>287</v>
      </c>
      <c r="J24" s="69" t="s">
        <v>153</v>
      </c>
      <c r="K24" s="6"/>
      <c r="L24" s="6" t="s">
        <v>30</v>
      </c>
      <c r="M24" s="38" t="s">
        <v>24</v>
      </c>
      <c r="N24" s="83">
        <v>0</v>
      </c>
      <c r="O24" s="83">
        <v>0</v>
      </c>
      <c r="P24" s="83">
        <v>15730562.880000001</v>
      </c>
      <c r="Q24" s="83">
        <v>16785561.600000001</v>
      </c>
      <c r="R24" s="83">
        <v>17792611.199999999</v>
      </c>
      <c r="S24" s="83">
        <v>0</v>
      </c>
      <c r="T24" s="18" t="s">
        <v>478</v>
      </c>
      <c r="U24" s="18" t="s">
        <v>478</v>
      </c>
      <c r="V24" s="84" t="s">
        <v>478</v>
      </c>
      <c r="W24" s="84" t="s">
        <v>478</v>
      </c>
      <c r="X24" s="6" t="s">
        <v>34</v>
      </c>
      <c r="Y24" s="12" t="s">
        <v>32</v>
      </c>
      <c r="Z24" s="37" t="s">
        <v>517</v>
      </c>
    </row>
    <row r="25" spans="1:26" ht="331.5" x14ac:dyDescent="0.3">
      <c r="A25" s="39" t="s">
        <v>489</v>
      </c>
      <c r="B25" s="66" t="s">
        <v>25</v>
      </c>
      <c r="C25" s="168" t="s">
        <v>490</v>
      </c>
      <c r="D25" s="168" t="s">
        <v>291</v>
      </c>
      <c r="E25" s="168" t="s">
        <v>491</v>
      </c>
      <c r="F25" s="38" t="s">
        <v>492</v>
      </c>
      <c r="G25" s="39" t="s">
        <v>20</v>
      </c>
      <c r="H25" s="68">
        <v>1</v>
      </c>
      <c r="I25" s="5" t="s">
        <v>287</v>
      </c>
      <c r="J25" s="66" t="s">
        <v>153</v>
      </c>
      <c r="K25" s="6"/>
      <c r="L25" s="6" t="s">
        <v>484</v>
      </c>
      <c r="M25" s="38" t="s">
        <v>24</v>
      </c>
      <c r="N25" s="83"/>
      <c r="O25" s="83"/>
      <c r="P25" s="83">
        <v>15730562.880000001</v>
      </c>
      <c r="Q25" s="83">
        <v>16785561.600000001</v>
      </c>
      <c r="R25" s="83">
        <v>17792611.199999999</v>
      </c>
      <c r="S25" s="169">
        <v>10126059.6</v>
      </c>
      <c r="T25" s="169"/>
      <c r="U25" s="18"/>
      <c r="V25" s="84">
        <f>P25+Q25+R25+S25</f>
        <v>60434795.280000009</v>
      </c>
      <c r="W25" s="84">
        <f>V25*1.12</f>
        <v>67686970.71360001</v>
      </c>
      <c r="X25" s="6" t="s">
        <v>34</v>
      </c>
      <c r="Y25" s="12" t="s">
        <v>32</v>
      </c>
      <c r="Z25" s="170"/>
    </row>
    <row r="26" spans="1:26" ht="382.5" x14ac:dyDescent="0.3">
      <c r="A26" s="39" t="s">
        <v>295</v>
      </c>
      <c r="B26" s="66" t="s">
        <v>25</v>
      </c>
      <c r="C26" s="38" t="s">
        <v>296</v>
      </c>
      <c r="D26" s="38" t="s">
        <v>297</v>
      </c>
      <c r="E26" s="38" t="s">
        <v>297</v>
      </c>
      <c r="F26" s="38" t="s">
        <v>493</v>
      </c>
      <c r="G26" s="39" t="s">
        <v>42</v>
      </c>
      <c r="H26" s="68">
        <v>1</v>
      </c>
      <c r="I26" s="5" t="s">
        <v>287</v>
      </c>
      <c r="J26" s="69" t="s">
        <v>22</v>
      </c>
      <c r="K26" s="6"/>
      <c r="L26" s="6" t="s">
        <v>30</v>
      </c>
      <c r="M26" s="38" t="s">
        <v>24</v>
      </c>
      <c r="N26" s="83">
        <v>0</v>
      </c>
      <c r="O26" s="83">
        <v>0</v>
      </c>
      <c r="P26" s="83">
        <v>35587400</v>
      </c>
      <c r="Q26" s="83">
        <v>35587400</v>
      </c>
      <c r="R26" s="83">
        <v>35587400</v>
      </c>
      <c r="S26" s="83">
        <v>0</v>
      </c>
      <c r="T26" s="18" t="s">
        <v>478</v>
      </c>
      <c r="U26" s="18" t="s">
        <v>478</v>
      </c>
      <c r="V26" s="84" t="s">
        <v>478</v>
      </c>
      <c r="W26" s="84" t="s">
        <v>478</v>
      </c>
      <c r="X26" s="6" t="s">
        <v>34</v>
      </c>
      <c r="Y26" s="12" t="s">
        <v>32</v>
      </c>
      <c r="Z26" s="37" t="s">
        <v>517</v>
      </c>
    </row>
    <row r="27" spans="1:26" ht="267.75" x14ac:dyDescent="0.3">
      <c r="A27" s="39" t="s">
        <v>494</v>
      </c>
      <c r="B27" s="66" t="s">
        <v>25</v>
      </c>
      <c r="C27" s="38" t="s">
        <v>296</v>
      </c>
      <c r="D27" s="38" t="s">
        <v>297</v>
      </c>
      <c r="E27" s="38" t="s">
        <v>297</v>
      </c>
      <c r="F27" s="38" t="s">
        <v>495</v>
      </c>
      <c r="G27" s="39" t="s">
        <v>42</v>
      </c>
      <c r="H27" s="68">
        <v>1</v>
      </c>
      <c r="I27" s="5" t="s">
        <v>287</v>
      </c>
      <c r="J27" s="69" t="s">
        <v>22</v>
      </c>
      <c r="K27" s="6"/>
      <c r="L27" s="6" t="s">
        <v>30</v>
      </c>
      <c r="M27" s="38" t="s">
        <v>24</v>
      </c>
      <c r="N27" s="83">
        <v>0</v>
      </c>
      <c r="O27" s="83">
        <v>0</v>
      </c>
      <c r="P27" s="83">
        <v>35587400</v>
      </c>
      <c r="Q27" s="83">
        <v>35587400</v>
      </c>
      <c r="R27" s="83">
        <v>35587400</v>
      </c>
      <c r="S27" s="171">
        <v>18049267.850000001</v>
      </c>
      <c r="T27" s="18"/>
      <c r="U27" s="18"/>
      <c r="V27" s="84">
        <f t="shared" ref="V27" si="4">P27+Q27+R27+S27</f>
        <v>124811467.84999999</v>
      </c>
      <c r="W27" s="84">
        <f t="shared" ref="W27" si="5">V27*1.12</f>
        <v>139788843.99200001</v>
      </c>
      <c r="X27" s="6" t="s">
        <v>34</v>
      </c>
      <c r="Y27" s="12" t="s">
        <v>32</v>
      </c>
      <c r="Z27" s="37"/>
    </row>
    <row r="28" spans="1:26" ht="191.25" x14ac:dyDescent="0.3">
      <c r="A28" s="39" t="s">
        <v>298</v>
      </c>
      <c r="B28" s="66" t="s">
        <v>25</v>
      </c>
      <c r="C28" s="38" t="s">
        <v>296</v>
      </c>
      <c r="D28" s="38" t="s">
        <v>297</v>
      </c>
      <c r="E28" s="38" t="s">
        <v>297</v>
      </c>
      <c r="F28" s="38" t="s">
        <v>496</v>
      </c>
      <c r="G28" s="39" t="s">
        <v>42</v>
      </c>
      <c r="H28" s="68">
        <v>1</v>
      </c>
      <c r="I28" s="5" t="s">
        <v>287</v>
      </c>
      <c r="J28" s="69" t="s">
        <v>153</v>
      </c>
      <c r="K28" s="6"/>
      <c r="L28" s="6" t="s">
        <v>30</v>
      </c>
      <c r="M28" s="38" t="s">
        <v>24</v>
      </c>
      <c r="N28" s="83">
        <v>0</v>
      </c>
      <c r="O28" s="83">
        <v>0</v>
      </c>
      <c r="P28" s="83">
        <v>919764</v>
      </c>
      <c r="Q28" s="83">
        <v>919764</v>
      </c>
      <c r="R28" s="83">
        <v>919764</v>
      </c>
      <c r="S28" s="83">
        <v>0</v>
      </c>
      <c r="T28" s="18" t="s">
        <v>478</v>
      </c>
      <c r="U28" s="18" t="s">
        <v>478</v>
      </c>
      <c r="V28" s="84" t="s">
        <v>478</v>
      </c>
      <c r="W28" s="84" t="s">
        <v>478</v>
      </c>
      <c r="X28" s="6" t="s">
        <v>34</v>
      </c>
      <c r="Y28" s="12" t="s">
        <v>32</v>
      </c>
      <c r="Z28" s="37" t="s">
        <v>516</v>
      </c>
    </row>
    <row r="29" spans="1:26" ht="191.25" x14ac:dyDescent="0.3">
      <c r="A29" s="39" t="s">
        <v>497</v>
      </c>
      <c r="B29" s="66" t="s">
        <v>25</v>
      </c>
      <c r="C29" s="168" t="s">
        <v>498</v>
      </c>
      <c r="D29" s="168" t="s">
        <v>297</v>
      </c>
      <c r="E29" s="168" t="s">
        <v>297</v>
      </c>
      <c r="F29" s="38" t="s">
        <v>496</v>
      </c>
      <c r="G29" s="39" t="s">
        <v>42</v>
      </c>
      <c r="H29" s="68">
        <v>1</v>
      </c>
      <c r="I29" s="5" t="s">
        <v>287</v>
      </c>
      <c r="J29" s="66" t="s">
        <v>153</v>
      </c>
      <c r="K29" s="6"/>
      <c r="L29" s="6" t="s">
        <v>484</v>
      </c>
      <c r="M29" s="38" t="s">
        <v>24</v>
      </c>
      <c r="N29" s="83"/>
      <c r="O29" s="83"/>
      <c r="P29" s="83">
        <v>919764</v>
      </c>
      <c r="Q29" s="83">
        <v>919764</v>
      </c>
      <c r="R29" s="83">
        <v>919764</v>
      </c>
      <c r="S29" s="169">
        <v>472500</v>
      </c>
      <c r="T29" s="18"/>
      <c r="U29" s="18"/>
      <c r="V29" s="84">
        <f>P29+Q29+R29+S29</f>
        <v>3231792</v>
      </c>
      <c r="W29" s="84">
        <f>V29*1.12</f>
        <v>3619607.0400000005</v>
      </c>
      <c r="X29" s="6" t="s">
        <v>34</v>
      </c>
      <c r="Y29" s="12" t="s">
        <v>32</v>
      </c>
      <c r="Z29" s="170"/>
    </row>
    <row r="30" spans="1:26" ht="369.75" x14ac:dyDescent="0.3">
      <c r="A30" s="39" t="s">
        <v>305</v>
      </c>
      <c r="B30" s="66" t="s">
        <v>25</v>
      </c>
      <c r="C30" s="38" t="s">
        <v>306</v>
      </c>
      <c r="D30" s="38" t="s">
        <v>307</v>
      </c>
      <c r="E30" s="38" t="s">
        <v>307</v>
      </c>
      <c r="F30" s="38" t="s">
        <v>499</v>
      </c>
      <c r="G30" s="39" t="s">
        <v>42</v>
      </c>
      <c r="H30" s="68">
        <v>1</v>
      </c>
      <c r="I30" s="5" t="s">
        <v>287</v>
      </c>
      <c r="J30" s="69" t="s">
        <v>22</v>
      </c>
      <c r="K30" s="6"/>
      <c r="L30" s="6" t="s">
        <v>30</v>
      </c>
      <c r="M30" s="38" t="s">
        <v>24</v>
      </c>
      <c r="N30" s="83">
        <v>0</v>
      </c>
      <c r="O30" s="83">
        <v>0</v>
      </c>
      <c r="P30" s="83">
        <v>51998000</v>
      </c>
      <c r="Q30" s="83">
        <v>51998000</v>
      </c>
      <c r="R30" s="83">
        <v>51998000</v>
      </c>
      <c r="S30" s="83">
        <v>0</v>
      </c>
      <c r="T30" s="18" t="s">
        <v>478</v>
      </c>
      <c r="U30" s="18" t="s">
        <v>478</v>
      </c>
      <c r="V30" s="84" t="s">
        <v>478</v>
      </c>
      <c r="W30" s="84" t="s">
        <v>478</v>
      </c>
      <c r="X30" s="6" t="s">
        <v>34</v>
      </c>
      <c r="Y30" s="12" t="s">
        <v>32</v>
      </c>
      <c r="Z30" s="37" t="s">
        <v>516</v>
      </c>
    </row>
    <row r="31" spans="1:26" ht="293.25" x14ac:dyDescent="0.3">
      <c r="A31" s="39" t="s">
        <v>500</v>
      </c>
      <c r="B31" s="66" t="s">
        <v>25</v>
      </c>
      <c r="C31" s="38" t="s">
        <v>306</v>
      </c>
      <c r="D31" s="38" t="s">
        <v>307</v>
      </c>
      <c r="E31" s="38" t="s">
        <v>307</v>
      </c>
      <c r="F31" s="38" t="s">
        <v>501</v>
      </c>
      <c r="G31" s="39" t="s">
        <v>42</v>
      </c>
      <c r="H31" s="68">
        <v>1</v>
      </c>
      <c r="I31" s="5" t="s">
        <v>287</v>
      </c>
      <c r="J31" s="69" t="s">
        <v>22</v>
      </c>
      <c r="K31" s="6"/>
      <c r="L31" s="6" t="s">
        <v>30</v>
      </c>
      <c r="M31" s="38" t="s">
        <v>24</v>
      </c>
      <c r="N31" s="83">
        <v>0</v>
      </c>
      <c r="O31" s="83">
        <v>0</v>
      </c>
      <c r="P31" s="83">
        <v>51998000</v>
      </c>
      <c r="Q31" s="83">
        <v>51998000</v>
      </c>
      <c r="R31" s="83">
        <v>51998000</v>
      </c>
      <c r="S31" s="83">
        <v>46606714</v>
      </c>
      <c r="T31" s="18"/>
      <c r="U31" s="18"/>
      <c r="V31" s="84">
        <f t="shared" ref="V31" si="6">P31+Q31+R31+S31</f>
        <v>202600714</v>
      </c>
      <c r="W31" s="84">
        <f t="shared" ref="W31" si="7">V31*1.12</f>
        <v>226912799.68000001</v>
      </c>
      <c r="X31" s="6" t="s">
        <v>34</v>
      </c>
      <c r="Y31" s="12" t="s">
        <v>32</v>
      </c>
      <c r="Z31" s="37"/>
    </row>
    <row r="32" spans="1:26" ht="178.5" x14ac:dyDescent="0.3">
      <c r="A32" s="39" t="s">
        <v>308</v>
      </c>
      <c r="B32" s="66" t="s">
        <v>25</v>
      </c>
      <c r="C32" s="38" t="s">
        <v>306</v>
      </c>
      <c r="D32" s="38" t="s">
        <v>307</v>
      </c>
      <c r="E32" s="38" t="s">
        <v>307</v>
      </c>
      <c r="F32" s="38" t="s">
        <v>502</v>
      </c>
      <c r="G32" s="39" t="s">
        <v>42</v>
      </c>
      <c r="H32" s="68">
        <v>1</v>
      </c>
      <c r="I32" s="5" t="s">
        <v>287</v>
      </c>
      <c r="J32" s="69" t="s">
        <v>153</v>
      </c>
      <c r="K32" s="6"/>
      <c r="L32" s="6" t="s">
        <v>30</v>
      </c>
      <c r="M32" s="38" t="s">
        <v>24</v>
      </c>
      <c r="N32" s="83">
        <v>0</v>
      </c>
      <c r="O32" s="83">
        <v>0</v>
      </c>
      <c r="P32" s="83">
        <v>592000</v>
      </c>
      <c r="Q32" s="83">
        <v>592000</v>
      </c>
      <c r="R32" s="83">
        <v>592000</v>
      </c>
      <c r="S32" s="83">
        <v>0</v>
      </c>
      <c r="T32" s="18" t="s">
        <v>478</v>
      </c>
      <c r="U32" s="18" t="s">
        <v>478</v>
      </c>
      <c r="V32" s="84" t="s">
        <v>478</v>
      </c>
      <c r="W32" s="84" t="s">
        <v>478</v>
      </c>
      <c r="X32" s="6" t="s">
        <v>34</v>
      </c>
      <c r="Y32" s="12" t="s">
        <v>32</v>
      </c>
      <c r="Z32" s="37" t="s">
        <v>516</v>
      </c>
    </row>
    <row r="33" spans="1:26" ht="165.75" x14ac:dyDescent="0.3">
      <c r="A33" s="39" t="s">
        <v>503</v>
      </c>
      <c r="B33" s="66" t="s">
        <v>25</v>
      </c>
      <c r="C33" s="168" t="s">
        <v>504</v>
      </c>
      <c r="D33" s="168" t="s">
        <v>307</v>
      </c>
      <c r="E33" s="168" t="s">
        <v>307</v>
      </c>
      <c r="F33" s="67" t="s">
        <v>505</v>
      </c>
      <c r="G33" s="39" t="s">
        <v>42</v>
      </c>
      <c r="H33" s="68">
        <v>1</v>
      </c>
      <c r="I33" s="5" t="s">
        <v>287</v>
      </c>
      <c r="J33" s="66" t="s">
        <v>153</v>
      </c>
      <c r="K33" s="6"/>
      <c r="L33" s="6" t="s">
        <v>506</v>
      </c>
      <c r="M33" s="38" t="s">
        <v>24</v>
      </c>
      <c r="N33" s="83"/>
      <c r="O33" s="83"/>
      <c r="P33" s="83">
        <v>592000</v>
      </c>
      <c r="Q33" s="83">
        <v>592000</v>
      </c>
      <c r="R33" s="83">
        <v>592000</v>
      </c>
      <c r="S33" s="172">
        <v>581347</v>
      </c>
      <c r="T33" s="173"/>
      <c r="U33" s="173"/>
      <c r="V33" s="84">
        <f>P33+Q33+R33+S33</f>
        <v>2357347</v>
      </c>
      <c r="W33" s="84">
        <f t="shared" ref="W33:W35" si="8">V33*1.12</f>
        <v>2640228.64</v>
      </c>
      <c r="X33" s="6" t="s">
        <v>34</v>
      </c>
      <c r="Y33" s="12" t="s">
        <v>32</v>
      </c>
      <c r="Z33" s="170"/>
    </row>
    <row r="34" spans="1:26" ht="63.75" x14ac:dyDescent="0.3">
      <c r="A34" s="39" t="s">
        <v>313</v>
      </c>
      <c r="B34" s="66" t="s">
        <v>25</v>
      </c>
      <c r="C34" s="38" t="s">
        <v>314</v>
      </c>
      <c r="D34" s="38" t="s">
        <v>315</v>
      </c>
      <c r="E34" s="38" t="s">
        <v>315</v>
      </c>
      <c r="F34" s="38" t="s">
        <v>316</v>
      </c>
      <c r="G34" s="39" t="s">
        <v>42</v>
      </c>
      <c r="H34" s="68">
        <v>1</v>
      </c>
      <c r="I34" s="5" t="s">
        <v>287</v>
      </c>
      <c r="J34" s="69" t="s">
        <v>22</v>
      </c>
      <c r="K34" s="6"/>
      <c r="L34" s="6" t="s">
        <v>30</v>
      </c>
      <c r="M34" s="38" t="s">
        <v>24</v>
      </c>
      <c r="N34" s="83">
        <v>0</v>
      </c>
      <c r="O34" s="83">
        <v>0</v>
      </c>
      <c r="P34" s="83">
        <v>20232848</v>
      </c>
      <c r="Q34" s="83">
        <v>20232848</v>
      </c>
      <c r="R34" s="83">
        <v>20232848</v>
      </c>
      <c r="S34" s="83">
        <v>0</v>
      </c>
      <c r="T34" s="18" t="s">
        <v>478</v>
      </c>
      <c r="U34" s="18" t="s">
        <v>478</v>
      </c>
      <c r="V34" s="84" t="s">
        <v>478</v>
      </c>
      <c r="W34" s="84" t="s">
        <v>478</v>
      </c>
      <c r="X34" s="6" t="s">
        <v>34</v>
      </c>
      <c r="Y34" s="12" t="s">
        <v>32</v>
      </c>
      <c r="Z34" s="37" t="s">
        <v>516</v>
      </c>
    </row>
    <row r="35" spans="1:26" ht="63.75" x14ac:dyDescent="0.3">
      <c r="A35" s="39" t="s">
        <v>507</v>
      </c>
      <c r="B35" s="66" t="s">
        <v>25</v>
      </c>
      <c r="C35" s="38" t="s">
        <v>314</v>
      </c>
      <c r="D35" s="38" t="s">
        <v>315</v>
      </c>
      <c r="E35" s="38" t="s">
        <v>315</v>
      </c>
      <c r="F35" s="38" t="s">
        <v>316</v>
      </c>
      <c r="G35" s="39" t="s">
        <v>42</v>
      </c>
      <c r="H35" s="68">
        <v>1</v>
      </c>
      <c r="I35" s="5" t="s">
        <v>287</v>
      </c>
      <c r="J35" s="69" t="s">
        <v>22</v>
      </c>
      <c r="K35" s="6"/>
      <c r="L35" s="6" t="s">
        <v>30</v>
      </c>
      <c r="M35" s="38" t="s">
        <v>24</v>
      </c>
      <c r="N35" s="83">
        <v>0</v>
      </c>
      <c r="O35" s="83">
        <v>0</v>
      </c>
      <c r="P35" s="83">
        <v>20232848</v>
      </c>
      <c r="Q35" s="83">
        <v>20232848</v>
      </c>
      <c r="R35" s="83">
        <v>20232848</v>
      </c>
      <c r="S35" s="169">
        <v>1486605</v>
      </c>
      <c r="T35" s="84"/>
      <c r="U35" s="174"/>
      <c r="V35" s="84">
        <f>P35+Q35+R35+S35</f>
        <v>62185149</v>
      </c>
      <c r="W35" s="84">
        <f t="shared" si="8"/>
        <v>69647366.88000001</v>
      </c>
      <c r="X35" s="6" t="s">
        <v>34</v>
      </c>
      <c r="Y35" s="12" t="s">
        <v>32</v>
      </c>
      <c r="Z35" s="37"/>
    </row>
    <row r="36" spans="1:26" ht="153" x14ac:dyDescent="0.3">
      <c r="A36" s="39" t="s">
        <v>355</v>
      </c>
      <c r="B36" s="66" t="s">
        <v>25</v>
      </c>
      <c r="C36" s="38" t="s">
        <v>356</v>
      </c>
      <c r="D36" s="38" t="s">
        <v>357</v>
      </c>
      <c r="E36" s="38" t="s">
        <v>357</v>
      </c>
      <c r="F36" s="38" t="s">
        <v>358</v>
      </c>
      <c r="G36" s="39" t="s">
        <v>20</v>
      </c>
      <c r="H36" s="68">
        <v>1</v>
      </c>
      <c r="I36" s="5" t="s">
        <v>287</v>
      </c>
      <c r="J36" s="69" t="s">
        <v>22</v>
      </c>
      <c r="K36" s="6"/>
      <c r="L36" s="6" t="s">
        <v>30</v>
      </c>
      <c r="M36" s="38" t="s">
        <v>24</v>
      </c>
      <c r="N36" s="83">
        <v>0</v>
      </c>
      <c r="O36" s="83">
        <v>0</v>
      </c>
      <c r="P36" s="83">
        <v>1318240</v>
      </c>
      <c r="Q36" s="83">
        <f>P36*1.07</f>
        <v>1410516.8</v>
      </c>
      <c r="R36" s="83">
        <f>P36*1.06</f>
        <v>1397334.4000000001</v>
      </c>
      <c r="S36" s="83">
        <v>0</v>
      </c>
      <c r="T36" s="18" t="s">
        <v>478</v>
      </c>
      <c r="U36" s="18" t="s">
        <v>478</v>
      </c>
      <c r="V36" s="84" t="s">
        <v>478</v>
      </c>
      <c r="W36" s="84" t="s">
        <v>478</v>
      </c>
      <c r="X36" s="6" t="s">
        <v>34</v>
      </c>
      <c r="Y36" s="39" t="s">
        <v>32</v>
      </c>
      <c r="Z36" s="37" t="s">
        <v>516</v>
      </c>
    </row>
    <row r="37" spans="1:26" ht="153" x14ac:dyDescent="0.3">
      <c r="A37" s="39" t="s">
        <v>508</v>
      </c>
      <c r="B37" s="66" t="s">
        <v>25</v>
      </c>
      <c r="C37" s="38" t="s">
        <v>356</v>
      </c>
      <c r="D37" s="38" t="s">
        <v>357</v>
      </c>
      <c r="E37" s="38" t="s">
        <v>357</v>
      </c>
      <c r="F37" s="38" t="s">
        <v>358</v>
      </c>
      <c r="G37" s="39" t="s">
        <v>20</v>
      </c>
      <c r="H37" s="68">
        <v>1</v>
      </c>
      <c r="I37" s="5" t="s">
        <v>287</v>
      </c>
      <c r="J37" s="69" t="s">
        <v>22</v>
      </c>
      <c r="K37" s="6"/>
      <c r="L37" s="6" t="s">
        <v>30</v>
      </c>
      <c r="M37" s="38" t="s">
        <v>24</v>
      </c>
      <c r="N37" s="83">
        <v>0</v>
      </c>
      <c r="O37" s="83">
        <v>0</v>
      </c>
      <c r="P37" s="83">
        <v>1318240</v>
      </c>
      <c r="Q37" s="83">
        <f>P37*1.07</f>
        <v>1410516.8</v>
      </c>
      <c r="R37" s="83">
        <f>P37*1.06</f>
        <v>1397334.4000000001</v>
      </c>
      <c r="S37" s="83">
        <v>1377212.59</v>
      </c>
      <c r="T37" s="18"/>
      <c r="U37" s="83"/>
      <c r="V37" s="84">
        <f>P37+Q37+R37+S37</f>
        <v>5503303.79</v>
      </c>
      <c r="W37" s="84">
        <f>V37*1.12</f>
        <v>6163700.2448000005</v>
      </c>
      <c r="X37" s="6" t="s">
        <v>34</v>
      </c>
      <c r="Y37" s="39" t="s">
        <v>32</v>
      </c>
      <c r="Z37" s="12"/>
    </row>
    <row r="38" spans="1:26" ht="127.5" x14ac:dyDescent="0.3">
      <c r="A38" s="39" t="s">
        <v>370</v>
      </c>
      <c r="B38" s="66" t="s">
        <v>25</v>
      </c>
      <c r="C38" s="38" t="s">
        <v>371</v>
      </c>
      <c r="D38" s="38" t="s">
        <v>372</v>
      </c>
      <c r="E38" s="38" t="s">
        <v>373</v>
      </c>
      <c r="F38" s="38"/>
      <c r="G38" s="39" t="s">
        <v>20</v>
      </c>
      <c r="H38" s="68">
        <v>1</v>
      </c>
      <c r="I38" s="5" t="s">
        <v>287</v>
      </c>
      <c r="J38" s="69" t="s">
        <v>22</v>
      </c>
      <c r="K38" s="6"/>
      <c r="L38" s="6" t="s">
        <v>30</v>
      </c>
      <c r="M38" s="38" t="s">
        <v>24</v>
      </c>
      <c r="N38" s="83">
        <v>0</v>
      </c>
      <c r="O38" s="83">
        <v>0</v>
      </c>
      <c r="P38" s="83">
        <v>3352885.71</v>
      </c>
      <c r="Q38" s="83">
        <v>3352885.71</v>
      </c>
      <c r="R38" s="83">
        <v>3352885.71</v>
      </c>
      <c r="S38" s="83">
        <v>0</v>
      </c>
      <c r="T38" s="18" t="s">
        <v>478</v>
      </c>
      <c r="U38" s="18" t="s">
        <v>478</v>
      </c>
      <c r="V38" s="84" t="s">
        <v>478</v>
      </c>
      <c r="W38" s="84" t="s">
        <v>478</v>
      </c>
      <c r="X38" s="6" t="s">
        <v>34</v>
      </c>
      <c r="Y38" s="12" t="s">
        <v>32</v>
      </c>
      <c r="Z38" s="37" t="s">
        <v>516</v>
      </c>
    </row>
    <row r="39" spans="1:26" ht="127.5" x14ac:dyDescent="0.3">
      <c r="A39" s="39" t="s">
        <v>509</v>
      </c>
      <c r="B39" s="66" t="s">
        <v>25</v>
      </c>
      <c r="C39" s="38" t="s">
        <v>371</v>
      </c>
      <c r="D39" s="38" t="s">
        <v>372</v>
      </c>
      <c r="E39" s="38" t="s">
        <v>373</v>
      </c>
      <c r="F39" s="38"/>
      <c r="G39" s="39" t="s">
        <v>20</v>
      </c>
      <c r="H39" s="68">
        <v>1</v>
      </c>
      <c r="I39" s="5" t="s">
        <v>287</v>
      </c>
      <c r="J39" s="69" t="s">
        <v>22</v>
      </c>
      <c r="K39" s="6"/>
      <c r="L39" s="6" t="s">
        <v>30</v>
      </c>
      <c r="M39" s="38" t="s">
        <v>24</v>
      </c>
      <c r="N39" s="83">
        <v>0</v>
      </c>
      <c r="O39" s="83">
        <v>0</v>
      </c>
      <c r="P39" s="83">
        <v>3352885.71</v>
      </c>
      <c r="Q39" s="83">
        <v>3352885.71</v>
      </c>
      <c r="R39" s="83">
        <v>3352885.71</v>
      </c>
      <c r="S39" s="169">
        <v>2965800</v>
      </c>
      <c r="T39" s="173"/>
      <c r="U39" s="84"/>
      <c r="V39" s="84">
        <f>P39+Q39+R39+S39</f>
        <v>13024457.129999999</v>
      </c>
      <c r="W39" s="84">
        <f>V39*1.12</f>
        <v>14587391.9856</v>
      </c>
      <c r="X39" s="6" t="s">
        <v>34</v>
      </c>
      <c r="Y39" s="39" t="s">
        <v>32</v>
      </c>
      <c r="Z39" s="37"/>
    </row>
    <row r="40" spans="1:26" ht="127.5" x14ac:dyDescent="0.3">
      <c r="A40" s="39" t="s">
        <v>388</v>
      </c>
      <c r="B40" s="66" t="s">
        <v>25</v>
      </c>
      <c r="C40" s="38" t="s">
        <v>375</v>
      </c>
      <c r="D40" s="38" t="s">
        <v>376</v>
      </c>
      <c r="E40" s="38" t="s">
        <v>377</v>
      </c>
      <c r="F40" s="38"/>
      <c r="G40" s="39" t="s">
        <v>20</v>
      </c>
      <c r="H40" s="68">
        <v>1</v>
      </c>
      <c r="I40" s="5" t="s">
        <v>389</v>
      </c>
      <c r="J40" s="69" t="s">
        <v>22</v>
      </c>
      <c r="K40" s="6"/>
      <c r="L40" s="6" t="s">
        <v>30</v>
      </c>
      <c r="M40" s="38" t="s">
        <v>24</v>
      </c>
      <c r="N40" s="83">
        <v>0</v>
      </c>
      <c r="O40" s="83">
        <v>0</v>
      </c>
      <c r="P40" s="83">
        <v>6796901.4299999997</v>
      </c>
      <c r="Q40" s="83">
        <v>7290492</v>
      </c>
      <c r="R40" s="83">
        <v>7290492</v>
      </c>
      <c r="S40" s="83">
        <v>0</v>
      </c>
      <c r="T40" s="18" t="s">
        <v>478</v>
      </c>
      <c r="U40" s="18" t="s">
        <v>478</v>
      </c>
      <c r="V40" s="84" t="s">
        <v>478</v>
      </c>
      <c r="W40" s="84" t="s">
        <v>478</v>
      </c>
      <c r="X40" s="6" t="s">
        <v>34</v>
      </c>
      <c r="Y40" s="12" t="s">
        <v>32</v>
      </c>
      <c r="Z40" s="37" t="s">
        <v>516</v>
      </c>
    </row>
    <row r="41" spans="1:26" ht="127.5" x14ac:dyDescent="0.3">
      <c r="A41" s="39" t="s">
        <v>510</v>
      </c>
      <c r="B41" s="66" t="s">
        <v>25</v>
      </c>
      <c r="C41" s="38" t="s">
        <v>375</v>
      </c>
      <c r="D41" s="38" t="s">
        <v>376</v>
      </c>
      <c r="E41" s="38" t="s">
        <v>377</v>
      </c>
      <c r="F41" s="38"/>
      <c r="G41" s="39" t="s">
        <v>20</v>
      </c>
      <c r="H41" s="68">
        <v>1</v>
      </c>
      <c r="I41" s="5" t="s">
        <v>389</v>
      </c>
      <c r="J41" s="69" t="s">
        <v>22</v>
      </c>
      <c r="K41" s="6"/>
      <c r="L41" s="6" t="s">
        <v>30</v>
      </c>
      <c r="M41" s="38" t="s">
        <v>24</v>
      </c>
      <c r="N41" s="83">
        <v>0</v>
      </c>
      <c r="O41" s="83">
        <v>0</v>
      </c>
      <c r="P41" s="83">
        <v>6796901.4299999997</v>
      </c>
      <c r="Q41" s="83">
        <v>7290492</v>
      </c>
      <c r="R41" s="83">
        <v>7290492</v>
      </c>
      <c r="S41" s="175">
        <v>6148392</v>
      </c>
      <c r="T41" s="84"/>
      <c r="U41" s="84"/>
      <c r="V41" s="84">
        <f>P41+Q41+R41+S41</f>
        <v>27526277.43</v>
      </c>
      <c r="W41" s="84">
        <f>V41*1.12</f>
        <v>30829430.721600004</v>
      </c>
      <c r="X41" s="6" t="s">
        <v>34</v>
      </c>
      <c r="Y41" s="39" t="s">
        <v>32</v>
      </c>
      <c r="Z41" s="37"/>
    </row>
    <row r="42" spans="1:26" x14ac:dyDescent="0.3">
      <c r="A42" s="96" t="s">
        <v>175</v>
      </c>
      <c r="B42" s="54"/>
      <c r="C42" s="55"/>
      <c r="D42" s="8"/>
      <c r="E42" s="8"/>
      <c r="F42" s="15"/>
      <c r="G42" s="15"/>
      <c r="H42" s="15"/>
      <c r="I42" s="2"/>
      <c r="J42" s="15"/>
      <c r="K42" s="15"/>
      <c r="L42" s="15"/>
      <c r="M42" s="15"/>
      <c r="N42" s="85"/>
      <c r="O42" s="85"/>
      <c r="P42" s="85"/>
      <c r="Q42" s="85"/>
      <c r="R42" s="85" t="s">
        <v>174</v>
      </c>
      <c r="S42" s="85"/>
      <c r="T42" s="85" t="s">
        <v>174</v>
      </c>
      <c r="U42" s="85"/>
      <c r="V42" s="90">
        <f>SUM(V19:V41)</f>
        <v>1428320867.2378001</v>
      </c>
      <c r="W42" s="90">
        <f>SUM(W19:W41)</f>
        <v>1599719371.3063364</v>
      </c>
      <c r="X42" s="51"/>
      <c r="Y42" s="51"/>
      <c r="Z42" s="56"/>
    </row>
    <row r="43" spans="1:26" x14ac:dyDescent="0.3">
      <c r="A43" s="99" t="s">
        <v>23</v>
      </c>
      <c r="B43" s="62"/>
      <c r="C43" s="58"/>
      <c r="D43" s="58"/>
      <c r="E43" s="58"/>
      <c r="F43" s="58"/>
      <c r="G43" s="62"/>
      <c r="H43" s="62"/>
      <c r="I43" s="62"/>
      <c r="J43" s="62"/>
      <c r="K43" s="62"/>
      <c r="L43" s="62"/>
      <c r="M43" s="62"/>
      <c r="N43" s="91"/>
      <c r="O43" s="91"/>
      <c r="P43" s="91"/>
      <c r="Q43" s="91"/>
      <c r="R43" s="91"/>
      <c r="S43" s="91"/>
      <c r="T43" s="91"/>
      <c r="U43" s="91"/>
      <c r="V43" s="90">
        <f>V42+V16</f>
        <v>1435012802.8078001</v>
      </c>
      <c r="W43" s="90">
        <f>W42+W16</f>
        <v>1607214339.1447363</v>
      </c>
      <c r="X43" s="62"/>
      <c r="Y43" s="63"/>
      <c r="Z43" s="63"/>
    </row>
    <row r="44" spans="1:26" x14ac:dyDescent="0.3">
      <c r="A44" s="176"/>
      <c r="B44" s="177"/>
      <c r="C44" s="178"/>
      <c r="D44" s="178"/>
      <c r="E44" s="178"/>
      <c r="F44" s="178"/>
      <c r="G44" s="177"/>
      <c r="H44" s="177"/>
      <c r="I44" s="177"/>
      <c r="J44" s="177"/>
      <c r="K44" s="177"/>
      <c r="L44" s="177"/>
      <c r="M44" s="177"/>
      <c r="N44" s="179"/>
      <c r="O44" s="179"/>
      <c r="P44" s="179"/>
      <c r="Q44" s="179"/>
      <c r="R44" s="179"/>
      <c r="S44" s="179"/>
      <c r="T44" s="179"/>
      <c r="U44" s="179"/>
      <c r="V44" s="180"/>
      <c r="W44" s="180"/>
      <c r="X44" s="177"/>
      <c r="Y44" s="181"/>
      <c r="Z44" s="181"/>
    </row>
    <row r="45" spans="1:26" x14ac:dyDescent="0.3">
      <c r="A45" s="176"/>
      <c r="B45" s="177"/>
      <c r="C45" s="178"/>
      <c r="D45" s="178"/>
      <c r="E45" s="178"/>
      <c r="F45" s="178"/>
      <c r="G45" s="177"/>
      <c r="H45" s="177"/>
      <c r="I45" s="177"/>
      <c r="J45" s="177"/>
      <c r="K45" s="177"/>
      <c r="L45" s="177"/>
      <c r="M45" s="177"/>
      <c r="N45" s="179"/>
      <c r="O45" s="179"/>
      <c r="P45" s="179"/>
      <c r="Q45" s="179"/>
      <c r="R45" s="179"/>
      <c r="S45" s="179"/>
      <c r="T45" s="179"/>
      <c r="U45" s="179"/>
      <c r="V45" s="180"/>
      <c r="W45" s="180"/>
      <c r="X45" s="177"/>
      <c r="Y45" s="181"/>
      <c r="Z45" s="181"/>
    </row>
    <row r="46" spans="1:26" x14ac:dyDescent="0.3">
      <c r="A46" s="176"/>
      <c r="B46" s="177"/>
      <c r="C46" s="178"/>
      <c r="D46" s="178"/>
      <c r="E46" s="178"/>
      <c r="F46" s="178"/>
      <c r="G46" s="177"/>
      <c r="H46" s="177"/>
      <c r="I46" s="177"/>
      <c r="J46" s="177"/>
      <c r="K46" s="177"/>
      <c r="L46" s="177"/>
      <c r="M46" s="177"/>
      <c r="N46" s="179"/>
      <c r="O46" s="179"/>
      <c r="P46" s="179"/>
      <c r="Q46" s="179"/>
      <c r="R46" s="179"/>
      <c r="S46" s="179"/>
      <c r="T46" s="179"/>
      <c r="U46" s="179"/>
      <c r="V46" s="180"/>
      <c r="W46" s="180"/>
      <c r="X46" s="177"/>
      <c r="Y46" s="181"/>
      <c r="Z46" s="181"/>
    </row>
    <row r="47" spans="1:26" x14ac:dyDescent="0.3">
      <c r="A47" s="176"/>
      <c r="B47" s="177"/>
      <c r="C47" s="178"/>
      <c r="D47" s="178"/>
      <c r="E47" s="178"/>
      <c r="F47" s="178"/>
      <c r="G47" s="177"/>
      <c r="H47" s="177"/>
      <c r="I47" s="177"/>
      <c r="J47" s="177"/>
      <c r="K47" s="177"/>
      <c r="L47" s="177"/>
      <c r="M47" s="177"/>
      <c r="N47" s="179"/>
      <c r="O47" s="179"/>
      <c r="P47" s="179"/>
      <c r="Q47" s="179"/>
      <c r="R47" s="179"/>
      <c r="S47" s="179"/>
      <c r="T47" s="179"/>
      <c r="U47" s="179"/>
      <c r="V47" s="180"/>
      <c r="W47" s="180"/>
      <c r="X47" s="177"/>
      <c r="Y47" s="181"/>
      <c r="Z47" s="181"/>
    </row>
    <row r="48" spans="1:26" x14ac:dyDescent="0.3">
      <c r="A48" s="20"/>
      <c r="B48" s="21"/>
      <c r="C48" s="22"/>
      <c r="D48" s="23"/>
      <c r="E48" s="21"/>
      <c r="F48" s="21"/>
      <c r="G48" s="21"/>
      <c r="H48" s="21"/>
      <c r="I48" s="21"/>
      <c r="J48" s="21"/>
      <c r="K48" s="21"/>
      <c r="L48" s="21"/>
      <c r="M48" s="21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21"/>
      <c r="Y48" s="21"/>
      <c r="Z48" s="21"/>
    </row>
    <row r="49" spans="1:26" x14ac:dyDescent="0.3">
      <c r="A49" s="40"/>
      <c r="B49" s="182"/>
      <c r="C49" s="182" t="s">
        <v>518</v>
      </c>
      <c r="D49" s="183"/>
      <c r="E49" s="183"/>
      <c r="F49" s="183"/>
      <c r="G49" s="183"/>
      <c r="H49" s="184"/>
      <c r="I49" s="183"/>
      <c r="J49" s="184" t="s">
        <v>519</v>
      </c>
      <c r="K49" s="45"/>
      <c r="L49" s="45"/>
      <c r="M49" s="45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45"/>
      <c r="Y49" s="45"/>
      <c r="Z49" s="45"/>
    </row>
  </sheetData>
  <mergeCells count="16">
    <mergeCell ref="J9:J11"/>
    <mergeCell ref="K9:K11"/>
    <mergeCell ref="L9:L11"/>
    <mergeCell ref="M9:M11"/>
    <mergeCell ref="N9:T10"/>
    <mergeCell ref="N12:T12"/>
    <mergeCell ref="A6:Z6"/>
    <mergeCell ref="A9:A11"/>
    <mergeCell ref="B9:B11"/>
    <mergeCell ref="C9:C11"/>
    <mergeCell ref="D9:D11"/>
    <mergeCell ref="E9:E11"/>
    <mergeCell ref="F9:F11"/>
    <mergeCell ref="G9:G11"/>
    <mergeCell ref="H9:H11"/>
    <mergeCell ref="I9:I11"/>
  </mergeCells>
  <dataValidations count="1">
    <dataValidation type="custom" allowBlank="1" showInputMessage="1" showErrorMessage="1" sqref="S35">
      <formula1>Q35*R35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ПДЗ</vt:lpstr>
      <vt:lpstr>корректировка</vt:lpstr>
      <vt:lpstr>ПДЗ!Заголовки_для_печати</vt:lpstr>
      <vt:lpstr>ПДЗ!Область_печати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Kim_T</dc:creator>
  <cp:lastModifiedBy>Анара Асанбаева</cp:lastModifiedBy>
  <cp:lastPrinted>2017-10-18T04:35:11Z</cp:lastPrinted>
  <dcterms:created xsi:type="dcterms:W3CDTF">2013-05-08T09:24:30Z</dcterms:created>
  <dcterms:modified xsi:type="dcterms:W3CDTF">2018-11-22T03:31:31Z</dcterms:modified>
</cp:coreProperties>
</file>